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omments5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omments7.xml" ContentType="application/vnd.openxmlformats-officedocument.spreadsheetml.comments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updateLinks="never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Etudiant\Desktop\stage_excel\"/>
    </mc:Choice>
  </mc:AlternateContent>
  <xr:revisionPtr revIDLastSave="0" documentId="13_ncr:1_{0E1E756D-339E-4D10-A825-977A58D33C1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Key" sheetId="5" r:id="rId1"/>
    <sheet name="Data" sheetId="1" r:id="rId2"/>
    <sheet name="Weekly Data" sheetId="6" r:id="rId3"/>
    <sheet name="Reporting 2021" sheetId="26" r:id="rId4"/>
    <sheet name="Reporting 2022" sheetId="30" r:id="rId5"/>
    <sheet name="GRAPH NEW STRUCTURE" sheetId="29" r:id="rId6"/>
    <sheet name="Monthly Data" sheetId="7" r:id="rId7"/>
    <sheet name="Reporting" sheetId="20" r:id="rId8"/>
    <sheet name="AIA" sheetId="24" r:id="rId9"/>
    <sheet name="FCP+AIA" sheetId="25" r:id="rId10"/>
    <sheet name="Forecast 2020" sheetId="19" r:id="rId11"/>
    <sheet name="Daily Tracking" sheetId="17" r:id="rId12"/>
    <sheet name="Delivery Plan" sheetId="23" r:id="rId13"/>
    <sheet name="Reconciliation SOLUNE vs SAP" sheetId="13" r:id="rId14"/>
    <sheet name="GroupExport" sheetId="21" r:id="rId15"/>
  </sheets>
  <externalReferences>
    <externalReference r:id="rId16"/>
    <externalReference r:id="rId17"/>
    <externalReference r:id="rId18"/>
  </externalReferences>
  <definedNames>
    <definedName name="_xlnm._FilterDatabase" localSheetId="1" hidden="1">Data!$G$113:$G$115</definedName>
    <definedName name="_xlnm._FilterDatabase" localSheetId="12" hidden="1">'Delivery Plan'!$A$3:$N$561</definedName>
    <definedName name="ASM">[1]Key!$H$2:$H$4</definedName>
    <definedName name="CAT">Key!$C$2:$C$14</definedName>
    <definedName name="CurrentYear" localSheetId="5">[1]Config!$A$1</definedName>
    <definedName name="CurrentYear" localSheetId="3">[1]Config!$A$1</definedName>
    <definedName name="CurrentYear" localSheetId="4">[1]Config!$A$1</definedName>
    <definedName name="Dstatus" localSheetId="5">[1]Key!$B$2:$B$7</definedName>
    <definedName name="Dstatus" localSheetId="3">[1]Key!$B$2:$B$7</definedName>
    <definedName name="Dstatus" localSheetId="4">[1]Key!$B$2:$B$7</definedName>
    <definedName name="Dstatus">Key!$D$2:$D$7</definedName>
    <definedName name="_xlnm.Print_Titles" localSheetId="1">Data!$1:$2</definedName>
    <definedName name="On_Site">Key!$N$2:$N$3</definedName>
    <definedName name="Raison_externalisation" localSheetId="5">[1]Key!$D$2:$D$9</definedName>
    <definedName name="Raison_externalisation" localSheetId="3">[1]Key!$D$2:$D$9</definedName>
    <definedName name="Raison_externalisation" localSheetId="4">[1]Key!$D$2:$D$9</definedName>
    <definedName name="Raison_externalisation">Key!$F$2:$F$9</definedName>
    <definedName name="Refuse" localSheetId="5">[1]Key!$C$2:$C$6</definedName>
    <definedName name="Refuse" localSheetId="3">[1]Key!$C$2:$C$6</definedName>
    <definedName name="Refuse" localSheetId="4">[1]Key!$C$2:$C$6</definedName>
    <definedName name="Refuse">Key!$E$2:$E$6</definedName>
    <definedName name="_xlnm.Print_Area" localSheetId="3">'Reporting 2021'!$A$1:$AK$60</definedName>
    <definedName name="_xlnm.Print_Area" localSheetId="4">'Reporting 2022'!$A$1:$AM$60</definedName>
  </definedNames>
  <calcPr calcId="191029" calcOnSave="0"/>
  <pivotCaches>
    <pivotCache cacheId="0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7" l="1" a="1"/>
  <c r="E4" i="7" s="1"/>
  <c r="AV123" i="1" l="1"/>
  <c r="AW123" i="1" s="1"/>
  <c r="AV124" i="1"/>
  <c r="AW124" i="1" s="1"/>
  <c r="AV125" i="1"/>
  <c r="AW125" i="1" s="1"/>
  <c r="AV126" i="1"/>
  <c r="AW126" i="1"/>
  <c r="AV127" i="1"/>
  <c r="AW127" i="1"/>
  <c r="AV128" i="1"/>
  <c r="AW128" i="1" s="1"/>
  <c r="AV129" i="1"/>
  <c r="AW129" i="1" s="1"/>
  <c r="AV130" i="1"/>
  <c r="AW130" i="1" s="1"/>
  <c r="AV131" i="1"/>
  <c r="AW131" i="1"/>
  <c r="AV132" i="1"/>
  <c r="AW132" i="1" s="1"/>
  <c r="AV133" i="1"/>
  <c r="AW133" i="1" s="1"/>
  <c r="AV121" i="1"/>
  <c r="AW121" i="1"/>
  <c r="AV122" i="1"/>
  <c r="AW122" i="1"/>
  <c r="AW108" i="1" l="1"/>
  <c r="AW102" i="1" l="1"/>
  <c r="AW103" i="1"/>
  <c r="AW96" i="1"/>
  <c r="AW97" i="1"/>
  <c r="AW98" i="1"/>
  <c r="AW99" i="1"/>
  <c r="AW100" i="1"/>
  <c r="AW101" i="1"/>
  <c r="AV92" i="1"/>
  <c r="AW92" i="1" s="1"/>
  <c r="AV93" i="1"/>
  <c r="AW93" i="1" s="1"/>
  <c r="AV94" i="1"/>
  <c r="AW94" i="1" s="1"/>
  <c r="AV95" i="1"/>
  <c r="AW95" i="1" s="1"/>
  <c r="AV96" i="1"/>
  <c r="AV97" i="1"/>
  <c r="AV98" i="1"/>
  <c r="AV99" i="1"/>
  <c r="AV100" i="1"/>
  <c r="AV91" i="1"/>
  <c r="AW58" i="1"/>
  <c r="C4" i="7" a="1"/>
  <c r="C4" i="7" s="1"/>
  <c r="AQ25" i="6"/>
  <c r="N86" i="1" l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85" i="1"/>
  <c r="C83" i="1" l="1"/>
  <c r="C84" i="1"/>
  <c r="C85" i="1"/>
  <c r="N58" i="1"/>
  <c r="AV36" i="1" l="1"/>
  <c r="AW36" i="1" s="1"/>
  <c r="C74" i="1"/>
  <c r="AQ26" i="6" l="1"/>
  <c r="AZ24" i="7"/>
  <c r="AY24" i="7"/>
  <c r="AX24" i="7"/>
  <c r="AW24" i="7"/>
  <c r="AV24" i="7"/>
  <c r="AU24" i="7"/>
  <c r="AT24" i="7"/>
  <c r="AZ23" i="7"/>
  <c r="AY23" i="7"/>
  <c r="AX23" i="7"/>
  <c r="AW23" i="7"/>
  <c r="AV23" i="7"/>
  <c r="AU23" i="7"/>
  <c r="AT23" i="7"/>
  <c r="AZ22" i="7"/>
  <c r="AY22" i="7"/>
  <c r="AX22" i="7"/>
  <c r="AW22" i="7"/>
  <c r="AV22" i="7"/>
  <c r="AU22" i="7"/>
  <c r="AT22" i="7"/>
  <c r="AQ27" i="6"/>
  <c r="D74" i="20" l="1"/>
  <c r="E74" i="20"/>
  <c r="F74" i="20"/>
  <c r="G74" i="20"/>
  <c r="H74" i="20"/>
  <c r="I74" i="20"/>
  <c r="J74" i="20"/>
  <c r="K74" i="20"/>
  <c r="L74" i="20"/>
  <c r="M74" i="20"/>
  <c r="N74" i="20"/>
  <c r="C74" i="20"/>
  <c r="C10" i="20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C5" i="7"/>
  <c r="N4" i="7" a="1"/>
  <c r="N4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H4" i="7" a="1"/>
  <c r="H4" i="7" s="1"/>
  <c r="G4" i="7" a="1"/>
  <c r="G4" i="7" s="1"/>
  <c r="F4" i="7" a="1"/>
  <c r="F4" i="7" s="1"/>
  <c r="D4" i="7" a="1"/>
  <c r="D4" i="7" s="1"/>
  <c r="N2" i="7" a="1"/>
  <c r="N2" i="7" s="1"/>
  <c r="M2" i="7" a="1"/>
  <c r="M2" i="7" s="1"/>
  <c r="L2" i="7" a="1"/>
  <c r="L2" i="7" s="1"/>
  <c r="K2" i="7" a="1"/>
  <c r="K2" i="7" s="1"/>
  <c r="J2" i="7" a="1"/>
  <c r="J2" i="7" s="1"/>
  <c r="I2" i="7" a="1"/>
  <c r="I2" i="7" s="1"/>
  <c r="H2" i="7" a="1"/>
  <c r="H2" i="7" s="1"/>
  <c r="G2" i="7" a="1"/>
  <c r="G2" i="7" s="1"/>
  <c r="F2" i="7" a="1"/>
  <c r="F2" i="7" s="1"/>
  <c r="E2" i="7" a="1"/>
  <c r="E2" i="7" s="1"/>
  <c r="D2" i="7" a="1"/>
  <c r="D2" i="7" s="1"/>
  <c r="C2" i="7" a="1"/>
  <c r="C2" i="7" s="1"/>
  <c r="C51" i="1"/>
  <c r="C52" i="1"/>
  <c r="C53" i="1"/>
  <c r="C54" i="1"/>
  <c r="C55" i="1" l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5" i="1"/>
  <c r="C76" i="1"/>
  <c r="C77" i="1"/>
  <c r="C78" i="1"/>
  <c r="C79" i="1"/>
  <c r="C80" i="1"/>
  <c r="C81" i="1"/>
  <c r="C82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Y4" i="1"/>
  <c r="Z4" i="1"/>
  <c r="Y5" i="1"/>
  <c r="Z5" i="1"/>
  <c r="Y6" i="1"/>
  <c r="Z6" i="1"/>
  <c r="Y7" i="1"/>
  <c r="Z7" i="1"/>
  <c r="Y8" i="1"/>
  <c r="Z8" i="1"/>
  <c r="Y9" i="1"/>
  <c r="Z9" i="1"/>
  <c r="Y10" i="1"/>
  <c r="Z10" i="1"/>
  <c r="Y11" i="1"/>
  <c r="Z11" i="1"/>
  <c r="Y12" i="1"/>
  <c r="Z12" i="1"/>
  <c r="Y13" i="1"/>
  <c r="Z13" i="1"/>
  <c r="Y14" i="1"/>
  <c r="Z14" i="1"/>
  <c r="Y15" i="1"/>
  <c r="Z15" i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Z3" i="1"/>
  <c r="Y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X28" i="29" l="1"/>
  <c r="S34" i="29"/>
  <c r="X35" i="29"/>
  <c r="Q30" i="29"/>
  <c r="T35" i="29"/>
  <c r="O37" i="29"/>
  <c r="S29" i="29"/>
  <c r="O28" i="29"/>
  <c r="R37" i="29"/>
  <c r="S35" i="29"/>
  <c r="O31" i="29"/>
  <c r="O30" i="29"/>
  <c r="N37" i="29"/>
  <c r="T29" i="29"/>
  <c r="Q29" i="29"/>
  <c r="R34" i="29"/>
  <c r="P31" i="29"/>
  <c r="M37" i="29"/>
  <c r="M36" i="29"/>
  <c r="R28" i="29"/>
  <c r="S37" i="29"/>
  <c r="Q37" i="29"/>
  <c r="M32" i="29"/>
  <c r="S30" i="29"/>
  <c r="N33" i="29"/>
  <c r="X31" i="29"/>
  <c r="P35" i="29"/>
  <c r="N32" i="29"/>
  <c r="S28" i="29"/>
  <c r="T37" i="29"/>
  <c r="X34" i="29"/>
  <c r="S36" i="29"/>
  <c r="T30" i="29"/>
  <c r="P32" i="29"/>
  <c r="Q31" i="29"/>
  <c r="S33" i="29"/>
  <c r="X33" i="29"/>
  <c r="Q32" i="29"/>
  <c r="Q28" i="29"/>
  <c r="X29" i="29"/>
  <c r="P30" i="29"/>
  <c r="T33" i="29"/>
  <c r="T32" i="29"/>
  <c r="N29" i="29"/>
  <c r="O34" i="29"/>
  <c r="X37" i="29"/>
  <c r="P29" i="29"/>
  <c r="Q33" i="29"/>
  <c r="M29" i="29"/>
  <c r="M31" i="29"/>
  <c r="S31" i="29"/>
  <c r="T36" i="29"/>
  <c r="O32" i="29"/>
  <c r="P37" i="29"/>
  <c r="N36" i="29"/>
  <c r="Q34" i="29"/>
  <c r="R36" i="29"/>
  <c r="M30" i="29"/>
  <c r="X36" i="29"/>
  <c r="N35" i="29"/>
  <c r="M34" i="29"/>
  <c r="O33" i="29"/>
  <c r="R35" i="29"/>
  <c r="M28" i="29"/>
  <c r="O36" i="29"/>
  <c r="R31" i="29"/>
  <c r="R30" i="29"/>
  <c r="X32" i="29"/>
  <c r="N31" i="29"/>
  <c r="M33" i="29"/>
  <c r="T28" i="29"/>
  <c r="N28" i="29"/>
  <c r="T31" i="29"/>
  <c r="P28" i="29"/>
  <c r="N30" i="29"/>
  <c r="Q35" i="29"/>
  <c r="R29" i="29"/>
  <c r="R32" i="29"/>
  <c r="O29" i="29"/>
  <c r="O35" i="29"/>
  <c r="T34" i="29"/>
  <c r="X30" i="29"/>
  <c r="P33" i="29"/>
  <c r="M35" i="29"/>
  <c r="N34" i="29"/>
  <c r="P34" i="29"/>
  <c r="R33" i="29"/>
  <c r="P36" i="29"/>
  <c r="S32" i="29"/>
  <c r="Q36" i="29"/>
  <c r="N36" i="7"/>
  <c r="J36" i="7"/>
  <c r="F36" i="7"/>
  <c r="M35" i="7"/>
  <c r="I35" i="7"/>
  <c r="E35" i="7"/>
  <c r="L34" i="7"/>
  <c r="H34" i="7"/>
  <c r="D34" i="7"/>
  <c r="K33" i="7"/>
  <c r="G33" i="7"/>
  <c r="C36" i="7"/>
  <c r="C40" i="7" s="1"/>
  <c r="M36" i="7"/>
  <c r="I36" i="7"/>
  <c r="E36" i="7"/>
  <c r="L35" i="7"/>
  <c r="H35" i="7"/>
  <c r="D35" i="7"/>
  <c r="K34" i="7"/>
  <c r="G34" i="7"/>
  <c r="N33" i="7"/>
  <c r="J33" i="7"/>
  <c r="F33" i="7"/>
  <c r="C35" i="7"/>
  <c r="C39" i="7" s="1"/>
  <c r="K36" i="7"/>
  <c r="N35" i="7"/>
  <c r="F35" i="7"/>
  <c r="I34" i="7"/>
  <c r="L33" i="7"/>
  <c r="D33" i="7"/>
  <c r="H36" i="7"/>
  <c r="K35" i="7"/>
  <c r="N34" i="7"/>
  <c r="F34" i="7"/>
  <c r="I33" i="7"/>
  <c r="C34" i="7"/>
  <c r="C38" i="7" s="1"/>
  <c r="G36" i="7"/>
  <c r="J35" i="7"/>
  <c r="M34" i="7"/>
  <c r="E34" i="7"/>
  <c r="H33" i="7"/>
  <c r="C33" i="7"/>
  <c r="C37" i="7" s="1"/>
  <c r="L36" i="7"/>
  <c r="D36" i="7"/>
  <c r="E33" i="7"/>
  <c r="G35" i="7"/>
  <c r="J34" i="7"/>
  <c r="M33" i="7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N89" i="23"/>
  <c r="N90" i="23"/>
  <c r="N91" i="23"/>
  <c r="N92" i="23"/>
  <c r="N93" i="23"/>
  <c r="N94" i="23"/>
  <c r="N95" i="23"/>
  <c r="N96" i="23"/>
  <c r="N97" i="23"/>
  <c r="N98" i="23"/>
  <c r="N99" i="23"/>
  <c r="N100" i="23"/>
  <c r="N101" i="23"/>
  <c r="N102" i="23"/>
  <c r="N103" i="23"/>
  <c r="N104" i="23"/>
  <c r="N105" i="23"/>
  <c r="N106" i="23"/>
  <c r="N107" i="23"/>
  <c r="N108" i="23"/>
  <c r="N109" i="23"/>
  <c r="N110" i="23"/>
  <c r="N111" i="23"/>
  <c r="N112" i="23"/>
  <c r="N113" i="23"/>
  <c r="N114" i="23"/>
  <c r="N115" i="23"/>
  <c r="N116" i="23"/>
  <c r="N117" i="23"/>
  <c r="N118" i="23"/>
  <c r="N119" i="23"/>
  <c r="N120" i="23"/>
  <c r="N121" i="23"/>
  <c r="N122" i="23"/>
  <c r="N123" i="23"/>
  <c r="N124" i="23"/>
  <c r="N125" i="23"/>
  <c r="N126" i="23"/>
  <c r="N127" i="23"/>
  <c r="N128" i="23"/>
  <c r="N129" i="23"/>
  <c r="N130" i="23"/>
  <c r="N131" i="23"/>
  <c r="N132" i="23"/>
  <c r="N133" i="23"/>
  <c r="N134" i="23"/>
  <c r="N135" i="23"/>
  <c r="N136" i="23"/>
  <c r="N137" i="23"/>
  <c r="N138" i="23"/>
  <c r="N139" i="23"/>
  <c r="N140" i="23"/>
  <c r="N141" i="23"/>
  <c r="N142" i="23"/>
  <c r="N143" i="23"/>
  <c r="N144" i="23"/>
  <c r="N145" i="23"/>
  <c r="N146" i="23"/>
  <c r="N147" i="23"/>
  <c r="N148" i="23"/>
  <c r="N149" i="23"/>
  <c r="N150" i="23"/>
  <c r="N151" i="23"/>
  <c r="N152" i="23"/>
  <c r="N153" i="23"/>
  <c r="N154" i="23"/>
  <c r="N155" i="23"/>
  <c r="N156" i="23"/>
  <c r="N157" i="23"/>
  <c r="N158" i="23"/>
  <c r="N159" i="23"/>
  <c r="N4" i="23"/>
  <c r="A5" i="23"/>
  <c r="B5" i="23"/>
  <c r="D5" i="23"/>
  <c r="C5" i="23" s="1"/>
  <c r="E5" i="23"/>
  <c r="F5" i="23"/>
  <c r="A6" i="23"/>
  <c r="B6" i="23"/>
  <c r="D6" i="23"/>
  <c r="C6" i="23" s="1"/>
  <c r="E6" i="23"/>
  <c r="F6" i="23"/>
  <c r="A7" i="23"/>
  <c r="B7" i="23"/>
  <c r="D7" i="23"/>
  <c r="C7" i="23" s="1"/>
  <c r="E7" i="23"/>
  <c r="G7" i="23" s="1"/>
  <c r="F7" i="23"/>
  <c r="A8" i="23"/>
  <c r="B8" i="23"/>
  <c r="D8" i="23"/>
  <c r="C8" i="23" s="1"/>
  <c r="E8" i="23"/>
  <c r="M8" i="23" s="1"/>
  <c r="F8" i="23"/>
  <c r="A9" i="23"/>
  <c r="B9" i="23"/>
  <c r="D9" i="23"/>
  <c r="C9" i="23" s="1"/>
  <c r="E9" i="23"/>
  <c r="J9" i="23" s="1"/>
  <c r="I9" i="23" s="1"/>
  <c r="F9" i="23"/>
  <c r="A10" i="23"/>
  <c r="B10" i="23"/>
  <c r="D10" i="23"/>
  <c r="C10" i="23" s="1"/>
  <c r="E10" i="23"/>
  <c r="F10" i="23"/>
  <c r="A11" i="23"/>
  <c r="B11" i="23"/>
  <c r="D11" i="23"/>
  <c r="C11" i="23" s="1"/>
  <c r="E11" i="23"/>
  <c r="G11" i="23" s="1"/>
  <c r="F11" i="23"/>
  <c r="A12" i="23"/>
  <c r="B12" i="23"/>
  <c r="D12" i="23"/>
  <c r="C12" i="23" s="1"/>
  <c r="E12" i="23"/>
  <c r="F12" i="23"/>
  <c r="A13" i="23"/>
  <c r="B13" i="23"/>
  <c r="D13" i="23"/>
  <c r="C13" i="23" s="1"/>
  <c r="E13" i="23"/>
  <c r="F13" i="23"/>
  <c r="A14" i="23"/>
  <c r="B14" i="23"/>
  <c r="D14" i="23"/>
  <c r="C14" i="23" s="1"/>
  <c r="E14" i="23"/>
  <c r="G14" i="23" s="1"/>
  <c r="F14" i="23"/>
  <c r="A15" i="23"/>
  <c r="B15" i="23"/>
  <c r="D15" i="23"/>
  <c r="C15" i="23" s="1"/>
  <c r="E15" i="23"/>
  <c r="F15" i="23"/>
  <c r="A16" i="23"/>
  <c r="B16" i="23"/>
  <c r="D16" i="23"/>
  <c r="C16" i="23" s="1"/>
  <c r="E16" i="23"/>
  <c r="F16" i="23"/>
  <c r="A17" i="23"/>
  <c r="B17" i="23"/>
  <c r="D17" i="23"/>
  <c r="C17" i="23" s="1"/>
  <c r="E17" i="23"/>
  <c r="F17" i="23"/>
  <c r="A18" i="23"/>
  <c r="B18" i="23"/>
  <c r="D18" i="23"/>
  <c r="C18" i="23" s="1"/>
  <c r="E18" i="23"/>
  <c r="K18" i="23" s="1"/>
  <c r="F18" i="23"/>
  <c r="A19" i="23"/>
  <c r="B19" i="23"/>
  <c r="D19" i="23"/>
  <c r="C19" i="23" s="1"/>
  <c r="E19" i="23"/>
  <c r="F19" i="23"/>
  <c r="A20" i="23"/>
  <c r="B20" i="23"/>
  <c r="D20" i="23"/>
  <c r="C20" i="23" s="1"/>
  <c r="E20" i="23"/>
  <c r="F20" i="23"/>
  <c r="A21" i="23"/>
  <c r="B21" i="23"/>
  <c r="D21" i="23"/>
  <c r="C21" i="23" s="1"/>
  <c r="E21" i="23"/>
  <c r="K21" i="23" s="1"/>
  <c r="F21" i="23"/>
  <c r="A22" i="23"/>
  <c r="B22" i="23"/>
  <c r="D22" i="23"/>
  <c r="C22" i="23" s="1"/>
  <c r="E22" i="23"/>
  <c r="G22" i="23" s="1"/>
  <c r="F22" i="23"/>
  <c r="A23" i="23"/>
  <c r="B23" i="23"/>
  <c r="D23" i="23"/>
  <c r="C23" i="23" s="1"/>
  <c r="E23" i="23"/>
  <c r="F23" i="23"/>
  <c r="A24" i="23"/>
  <c r="B24" i="23"/>
  <c r="D24" i="23"/>
  <c r="C24" i="23" s="1"/>
  <c r="E24" i="23"/>
  <c r="M24" i="23" s="1"/>
  <c r="F24" i="23"/>
  <c r="A25" i="23"/>
  <c r="B25" i="23"/>
  <c r="D25" i="23"/>
  <c r="C25" i="23" s="1"/>
  <c r="E25" i="23"/>
  <c r="F25" i="23"/>
  <c r="A26" i="23"/>
  <c r="B26" i="23"/>
  <c r="D26" i="23"/>
  <c r="C26" i="23" s="1"/>
  <c r="E26" i="23"/>
  <c r="K26" i="23" s="1"/>
  <c r="F26" i="23"/>
  <c r="A27" i="23"/>
  <c r="B27" i="23"/>
  <c r="D27" i="23"/>
  <c r="C27" i="23" s="1"/>
  <c r="E27" i="23"/>
  <c r="F27" i="23"/>
  <c r="A28" i="23"/>
  <c r="B28" i="23"/>
  <c r="D28" i="23"/>
  <c r="C28" i="23" s="1"/>
  <c r="E28" i="23"/>
  <c r="F28" i="23"/>
  <c r="A29" i="23"/>
  <c r="B29" i="23"/>
  <c r="D29" i="23"/>
  <c r="C29" i="23" s="1"/>
  <c r="E29" i="23"/>
  <c r="J29" i="23" s="1"/>
  <c r="I29" i="23" s="1"/>
  <c r="F29" i="23"/>
  <c r="A30" i="23"/>
  <c r="B30" i="23"/>
  <c r="D30" i="23"/>
  <c r="C30" i="23" s="1"/>
  <c r="E30" i="23"/>
  <c r="F30" i="23"/>
  <c r="A31" i="23"/>
  <c r="B31" i="23"/>
  <c r="D31" i="23"/>
  <c r="C31" i="23" s="1"/>
  <c r="E31" i="23"/>
  <c r="K31" i="23" s="1"/>
  <c r="F31" i="23"/>
  <c r="A32" i="23"/>
  <c r="B32" i="23"/>
  <c r="D32" i="23"/>
  <c r="C32" i="23" s="1"/>
  <c r="E32" i="23"/>
  <c r="F32" i="23"/>
  <c r="A33" i="23"/>
  <c r="B33" i="23"/>
  <c r="D33" i="23"/>
  <c r="C33" i="23" s="1"/>
  <c r="E33" i="23"/>
  <c r="M33" i="23" s="1"/>
  <c r="F33" i="23"/>
  <c r="A34" i="23"/>
  <c r="B34" i="23"/>
  <c r="D34" i="23"/>
  <c r="C34" i="23" s="1"/>
  <c r="E34" i="23"/>
  <c r="F34" i="23"/>
  <c r="A35" i="23"/>
  <c r="B35" i="23"/>
  <c r="D35" i="23"/>
  <c r="C35" i="23" s="1"/>
  <c r="E35" i="23"/>
  <c r="L35" i="23" s="1"/>
  <c r="F35" i="23"/>
  <c r="A36" i="23"/>
  <c r="B36" i="23"/>
  <c r="D36" i="23"/>
  <c r="C36" i="23" s="1"/>
  <c r="E36" i="23"/>
  <c r="F36" i="23"/>
  <c r="A37" i="23"/>
  <c r="B37" i="23"/>
  <c r="D37" i="23"/>
  <c r="C37" i="23" s="1"/>
  <c r="E37" i="23"/>
  <c r="J37" i="23" s="1"/>
  <c r="I37" i="23" s="1"/>
  <c r="F37" i="23"/>
  <c r="A38" i="23"/>
  <c r="B38" i="23"/>
  <c r="D38" i="23"/>
  <c r="C38" i="23" s="1"/>
  <c r="E38" i="23"/>
  <c r="F38" i="23"/>
  <c r="A39" i="23"/>
  <c r="B39" i="23"/>
  <c r="D39" i="23"/>
  <c r="C39" i="23" s="1"/>
  <c r="E39" i="23"/>
  <c r="K39" i="23" s="1"/>
  <c r="F39" i="23"/>
  <c r="A40" i="23"/>
  <c r="B40" i="23"/>
  <c r="D40" i="23"/>
  <c r="C40" i="23" s="1"/>
  <c r="E40" i="23"/>
  <c r="M40" i="23" s="1"/>
  <c r="F40" i="23"/>
  <c r="A41" i="23"/>
  <c r="B41" i="23"/>
  <c r="D41" i="23"/>
  <c r="C41" i="23" s="1"/>
  <c r="E41" i="23"/>
  <c r="K41" i="23" s="1"/>
  <c r="F41" i="23"/>
  <c r="A42" i="23"/>
  <c r="B42" i="23"/>
  <c r="D42" i="23"/>
  <c r="C42" i="23" s="1"/>
  <c r="E42" i="23"/>
  <c r="F42" i="23"/>
  <c r="A43" i="23"/>
  <c r="B43" i="23"/>
  <c r="D43" i="23"/>
  <c r="C43" i="23" s="1"/>
  <c r="E43" i="23"/>
  <c r="G43" i="23" s="1"/>
  <c r="F43" i="23"/>
  <c r="A44" i="23"/>
  <c r="B44" i="23"/>
  <c r="D44" i="23"/>
  <c r="C44" i="23" s="1"/>
  <c r="E44" i="23"/>
  <c r="F44" i="23"/>
  <c r="A45" i="23"/>
  <c r="B45" i="23"/>
  <c r="D45" i="23"/>
  <c r="C45" i="23" s="1"/>
  <c r="E45" i="23"/>
  <c r="F45" i="23"/>
  <c r="A46" i="23"/>
  <c r="B46" i="23"/>
  <c r="D46" i="23"/>
  <c r="C46" i="23" s="1"/>
  <c r="E46" i="23"/>
  <c r="G46" i="23" s="1"/>
  <c r="F46" i="23"/>
  <c r="A47" i="23"/>
  <c r="B47" i="23"/>
  <c r="D47" i="23"/>
  <c r="C47" i="23" s="1"/>
  <c r="E47" i="23"/>
  <c r="F47" i="23"/>
  <c r="A48" i="23"/>
  <c r="B48" i="23"/>
  <c r="D48" i="23"/>
  <c r="C48" i="23" s="1"/>
  <c r="E48" i="23"/>
  <c r="F48" i="23"/>
  <c r="A49" i="23"/>
  <c r="B49" i="23"/>
  <c r="D49" i="23"/>
  <c r="C49" i="23" s="1"/>
  <c r="E49" i="23"/>
  <c r="F49" i="23"/>
  <c r="A50" i="23"/>
  <c r="B50" i="23"/>
  <c r="D50" i="23"/>
  <c r="C50" i="23" s="1"/>
  <c r="E50" i="23"/>
  <c r="G50" i="23" s="1"/>
  <c r="F50" i="23"/>
  <c r="A51" i="23"/>
  <c r="B51" i="23"/>
  <c r="D51" i="23"/>
  <c r="C51" i="23" s="1"/>
  <c r="E51" i="23"/>
  <c r="F51" i="23"/>
  <c r="A52" i="23"/>
  <c r="B52" i="23"/>
  <c r="D52" i="23"/>
  <c r="C52" i="23" s="1"/>
  <c r="E52" i="23"/>
  <c r="J52" i="23" s="1"/>
  <c r="I52" i="23" s="1"/>
  <c r="F52" i="23"/>
  <c r="A53" i="23"/>
  <c r="B53" i="23"/>
  <c r="D53" i="23"/>
  <c r="C53" i="23" s="1"/>
  <c r="E53" i="23"/>
  <c r="F53" i="23"/>
  <c r="A54" i="23"/>
  <c r="B54" i="23"/>
  <c r="D54" i="23"/>
  <c r="C54" i="23" s="1"/>
  <c r="E54" i="23"/>
  <c r="G54" i="23" s="1"/>
  <c r="F54" i="23"/>
  <c r="A55" i="23"/>
  <c r="B55" i="23"/>
  <c r="D55" i="23"/>
  <c r="C55" i="23" s="1"/>
  <c r="E55" i="23"/>
  <c r="F55" i="23"/>
  <c r="A56" i="23"/>
  <c r="B56" i="23"/>
  <c r="D56" i="23"/>
  <c r="C56" i="23" s="1"/>
  <c r="E56" i="23"/>
  <c r="M56" i="23" s="1"/>
  <c r="F56" i="23"/>
  <c r="A57" i="23"/>
  <c r="B57" i="23"/>
  <c r="D57" i="23"/>
  <c r="C57" i="23" s="1"/>
  <c r="E57" i="23"/>
  <c r="F57" i="23"/>
  <c r="A58" i="23"/>
  <c r="B58" i="23"/>
  <c r="D58" i="23"/>
  <c r="C58" i="23" s="1"/>
  <c r="E58" i="23"/>
  <c r="L58" i="23" s="1"/>
  <c r="F58" i="23"/>
  <c r="A59" i="23"/>
  <c r="B59" i="23"/>
  <c r="D59" i="23"/>
  <c r="C59" i="23" s="1"/>
  <c r="E59" i="23"/>
  <c r="F59" i="23"/>
  <c r="A60" i="23"/>
  <c r="B60" i="23"/>
  <c r="D60" i="23"/>
  <c r="C60" i="23" s="1"/>
  <c r="E60" i="23"/>
  <c r="F60" i="23"/>
  <c r="A61" i="23"/>
  <c r="B61" i="23"/>
  <c r="D61" i="23"/>
  <c r="C61" i="23" s="1"/>
  <c r="E61" i="23"/>
  <c r="F61" i="23"/>
  <c r="A62" i="23"/>
  <c r="B62" i="23"/>
  <c r="D62" i="23"/>
  <c r="C62" i="23" s="1"/>
  <c r="E62" i="23"/>
  <c r="J62" i="23" s="1"/>
  <c r="I62" i="23" s="1"/>
  <c r="F62" i="23"/>
  <c r="A63" i="23"/>
  <c r="B63" i="23"/>
  <c r="D63" i="23"/>
  <c r="C63" i="23" s="1"/>
  <c r="E63" i="23"/>
  <c r="F63" i="23"/>
  <c r="A64" i="23"/>
  <c r="B64" i="23"/>
  <c r="D64" i="23"/>
  <c r="C64" i="23" s="1"/>
  <c r="E64" i="23"/>
  <c r="F64" i="23"/>
  <c r="A65" i="23"/>
  <c r="B65" i="23"/>
  <c r="D65" i="23"/>
  <c r="C65" i="23" s="1"/>
  <c r="E65" i="23"/>
  <c r="F65" i="23"/>
  <c r="A66" i="23"/>
  <c r="B66" i="23"/>
  <c r="D66" i="23"/>
  <c r="C66" i="23" s="1"/>
  <c r="E66" i="23"/>
  <c r="G66" i="23" s="1"/>
  <c r="F66" i="23"/>
  <c r="A67" i="23"/>
  <c r="B67" i="23"/>
  <c r="D67" i="23"/>
  <c r="C67" i="23" s="1"/>
  <c r="E67" i="23"/>
  <c r="F67" i="23"/>
  <c r="A68" i="23"/>
  <c r="B68" i="23"/>
  <c r="D68" i="23"/>
  <c r="C68" i="23" s="1"/>
  <c r="E68" i="23"/>
  <c r="F68" i="23"/>
  <c r="A69" i="23"/>
  <c r="B69" i="23"/>
  <c r="D69" i="23"/>
  <c r="C69" i="23" s="1"/>
  <c r="E69" i="23"/>
  <c r="F69" i="23"/>
  <c r="A70" i="23"/>
  <c r="B70" i="23"/>
  <c r="D70" i="23"/>
  <c r="C70" i="23" s="1"/>
  <c r="E70" i="23"/>
  <c r="J70" i="23" s="1"/>
  <c r="I70" i="23" s="1"/>
  <c r="F70" i="23"/>
  <c r="A71" i="23"/>
  <c r="B71" i="23"/>
  <c r="D71" i="23"/>
  <c r="C71" i="23" s="1"/>
  <c r="E71" i="23"/>
  <c r="F71" i="23"/>
  <c r="A72" i="23"/>
  <c r="B72" i="23"/>
  <c r="D72" i="23"/>
  <c r="C72" i="23" s="1"/>
  <c r="E72" i="23"/>
  <c r="M72" i="23" s="1"/>
  <c r="F72" i="23"/>
  <c r="A73" i="23"/>
  <c r="B73" i="23"/>
  <c r="D73" i="23"/>
  <c r="C73" i="23" s="1"/>
  <c r="E73" i="23"/>
  <c r="F73" i="23"/>
  <c r="A74" i="23"/>
  <c r="B74" i="23"/>
  <c r="D74" i="23"/>
  <c r="C74" i="23" s="1"/>
  <c r="E74" i="23"/>
  <c r="L74" i="23" s="1"/>
  <c r="F74" i="23"/>
  <c r="A75" i="23"/>
  <c r="B75" i="23"/>
  <c r="D75" i="23"/>
  <c r="C75" i="23" s="1"/>
  <c r="E75" i="23"/>
  <c r="F75" i="23"/>
  <c r="A76" i="23"/>
  <c r="B76" i="23"/>
  <c r="D76" i="23"/>
  <c r="C76" i="23" s="1"/>
  <c r="E76" i="23"/>
  <c r="F76" i="23"/>
  <c r="A77" i="23"/>
  <c r="B77" i="23"/>
  <c r="D77" i="23"/>
  <c r="C77" i="23" s="1"/>
  <c r="E77" i="23"/>
  <c r="F77" i="23"/>
  <c r="A78" i="23"/>
  <c r="B78" i="23"/>
  <c r="D78" i="23"/>
  <c r="C78" i="23" s="1"/>
  <c r="E78" i="23"/>
  <c r="G78" i="23" s="1"/>
  <c r="F78" i="23"/>
  <c r="A79" i="23"/>
  <c r="B79" i="23"/>
  <c r="D79" i="23"/>
  <c r="C79" i="23" s="1"/>
  <c r="E79" i="23"/>
  <c r="F79" i="23"/>
  <c r="A80" i="23"/>
  <c r="B80" i="23"/>
  <c r="D80" i="23"/>
  <c r="C80" i="23" s="1"/>
  <c r="E80" i="23"/>
  <c r="F80" i="23"/>
  <c r="A81" i="23"/>
  <c r="B81" i="23"/>
  <c r="D81" i="23"/>
  <c r="C81" i="23" s="1"/>
  <c r="E81" i="23"/>
  <c r="F81" i="23"/>
  <c r="A82" i="23"/>
  <c r="B82" i="23"/>
  <c r="D82" i="23"/>
  <c r="C82" i="23" s="1"/>
  <c r="E82" i="23"/>
  <c r="K82" i="23" s="1"/>
  <c r="F82" i="23"/>
  <c r="A83" i="23"/>
  <c r="B83" i="23"/>
  <c r="D83" i="23"/>
  <c r="C83" i="23" s="1"/>
  <c r="E83" i="23"/>
  <c r="F83" i="23"/>
  <c r="A84" i="23"/>
  <c r="B84" i="23"/>
  <c r="D84" i="23"/>
  <c r="C84" i="23" s="1"/>
  <c r="E84" i="23"/>
  <c r="F84" i="23"/>
  <c r="A85" i="23"/>
  <c r="B85" i="23"/>
  <c r="D85" i="23"/>
  <c r="C85" i="23" s="1"/>
  <c r="E85" i="23"/>
  <c r="F85" i="23"/>
  <c r="A86" i="23"/>
  <c r="B86" i="23"/>
  <c r="D86" i="23"/>
  <c r="C86" i="23" s="1"/>
  <c r="E86" i="23"/>
  <c r="G86" i="23" s="1"/>
  <c r="F86" i="23"/>
  <c r="A87" i="23"/>
  <c r="B87" i="23"/>
  <c r="D87" i="23"/>
  <c r="C87" i="23" s="1"/>
  <c r="E87" i="23"/>
  <c r="F87" i="23"/>
  <c r="A88" i="23"/>
  <c r="B88" i="23"/>
  <c r="D88" i="23"/>
  <c r="C88" i="23" s="1"/>
  <c r="E88" i="23"/>
  <c r="M88" i="23" s="1"/>
  <c r="F88" i="23"/>
  <c r="A89" i="23"/>
  <c r="B89" i="23"/>
  <c r="D89" i="23"/>
  <c r="C89" i="23" s="1"/>
  <c r="E89" i="23"/>
  <c r="F89" i="23"/>
  <c r="A90" i="23"/>
  <c r="B90" i="23"/>
  <c r="D90" i="23"/>
  <c r="C90" i="23" s="1"/>
  <c r="E90" i="23"/>
  <c r="L90" i="23" s="1"/>
  <c r="F90" i="23"/>
  <c r="A91" i="23"/>
  <c r="B91" i="23"/>
  <c r="D91" i="23"/>
  <c r="C91" i="23" s="1"/>
  <c r="E91" i="23"/>
  <c r="F91" i="23"/>
  <c r="A92" i="23"/>
  <c r="B92" i="23"/>
  <c r="D92" i="23"/>
  <c r="C92" i="23" s="1"/>
  <c r="E92" i="23"/>
  <c r="J92" i="23" s="1"/>
  <c r="I92" i="23" s="1"/>
  <c r="F92" i="23"/>
  <c r="A93" i="23"/>
  <c r="B93" i="23"/>
  <c r="D93" i="23"/>
  <c r="C93" i="23" s="1"/>
  <c r="E93" i="23"/>
  <c r="F93" i="23"/>
  <c r="A94" i="23"/>
  <c r="B94" i="23"/>
  <c r="D94" i="23"/>
  <c r="C94" i="23" s="1"/>
  <c r="E94" i="23"/>
  <c r="G94" i="23" s="1"/>
  <c r="F94" i="23"/>
  <c r="A95" i="23"/>
  <c r="B95" i="23"/>
  <c r="D95" i="23"/>
  <c r="C95" i="23" s="1"/>
  <c r="E95" i="23"/>
  <c r="F95" i="23"/>
  <c r="A96" i="23"/>
  <c r="B96" i="23"/>
  <c r="D96" i="23"/>
  <c r="C96" i="23" s="1"/>
  <c r="E96" i="23"/>
  <c r="K96" i="23" s="1"/>
  <c r="F96" i="23"/>
  <c r="A97" i="23"/>
  <c r="B97" i="23"/>
  <c r="D97" i="23"/>
  <c r="C97" i="23" s="1"/>
  <c r="E97" i="23"/>
  <c r="J97" i="23" s="1"/>
  <c r="I97" i="23" s="1"/>
  <c r="F97" i="23"/>
  <c r="A98" i="23"/>
  <c r="B98" i="23"/>
  <c r="D98" i="23"/>
  <c r="C98" i="23" s="1"/>
  <c r="E98" i="23"/>
  <c r="G98" i="23" s="1"/>
  <c r="F98" i="23"/>
  <c r="A99" i="23"/>
  <c r="B99" i="23"/>
  <c r="D99" i="23"/>
  <c r="C99" i="23" s="1"/>
  <c r="E99" i="23"/>
  <c r="L99" i="23" s="1"/>
  <c r="F99" i="23"/>
  <c r="A100" i="23"/>
  <c r="B100" i="23"/>
  <c r="D100" i="23"/>
  <c r="C100" i="23" s="1"/>
  <c r="E100" i="23"/>
  <c r="F100" i="23"/>
  <c r="A101" i="23"/>
  <c r="B101" i="23"/>
  <c r="D101" i="23"/>
  <c r="C101" i="23" s="1"/>
  <c r="E101" i="23"/>
  <c r="J101" i="23" s="1"/>
  <c r="I101" i="23" s="1"/>
  <c r="F101" i="23"/>
  <c r="A102" i="23"/>
  <c r="B102" i="23"/>
  <c r="D102" i="23"/>
  <c r="C102" i="23" s="1"/>
  <c r="E102" i="23"/>
  <c r="F102" i="23"/>
  <c r="A103" i="23"/>
  <c r="B103" i="23"/>
  <c r="D103" i="23"/>
  <c r="C103" i="23" s="1"/>
  <c r="E103" i="23"/>
  <c r="J103" i="23" s="1"/>
  <c r="I103" i="23" s="1"/>
  <c r="F103" i="23"/>
  <c r="A104" i="23"/>
  <c r="B104" i="23"/>
  <c r="D104" i="23"/>
  <c r="C104" i="23" s="1"/>
  <c r="E104" i="23"/>
  <c r="M104" i="23" s="1"/>
  <c r="F104" i="23"/>
  <c r="A105" i="23"/>
  <c r="B105" i="23"/>
  <c r="D105" i="23"/>
  <c r="C105" i="23" s="1"/>
  <c r="E105" i="23"/>
  <c r="F105" i="23"/>
  <c r="A106" i="23"/>
  <c r="B106" i="23"/>
  <c r="D106" i="23"/>
  <c r="C106" i="23" s="1"/>
  <c r="E106" i="23"/>
  <c r="F106" i="23"/>
  <c r="A107" i="23"/>
  <c r="B107" i="23"/>
  <c r="D107" i="23"/>
  <c r="C107" i="23" s="1"/>
  <c r="E107" i="23"/>
  <c r="K107" i="23" s="1"/>
  <c r="F107" i="23"/>
  <c r="A108" i="23"/>
  <c r="B108" i="23"/>
  <c r="D108" i="23"/>
  <c r="C108" i="23" s="1"/>
  <c r="E108" i="23"/>
  <c r="F108" i="23"/>
  <c r="A109" i="23"/>
  <c r="B109" i="23"/>
  <c r="D109" i="23"/>
  <c r="C109" i="23" s="1"/>
  <c r="E109" i="23"/>
  <c r="K109" i="23" s="1"/>
  <c r="F109" i="23"/>
  <c r="A110" i="23"/>
  <c r="B110" i="23"/>
  <c r="D110" i="23"/>
  <c r="C110" i="23" s="1"/>
  <c r="E110" i="23"/>
  <c r="F110" i="23"/>
  <c r="A111" i="23"/>
  <c r="B111" i="23"/>
  <c r="D111" i="23"/>
  <c r="C111" i="23" s="1"/>
  <c r="E111" i="23"/>
  <c r="J111" i="23" s="1"/>
  <c r="I111" i="23" s="1"/>
  <c r="F111" i="23"/>
  <c r="A112" i="23"/>
  <c r="B112" i="23"/>
  <c r="D112" i="23"/>
  <c r="C112" i="23" s="1"/>
  <c r="E112" i="23"/>
  <c r="F112" i="23"/>
  <c r="A113" i="23"/>
  <c r="B113" i="23"/>
  <c r="D113" i="23"/>
  <c r="C113" i="23" s="1"/>
  <c r="E113" i="23"/>
  <c r="J113" i="23" s="1"/>
  <c r="I113" i="23" s="1"/>
  <c r="F113" i="23"/>
  <c r="A114" i="23"/>
  <c r="B114" i="23"/>
  <c r="D114" i="23"/>
  <c r="C114" i="23" s="1"/>
  <c r="E114" i="23"/>
  <c r="F114" i="23"/>
  <c r="A115" i="23"/>
  <c r="B115" i="23"/>
  <c r="D115" i="23"/>
  <c r="C115" i="23" s="1"/>
  <c r="E115" i="23"/>
  <c r="G115" i="23" s="1"/>
  <c r="F115" i="23"/>
  <c r="A116" i="23"/>
  <c r="B116" i="23"/>
  <c r="D116" i="23"/>
  <c r="C116" i="23" s="1"/>
  <c r="E116" i="23"/>
  <c r="F116" i="23"/>
  <c r="A117" i="23"/>
  <c r="B117" i="23"/>
  <c r="D117" i="23"/>
  <c r="C117" i="23" s="1"/>
  <c r="E117" i="23"/>
  <c r="F117" i="23"/>
  <c r="A118" i="23"/>
  <c r="B118" i="23"/>
  <c r="D118" i="23"/>
  <c r="C118" i="23" s="1"/>
  <c r="E118" i="23"/>
  <c r="F118" i="23"/>
  <c r="A119" i="23"/>
  <c r="B119" i="23"/>
  <c r="D119" i="23"/>
  <c r="C119" i="23" s="1"/>
  <c r="E119" i="23"/>
  <c r="G119" i="23" s="1"/>
  <c r="F119" i="23"/>
  <c r="A120" i="23"/>
  <c r="B120" i="23"/>
  <c r="D120" i="23"/>
  <c r="C120" i="23" s="1"/>
  <c r="E120" i="23"/>
  <c r="F120" i="23"/>
  <c r="A121" i="23"/>
  <c r="B121" i="23"/>
  <c r="D121" i="23"/>
  <c r="C121" i="23" s="1"/>
  <c r="E121" i="23"/>
  <c r="F121" i="23"/>
  <c r="A122" i="23"/>
  <c r="B122" i="23"/>
  <c r="D122" i="23"/>
  <c r="C122" i="23" s="1"/>
  <c r="E122" i="23"/>
  <c r="K122" i="23" s="1"/>
  <c r="F122" i="23"/>
  <c r="A123" i="23"/>
  <c r="B123" i="23"/>
  <c r="D123" i="23"/>
  <c r="C123" i="23" s="1"/>
  <c r="E123" i="23"/>
  <c r="G123" i="23" s="1"/>
  <c r="F123" i="23"/>
  <c r="A124" i="23"/>
  <c r="B124" i="23"/>
  <c r="D124" i="23"/>
  <c r="C124" i="23" s="1"/>
  <c r="E124" i="23"/>
  <c r="F124" i="23"/>
  <c r="A125" i="23"/>
  <c r="B125" i="23"/>
  <c r="D125" i="23"/>
  <c r="C125" i="23" s="1"/>
  <c r="E125" i="23"/>
  <c r="F125" i="23"/>
  <c r="A126" i="23"/>
  <c r="B126" i="23"/>
  <c r="D126" i="23"/>
  <c r="C126" i="23" s="1"/>
  <c r="E126" i="23"/>
  <c r="F126" i="23"/>
  <c r="A127" i="23"/>
  <c r="B127" i="23"/>
  <c r="D127" i="23"/>
  <c r="C127" i="23" s="1"/>
  <c r="E127" i="23"/>
  <c r="G127" i="23" s="1"/>
  <c r="F127" i="23"/>
  <c r="A128" i="23"/>
  <c r="B128" i="23"/>
  <c r="D128" i="23"/>
  <c r="C128" i="23" s="1"/>
  <c r="E128" i="23"/>
  <c r="F128" i="23"/>
  <c r="A129" i="23"/>
  <c r="B129" i="23"/>
  <c r="D129" i="23"/>
  <c r="C129" i="23" s="1"/>
  <c r="E129" i="23"/>
  <c r="F129" i="23"/>
  <c r="A130" i="23"/>
  <c r="B130" i="23"/>
  <c r="D130" i="23"/>
  <c r="C130" i="23" s="1"/>
  <c r="E130" i="23"/>
  <c r="G130" i="23" s="1"/>
  <c r="F130" i="23"/>
  <c r="A131" i="23"/>
  <c r="B131" i="23"/>
  <c r="D131" i="23"/>
  <c r="C131" i="23" s="1"/>
  <c r="E131" i="23"/>
  <c r="F131" i="23"/>
  <c r="A132" i="23"/>
  <c r="B132" i="23"/>
  <c r="D132" i="23"/>
  <c r="C132" i="23" s="1"/>
  <c r="E132" i="23"/>
  <c r="F132" i="23"/>
  <c r="A133" i="23"/>
  <c r="B133" i="23"/>
  <c r="D133" i="23"/>
  <c r="C133" i="23" s="1"/>
  <c r="E133" i="23"/>
  <c r="F133" i="23"/>
  <c r="A134" i="23"/>
  <c r="B134" i="23"/>
  <c r="D134" i="23"/>
  <c r="C134" i="23" s="1"/>
  <c r="E134" i="23"/>
  <c r="G134" i="23" s="1"/>
  <c r="F134" i="23"/>
  <c r="A135" i="23"/>
  <c r="B135" i="23"/>
  <c r="D135" i="23"/>
  <c r="C135" i="23" s="1"/>
  <c r="E135" i="23"/>
  <c r="F135" i="23"/>
  <c r="A136" i="23"/>
  <c r="B136" i="23"/>
  <c r="D136" i="23"/>
  <c r="C136" i="23" s="1"/>
  <c r="E136" i="23"/>
  <c r="M136" i="23" s="1"/>
  <c r="F136" i="23"/>
  <c r="A137" i="23"/>
  <c r="B137" i="23"/>
  <c r="D137" i="23"/>
  <c r="C137" i="23" s="1"/>
  <c r="E137" i="23"/>
  <c r="F137" i="23"/>
  <c r="A138" i="23"/>
  <c r="B138" i="23"/>
  <c r="D138" i="23"/>
  <c r="C138" i="23" s="1"/>
  <c r="E138" i="23"/>
  <c r="G138" i="23" s="1"/>
  <c r="F138" i="23"/>
  <c r="A139" i="23"/>
  <c r="B139" i="23"/>
  <c r="D139" i="23"/>
  <c r="C139" i="23" s="1"/>
  <c r="E139" i="23"/>
  <c r="G139" i="23" s="1"/>
  <c r="F139" i="23"/>
  <c r="A140" i="23"/>
  <c r="B140" i="23"/>
  <c r="D140" i="23"/>
  <c r="C140" i="23" s="1"/>
  <c r="E140" i="23"/>
  <c r="K140" i="23" s="1"/>
  <c r="F140" i="23"/>
  <c r="A141" i="23"/>
  <c r="B141" i="23"/>
  <c r="D141" i="23"/>
  <c r="C141" i="23" s="1"/>
  <c r="E141" i="23"/>
  <c r="F141" i="23"/>
  <c r="A142" i="23"/>
  <c r="B142" i="23"/>
  <c r="D142" i="23"/>
  <c r="C142" i="23" s="1"/>
  <c r="E142" i="23"/>
  <c r="G142" i="23" s="1"/>
  <c r="F142" i="23"/>
  <c r="A143" i="23"/>
  <c r="B143" i="23"/>
  <c r="D143" i="23"/>
  <c r="C143" i="23" s="1"/>
  <c r="E143" i="23"/>
  <c r="F143" i="23"/>
  <c r="A144" i="23"/>
  <c r="B144" i="23"/>
  <c r="D144" i="23"/>
  <c r="C144" i="23" s="1"/>
  <c r="E144" i="23"/>
  <c r="F144" i="23"/>
  <c r="A145" i="23"/>
  <c r="B145" i="23"/>
  <c r="D145" i="23"/>
  <c r="C145" i="23" s="1"/>
  <c r="E145" i="23"/>
  <c r="F145" i="23"/>
  <c r="A146" i="23"/>
  <c r="B146" i="23"/>
  <c r="D146" i="23"/>
  <c r="C146" i="23" s="1"/>
  <c r="E146" i="23"/>
  <c r="G146" i="23" s="1"/>
  <c r="F146" i="23"/>
  <c r="A147" i="23"/>
  <c r="B147" i="23"/>
  <c r="D147" i="23"/>
  <c r="C147" i="23" s="1"/>
  <c r="E147" i="23"/>
  <c r="G147" i="23" s="1"/>
  <c r="F147" i="23"/>
  <c r="A148" i="23"/>
  <c r="B148" i="23"/>
  <c r="D148" i="23"/>
  <c r="C148" i="23" s="1"/>
  <c r="E148" i="23"/>
  <c r="J148" i="23" s="1"/>
  <c r="I148" i="23" s="1"/>
  <c r="F148" i="23"/>
  <c r="A149" i="23"/>
  <c r="B149" i="23"/>
  <c r="D149" i="23"/>
  <c r="C149" i="23" s="1"/>
  <c r="E149" i="23"/>
  <c r="F149" i="23"/>
  <c r="A150" i="23"/>
  <c r="B150" i="23"/>
  <c r="D150" i="23"/>
  <c r="C150" i="23" s="1"/>
  <c r="E150" i="23"/>
  <c r="F150" i="23"/>
  <c r="A151" i="23"/>
  <c r="B151" i="23"/>
  <c r="D151" i="23"/>
  <c r="C151" i="23" s="1"/>
  <c r="E151" i="23"/>
  <c r="G151" i="23" s="1"/>
  <c r="F151" i="23"/>
  <c r="A152" i="23"/>
  <c r="B152" i="23"/>
  <c r="D152" i="23"/>
  <c r="C152" i="23" s="1"/>
  <c r="E152" i="23"/>
  <c r="J152" i="23" s="1"/>
  <c r="I152" i="23" s="1"/>
  <c r="F152" i="23"/>
  <c r="A153" i="23"/>
  <c r="B153" i="23"/>
  <c r="D153" i="23"/>
  <c r="C153" i="23" s="1"/>
  <c r="E153" i="23"/>
  <c r="F153" i="23"/>
  <c r="A154" i="23"/>
  <c r="B154" i="23"/>
  <c r="D154" i="23"/>
  <c r="C154" i="23" s="1"/>
  <c r="E154" i="23"/>
  <c r="F154" i="23"/>
  <c r="A155" i="23"/>
  <c r="B155" i="23"/>
  <c r="D155" i="23"/>
  <c r="C155" i="23" s="1"/>
  <c r="E155" i="23"/>
  <c r="G155" i="23" s="1"/>
  <c r="F155" i="23"/>
  <c r="A156" i="23"/>
  <c r="B156" i="23"/>
  <c r="D156" i="23"/>
  <c r="C156" i="23" s="1"/>
  <c r="E156" i="23"/>
  <c r="F156" i="23"/>
  <c r="A157" i="23"/>
  <c r="B157" i="23"/>
  <c r="D157" i="23"/>
  <c r="C157" i="23" s="1"/>
  <c r="E157" i="23"/>
  <c r="F157" i="23"/>
  <c r="A158" i="23"/>
  <c r="B158" i="23"/>
  <c r="D158" i="23"/>
  <c r="C158" i="23" s="1"/>
  <c r="E158" i="23"/>
  <c r="F158" i="23"/>
  <c r="A159" i="23"/>
  <c r="B159" i="23"/>
  <c r="D159" i="23"/>
  <c r="C159" i="23" s="1"/>
  <c r="E159" i="23"/>
  <c r="G159" i="23" s="1"/>
  <c r="F159" i="23"/>
  <c r="A160" i="23"/>
  <c r="B160" i="23"/>
  <c r="D160" i="23"/>
  <c r="C160" i="23" s="1"/>
  <c r="E160" i="23"/>
  <c r="F160" i="23"/>
  <c r="A161" i="23"/>
  <c r="B161" i="23"/>
  <c r="D161" i="23"/>
  <c r="C161" i="23" s="1"/>
  <c r="E161" i="23"/>
  <c r="K161" i="23" s="1"/>
  <c r="F161" i="23"/>
  <c r="A162" i="23"/>
  <c r="B162" i="23"/>
  <c r="D162" i="23"/>
  <c r="C162" i="23" s="1"/>
  <c r="E162" i="23"/>
  <c r="F162" i="23"/>
  <c r="A163" i="23"/>
  <c r="B163" i="23"/>
  <c r="D163" i="23"/>
  <c r="C163" i="23" s="1"/>
  <c r="E163" i="23"/>
  <c r="J163" i="23" s="1"/>
  <c r="I163" i="23" s="1"/>
  <c r="F163" i="23"/>
  <c r="A164" i="23"/>
  <c r="B164" i="23"/>
  <c r="D164" i="23"/>
  <c r="C164" i="23" s="1"/>
  <c r="E164" i="23"/>
  <c r="F164" i="23"/>
  <c r="A165" i="23"/>
  <c r="B165" i="23"/>
  <c r="D165" i="23"/>
  <c r="C165" i="23" s="1"/>
  <c r="E165" i="23"/>
  <c r="F165" i="23"/>
  <c r="A166" i="23"/>
  <c r="B166" i="23"/>
  <c r="D166" i="23"/>
  <c r="C166" i="23" s="1"/>
  <c r="E166" i="23"/>
  <c r="G166" i="23" s="1"/>
  <c r="F166" i="23"/>
  <c r="A167" i="23"/>
  <c r="B167" i="23"/>
  <c r="D167" i="23"/>
  <c r="C167" i="23" s="1"/>
  <c r="E167" i="23"/>
  <c r="J167" i="23" s="1"/>
  <c r="I167" i="23" s="1"/>
  <c r="F167" i="23"/>
  <c r="A168" i="23"/>
  <c r="B168" i="23"/>
  <c r="D168" i="23"/>
  <c r="C168" i="23" s="1"/>
  <c r="E168" i="23"/>
  <c r="F168" i="23"/>
  <c r="A169" i="23"/>
  <c r="B169" i="23"/>
  <c r="D169" i="23"/>
  <c r="C169" i="23" s="1"/>
  <c r="E169" i="23"/>
  <c r="F169" i="23"/>
  <c r="A170" i="23"/>
  <c r="B170" i="23"/>
  <c r="D170" i="23"/>
  <c r="C170" i="23" s="1"/>
  <c r="E170" i="23"/>
  <c r="J170" i="23" s="1"/>
  <c r="I170" i="23" s="1"/>
  <c r="F170" i="23"/>
  <c r="A171" i="23"/>
  <c r="B171" i="23"/>
  <c r="D171" i="23"/>
  <c r="C171" i="23" s="1"/>
  <c r="E171" i="23"/>
  <c r="F171" i="23"/>
  <c r="A172" i="23"/>
  <c r="B172" i="23"/>
  <c r="D172" i="23"/>
  <c r="C172" i="23" s="1"/>
  <c r="E172" i="23"/>
  <c r="F172" i="23"/>
  <c r="A173" i="23"/>
  <c r="B173" i="23"/>
  <c r="D173" i="23"/>
  <c r="C173" i="23" s="1"/>
  <c r="E173" i="23"/>
  <c r="F173" i="23"/>
  <c r="A174" i="23"/>
  <c r="B174" i="23"/>
  <c r="D174" i="23"/>
  <c r="C174" i="23" s="1"/>
  <c r="E174" i="23"/>
  <c r="K174" i="23" s="1"/>
  <c r="F174" i="23"/>
  <c r="A175" i="23"/>
  <c r="B175" i="23"/>
  <c r="D175" i="23"/>
  <c r="C175" i="23" s="1"/>
  <c r="E175" i="23"/>
  <c r="F175" i="23"/>
  <c r="A176" i="23"/>
  <c r="B176" i="23"/>
  <c r="D176" i="23"/>
  <c r="C176" i="23" s="1"/>
  <c r="E176" i="23"/>
  <c r="G176" i="23" s="1"/>
  <c r="F176" i="23"/>
  <c r="A177" i="23"/>
  <c r="B177" i="23"/>
  <c r="D177" i="23"/>
  <c r="C177" i="23" s="1"/>
  <c r="E177" i="23"/>
  <c r="K177" i="23" s="1"/>
  <c r="F177" i="23"/>
  <c r="A178" i="23"/>
  <c r="B178" i="23"/>
  <c r="D178" i="23"/>
  <c r="C178" i="23" s="1"/>
  <c r="E178" i="23"/>
  <c r="F178" i="23"/>
  <c r="A179" i="23"/>
  <c r="B179" i="23"/>
  <c r="D179" i="23"/>
  <c r="C179" i="23" s="1"/>
  <c r="E179" i="23"/>
  <c r="J179" i="23" s="1"/>
  <c r="I179" i="23" s="1"/>
  <c r="F179" i="23"/>
  <c r="A180" i="23"/>
  <c r="B180" i="23"/>
  <c r="D180" i="23"/>
  <c r="C180" i="23" s="1"/>
  <c r="E180" i="23"/>
  <c r="F180" i="23"/>
  <c r="A181" i="23"/>
  <c r="B181" i="23"/>
  <c r="D181" i="23"/>
  <c r="C181" i="23" s="1"/>
  <c r="E181" i="23"/>
  <c r="J181" i="23" s="1"/>
  <c r="I181" i="23" s="1"/>
  <c r="F181" i="23"/>
  <c r="A182" i="23"/>
  <c r="B182" i="23"/>
  <c r="D182" i="23"/>
  <c r="C182" i="23" s="1"/>
  <c r="E182" i="23"/>
  <c r="F182" i="23"/>
  <c r="A183" i="23"/>
  <c r="B183" i="23"/>
  <c r="D183" i="23"/>
  <c r="C183" i="23" s="1"/>
  <c r="E183" i="23"/>
  <c r="K183" i="23" s="1"/>
  <c r="F183" i="23"/>
  <c r="A184" i="23"/>
  <c r="B184" i="23"/>
  <c r="D184" i="23"/>
  <c r="C184" i="23" s="1"/>
  <c r="E184" i="23"/>
  <c r="G184" i="23" s="1"/>
  <c r="F184" i="23"/>
  <c r="A185" i="23"/>
  <c r="B185" i="23"/>
  <c r="D185" i="23"/>
  <c r="C185" i="23" s="1"/>
  <c r="E185" i="23"/>
  <c r="F185" i="23"/>
  <c r="A186" i="23"/>
  <c r="B186" i="23"/>
  <c r="D186" i="23"/>
  <c r="C186" i="23" s="1"/>
  <c r="E186" i="23"/>
  <c r="F186" i="23"/>
  <c r="A187" i="23"/>
  <c r="B187" i="23"/>
  <c r="D187" i="23"/>
  <c r="C187" i="23" s="1"/>
  <c r="E187" i="23"/>
  <c r="K187" i="23" s="1"/>
  <c r="F187" i="23"/>
  <c r="A188" i="23"/>
  <c r="B188" i="23"/>
  <c r="D188" i="23"/>
  <c r="C188" i="23" s="1"/>
  <c r="E188" i="23"/>
  <c r="J188" i="23" s="1"/>
  <c r="I188" i="23" s="1"/>
  <c r="F188" i="23"/>
  <c r="A189" i="23"/>
  <c r="B189" i="23"/>
  <c r="D189" i="23"/>
  <c r="C189" i="23" s="1"/>
  <c r="E189" i="23"/>
  <c r="F189" i="23"/>
  <c r="A190" i="23"/>
  <c r="B190" i="23"/>
  <c r="D190" i="23"/>
  <c r="C190" i="23" s="1"/>
  <c r="E190" i="23"/>
  <c r="K190" i="23" s="1"/>
  <c r="F190" i="23"/>
  <c r="A191" i="23"/>
  <c r="B191" i="23"/>
  <c r="D191" i="23"/>
  <c r="C191" i="23" s="1"/>
  <c r="E191" i="23"/>
  <c r="G191" i="23" s="1"/>
  <c r="F191" i="23"/>
  <c r="A192" i="23"/>
  <c r="B192" i="23"/>
  <c r="D192" i="23"/>
  <c r="C192" i="23" s="1"/>
  <c r="E192" i="23"/>
  <c r="J192" i="23" s="1"/>
  <c r="I192" i="23" s="1"/>
  <c r="F192" i="23"/>
  <c r="A193" i="23"/>
  <c r="B193" i="23"/>
  <c r="D193" i="23"/>
  <c r="C193" i="23" s="1"/>
  <c r="E193" i="23"/>
  <c r="F193" i="23"/>
  <c r="A194" i="23"/>
  <c r="B194" i="23"/>
  <c r="D194" i="23"/>
  <c r="C194" i="23" s="1"/>
  <c r="E194" i="23"/>
  <c r="F194" i="23"/>
  <c r="A195" i="23"/>
  <c r="B195" i="23"/>
  <c r="D195" i="23"/>
  <c r="C195" i="23" s="1"/>
  <c r="E195" i="23"/>
  <c r="G195" i="23" s="1"/>
  <c r="F195" i="23"/>
  <c r="A196" i="23"/>
  <c r="B196" i="23"/>
  <c r="D196" i="23"/>
  <c r="C196" i="23" s="1"/>
  <c r="E196" i="23"/>
  <c r="J196" i="23" s="1"/>
  <c r="I196" i="23" s="1"/>
  <c r="F196" i="23"/>
  <c r="A197" i="23"/>
  <c r="B197" i="23"/>
  <c r="D197" i="23"/>
  <c r="C197" i="23" s="1"/>
  <c r="E197" i="23"/>
  <c r="F197" i="23"/>
  <c r="A198" i="23"/>
  <c r="B198" i="23"/>
  <c r="D198" i="23"/>
  <c r="C198" i="23" s="1"/>
  <c r="E198" i="23"/>
  <c r="K198" i="23" s="1"/>
  <c r="F198" i="23"/>
  <c r="A199" i="23"/>
  <c r="B199" i="23"/>
  <c r="D199" i="23"/>
  <c r="C199" i="23" s="1"/>
  <c r="E199" i="23"/>
  <c r="F199" i="23"/>
  <c r="A200" i="23"/>
  <c r="B200" i="23"/>
  <c r="D200" i="23"/>
  <c r="C200" i="23" s="1"/>
  <c r="E200" i="23"/>
  <c r="K200" i="23" s="1"/>
  <c r="F200" i="23"/>
  <c r="A201" i="23"/>
  <c r="B201" i="23"/>
  <c r="D201" i="23"/>
  <c r="C201" i="23" s="1"/>
  <c r="E201" i="23"/>
  <c r="F201" i="23"/>
  <c r="A202" i="23"/>
  <c r="B202" i="23"/>
  <c r="D202" i="23"/>
  <c r="C202" i="23" s="1"/>
  <c r="E202" i="23"/>
  <c r="F202" i="23"/>
  <c r="A203" i="23"/>
  <c r="B203" i="23"/>
  <c r="D203" i="23"/>
  <c r="C203" i="23" s="1"/>
  <c r="E203" i="23"/>
  <c r="F203" i="23"/>
  <c r="A204" i="23"/>
  <c r="B204" i="23"/>
  <c r="D204" i="23"/>
  <c r="C204" i="23" s="1"/>
  <c r="E204" i="23"/>
  <c r="K204" i="23" s="1"/>
  <c r="F204" i="23"/>
  <c r="A205" i="23"/>
  <c r="B205" i="23"/>
  <c r="D205" i="23"/>
  <c r="C205" i="23" s="1"/>
  <c r="E205" i="23"/>
  <c r="F205" i="23"/>
  <c r="A206" i="23"/>
  <c r="B206" i="23"/>
  <c r="D206" i="23"/>
  <c r="C206" i="23" s="1"/>
  <c r="E206" i="23"/>
  <c r="J206" i="23" s="1"/>
  <c r="I206" i="23" s="1"/>
  <c r="F206" i="23"/>
  <c r="A207" i="23"/>
  <c r="B207" i="23"/>
  <c r="D207" i="23"/>
  <c r="C207" i="23" s="1"/>
  <c r="E207" i="23"/>
  <c r="G207" i="23" s="1"/>
  <c r="F207" i="23"/>
  <c r="A208" i="23"/>
  <c r="B208" i="23"/>
  <c r="D208" i="23"/>
  <c r="C208" i="23" s="1"/>
  <c r="E208" i="23"/>
  <c r="F208" i="23"/>
  <c r="A209" i="23"/>
  <c r="B209" i="23"/>
  <c r="D209" i="23"/>
  <c r="C209" i="23" s="1"/>
  <c r="E209" i="23"/>
  <c r="F209" i="23"/>
  <c r="A210" i="23"/>
  <c r="B210" i="23"/>
  <c r="D210" i="23"/>
  <c r="C210" i="23" s="1"/>
  <c r="E210" i="23"/>
  <c r="F210" i="23"/>
  <c r="A211" i="23"/>
  <c r="B211" i="23"/>
  <c r="D211" i="23"/>
  <c r="C211" i="23" s="1"/>
  <c r="E211" i="23"/>
  <c r="J211" i="23" s="1"/>
  <c r="I211" i="23" s="1"/>
  <c r="F211" i="23"/>
  <c r="A212" i="23"/>
  <c r="B212" i="23"/>
  <c r="D212" i="23"/>
  <c r="C212" i="23" s="1"/>
  <c r="E212" i="23"/>
  <c r="F212" i="23"/>
  <c r="A213" i="23"/>
  <c r="B213" i="23"/>
  <c r="D213" i="23"/>
  <c r="C213" i="23" s="1"/>
  <c r="E213" i="23"/>
  <c r="K213" i="23" s="1"/>
  <c r="F213" i="23"/>
  <c r="A214" i="23"/>
  <c r="B214" i="23"/>
  <c r="D214" i="23"/>
  <c r="C214" i="23" s="1"/>
  <c r="E214" i="23"/>
  <c r="F214" i="23"/>
  <c r="A215" i="23"/>
  <c r="B215" i="23"/>
  <c r="D215" i="23"/>
  <c r="C215" i="23" s="1"/>
  <c r="E215" i="23"/>
  <c r="J215" i="23" s="1"/>
  <c r="I215" i="23" s="1"/>
  <c r="F215" i="23"/>
  <c r="A216" i="23"/>
  <c r="B216" i="23"/>
  <c r="D216" i="23"/>
  <c r="C216" i="23" s="1"/>
  <c r="E216" i="23"/>
  <c r="G216" i="23" s="1"/>
  <c r="F216" i="23"/>
  <c r="A217" i="23"/>
  <c r="B217" i="23"/>
  <c r="D217" i="23"/>
  <c r="C217" i="23" s="1"/>
  <c r="E217" i="23"/>
  <c r="F217" i="23"/>
  <c r="A218" i="23"/>
  <c r="B218" i="23"/>
  <c r="D218" i="23"/>
  <c r="C218" i="23" s="1"/>
  <c r="E218" i="23"/>
  <c r="F218" i="23"/>
  <c r="A219" i="23"/>
  <c r="B219" i="23"/>
  <c r="D219" i="23"/>
  <c r="C219" i="23" s="1"/>
  <c r="E219" i="23"/>
  <c r="J219" i="23" s="1"/>
  <c r="I219" i="23" s="1"/>
  <c r="F219" i="23"/>
  <c r="A220" i="23"/>
  <c r="B220" i="23"/>
  <c r="D220" i="23"/>
  <c r="C220" i="23" s="1"/>
  <c r="E220" i="23"/>
  <c r="G220" i="23" s="1"/>
  <c r="F220" i="23"/>
  <c r="A221" i="23"/>
  <c r="B221" i="23"/>
  <c r="D221" i="23"/>
  <c r="C221" i="23" s="1"/>
  <c r="E221" i="23"/>
  <c r="F221" i="23"/>
  <c r="A222" i="23"/>
  <c r="B222" i="23"/>
  <c r="D222" i="23"/>
  <c r="C222" i="23" s="1"/>
  <c r="E222" i="23"/>
  <c r="F222" i="23"/>
  <c r="A223" i="23"/>
  <c r="B223" i="23"/>
  <c r="D223" i="23"/>
  <c r="C223" i="23" s="1"/>
  <c r="E223" i="23"/>
  <c r="K223" i="23" s="1"/>
  <c r="F223" i="23"/>
  <c r="A224" i="23"/>
  <c r="B224" i="23"/>
  <c r="D224" i="23"/>
  <c r="C224" i="23" s="1"/>
  <c r="E224" i="23"/>
  <c r="F224" i="23"/>
  <c r="A225" i="23"/>
  <c r="B225" i="23"/>
  <c r="D225" i="23"/>
  <c r="C225" i="23" s="1"/>
  <c r="E225" i="23"/>
  <c r="F225" i="23"/>
  <c r="A226" i="23"/>
  <c r="B226" i="23"/>
  <c r="D226" i="23"/>
  <c r="C226" i="23" s="1"/>
  <c r="E226" i="23"/>
  <c r="F226" i="23"/>
  <c r="A227" i="23"/>
  <c r="B227" i="23"/>
  <c r="D227" i="23"/>
  <c r="C227" i="23" s="1"/>
  <c r="E227" i="23"/>
  <c r="K227" i="23" s="1"/>
  <c r="F227" i="23"/>
  <c r="A228" i="23"/>
  <c r="B228" i="23"/>
  <c r="D228" i="23"/>
  <c r="C228" i="23" s="1"/>
  <c r="E228" i="23"/>
  <c r="F228" i="23"/>
  <c r="A229" i="23"/>
  <c r="B229" i="23"/>
  <c r="D229" i="23"/>
  <c r="C229" i="23" s="1"/>
  <c r="E229" i="23"/>
  <c r="J229" i="23" s="1"/>
  <c r="I229" i="23" s="1"/>
  <c r="F229" i="23"/>
  <c r="A230" i="23"/>
  <c r="B230" i="23"/>
  <c r="D230" i="23"/>
  <c r="C230" i="23" s="1"/>
  <c r="E230" i="23"/>
  <c r="F230" i="23"/>
  <c r="A231" i="23"/>
  <c r="B231" i="23"/>
  <c r="D231" i="23"/>
  <c r="C231" i="23" s="1"/>
  <c r="E231" i="23"/>
  <c r="K231" i="23" s="1"/>
  <c r="F231" i="23"/>
  <c r="A232" i="23"/>
  <c r="B232" i="23"/>
  <c r="D232" i="23"/>
  <c r="C232" i="23" s="1"/>
  <c r="E232" i="23"/>
  <c r="J232" i="23" s="1"/>
  <c r="I232" i="23" s="1"/>
  <c r="F232" i="23"/>
  <c r="A233" i="23"/>
  <c r="B233" i="23"/>
  <c r="D233" i="23"/>
  <c r="C233" i="23" s="1"/>
  <c r="E233" i="23"/>
  <c r="F233" i="23"/>
  <c r="A234" i="23"/>
  <c r="B234" i="23"/>
  <c r="D234" i="23"/>
  <c r="C234" i="23" s="1"/>
  <c r="E234" i="23"/>
  <c r="K234" i="23" s="1"/>
  <c r="F234" i="23"/>
  <c r="A235" i="23"/>
  <c r="B235" i="23"/>
  <c r="D235" i="23"/>
  <c r="C235" i="23" s="1"/>
  <c r="E235" i="23"/>
  <c r="F235" i="23"/>
  <c r="A236" i="23"/>
  <c r="B236" i="23"/>
  <c r="D236" i="23"/>
  <c r="C236" i="23" s="1"/>
  <c r="E236" i="23"/>
  <c r="J236" i="23" s="1"/>
  <c r="I236" i="23" s="1"/>
  <c r="F236" i="23"/>
  <c r="A237" i="23"/>
  <c r="B237" i="23"/>
  <c r="D237" i="23"/>
  <c r="C237" i="23" s="1"/>
  <c r="E237" i="23"/>
  <c r="F237" i="23"/>
  <c r="A238" i="23"/>
  <c r="B238" i="23"/>
  <c r="D238" i="23"/>
  <c r="C238" i="23" s="1"/>
  <c r="E238" i="23"/>
  <c r="K238" i="23" s="1"/>
  <c r="F238" i="23"/>
  <c r="A239" i="23"/>
  <c r="B239" i="23"/>
  <c r="D239" i="23"/>
  <c r="C239" i="23" s="1"/>
  <c r="E239" i="23"/>
  <c r="G239" i="23" s="1"/>
  <c r="F239" i="23"/>
  <c r="A240" i="23"/>
  <c r="B240" i="23"/>
  <c r="D240" i="23"/>
  <c r="C240" i="23" s="1"/>
  <c r="E240" i="23"/>
  <c r="K240" i="23" s="1"/>
  <c r="F240" i="23"/>
  <c r="A241" i="23"/>
  <c r="B241" i="23"/>
  <c r="D241" i="23"/>
  <c r="C241" i="23" s="1"/>
  <c r="E241" i="23"/>
  <c r="F241" i="23"/>
  <c r="A242" i="23"/>
  <c r="B242" i="23"/>
  <c r="D242" i="23"/>
  <c r="C242" i="23" s="1"/>
  <c r="E242" i="23"/>
  <c r="F242" i="23"/>
  <c r="A243" i="23"/>
  <c r="B243" i="23"/>
  <c r="D243" i="23"/>
  <c r="C243" i="23" s="1"/>
  <c r="E243" i="23"/>
  <c r="G243" i="23" s="1"/>
  <c r="F243" i="23"/>
  <c r="A244" i="23"/>
  <c r="B244" i="23"/>
  <c r="D244" i="23"/>
  <c r="C244" i="23" s="1"/>
  <c r="E244" i="23"/>
  <c r="K244" i="23" s="1"/>
  <c r="F244" i="23"/>
  <c r="A245" i="23"/>
  <c r="B245" i="23"/>
  <c r="D245" i="23"/>
  <c r="C245" i="23" s="1"/>
  <c r="E245" i="23"/>
  <c r="F245" i="23"/>
  <c r="A246" i="23"/>
  <c r="B246" i="23"/>
  <c r="D246" i="23"/>
  <c r="C246" i="23" s="1"/>
  <c r="E246" i="23"/>
  <c r="J246" i="23" s="1"/>
  <c r="I246" i="23" s="1"/>
  <c r="F246" i="23"/>
  <c r="A247" i="23"/>
  <c r="B247" i="23"/>
  <c r="D247" i="23"/>
  <c r="C247" i="23" s="1"/>
  <c r="E247" i="23"/>
  <c r="G247" i="23" s="1"/>
  <c r="F247" i="23"/>
  <c r="A248" i="23"/>
  <c r="B248" i="23"/>
  <c r="D248" i="23"/>
  <c r="C248" i="23" s="1"/>
  <c r="E248" i="23"/>
  <c r="K248" i="23" s="1"/>
  <c r="F248" i="23"/>
  <c r="A249" i="23"/>
  <c r="B249" i="23"/>
  <c r="D249" i="23"/>
  <c r="C249" i="23" s="1"/>
  <c r="E249" i="23"/>
  <c r="F249" i="23"/>
  <c r="A250" i="23"/>
  <c r="B250" i="23"/>
  <c r="D250" i="23"/>
  <c r="C250" i="23" s="1"/>
  <c r="E250" i="23"/>
  <c r="J250" i="23" s="1"/>
  <c r="I250" i="23" s="1"/>
  <c r="F250" i="23"/>
  <c r="A251" i="23"/>
  <c r="B251" i="23"/>
  <c r="D251" i="23"/>
  <c r="C251" i="23" s="1"/>
  <c r="E251" i="23"/>
  <c r="F251" i="23"/>
  <c r="A252" i="23"/>
  <c r="B252" i="23"/>
  <c r="D252" i="23"/>
  <c r="C252" i="23" s="1"/>
  <c r="E252" i="23"/>
  <c r="G252" i="23" s="1"/>
  <c r="F252" i="23"/>
  <c r="A253" i="23"/>
  <c r="B253" i="23"/>
  <c r="D253" i="23"/>
  <c r="C253" i="23" s="1"/>
  <c r="E253" i="23"/>
  <c r="K253" i="23" s="1"/>
  <c r="F253" i="23"/>
  <c r="A254" i="23"/>
  <c r="B254" i="23"/>
  <c r="D254" i="23"/>
  <c r="C254" i="23" s="1"/>
  <c r="E254" i="23"/>
  <c r="F254" i="23"/>
  <c r="A255" i="23"/>
  <c r="B255" i="23"/>
  <c r="D255" i="23"/>
  <c r="C255" i="23" s="1"/>
  <c r="E255" i="23"/>
  <c r="J255" i="23" s="1"/>
  <c r="I255" i="23" s="1"/>
  <c r="F255" i="23"/>
  <c r="A256" i="23"/>
  <c r="B256" i="23"/>
  <c r="D256" i="23"/>
  <c r="C256" i="23" s="1"/>
  <c r="E256" i="23"/>
  <c r="F256" i="23"/>
  <c r="A257" i="23"/>
  <c r="B257" i="23"/>
  <c r="D257" i="23"/>
  <c r="C257" i="23" s="1"/>
  <c r="E257" i="23"/>
  <c r="F257" i="23"/>
  <c r="A258" i="23"/>
  <c r="B258" i="23"/>
  <c r="D258" i="23"/>
  <c r="C258" i="23" s="1"/>
  <c r="E258" i="23"/>
  <c r="F258" i="23"/>
  <c r="A259" i="23"/>
  <c r="B259" i="23"/>
  <c r="D259" i="23"/>
  <c r="C259" i="23" s="1"/>
  <c r="E259" i="23"/>
  <c r="J259" i="23" s="1"/>
  <c r="I259" i="23" s="1"/>
  <c r="F259" i="23"/>
  <c r="A260" i="23"/>
  <c r="B260" i="23"/>
  <c r="D260" i="23"/>
  <c r="C260" i="23" s="1"/>
  <c r="E260" i="23"/>
  <c r="F260" i="23"/>
  <c r="A261" i="23"/>
  <c r="B261" i="23"/>
  <c r="D261" i="23"/>
  <c r="C261" i="23" s="1"/>
  <c r="E261" i="23"/>
  <c r="K261" i="23" s="1"/>
  <c r="F261" i="23"/>
  <c r="A262" i="23"/>
  <c r="B262" i="23"/>
  <c r="D262" i="23"/>
  <c r="C262" i="23" s="1"/>
  <c r="E262" i="23"/>
  <c r="F262" i="23"/>
  <c r="A263" i="23"/>
  <c r="B263" i="23"/>
  <c r="D263" i="23"/>
  <c r="C263" i="23" s="1"/>
  <c r="E263" i="23"/>
  <c r="J263" i="23" s="1"/>
  <c r="I263" i="23" s="1"/>
  <c r="F263" i="23"/>
  <c r="A264" i="23"/>
  <c r="B264" i="23"/>
  <c r="D264" i="23"/>
  <c r="C264" i="23" s="1"/>
  <c r="E264" i="23"/>
  <c r="G264" i="23" s="1"/>
  <c r="F264" i="23"/>
  <c r="A265" i="23"/>
  <c r="B265" i="23"/>
  <c r="D265" i="23"/>
  <c r="C265" i="23" s="1"/>
  <c r="E265" i="23"/>
  <c r="F265" i="23"/>
  <c r="A266" i="23"/>
  <c r="B266" i="23"/>
  <c r="D266" i="23"/>
  <c r="C266" i="23" s="1"/>
  <c r="E266" i="23"/>
  <c r="F266" i="23"/>
  <c r="A267" i="23"/>
  <c r="B267" i="23"/>
  <c r="D267" i="23"/>
  <c r="C267" i="23" s="1"/>
  <c r="E267" i="23"/>
  <c r="K267" i="23" s="1"/>
  <c r="F267" i="23"/>
  <c r="A268" i="23"/>
  <c r="B268" i="23"/>
  <c r="D268" i="23"/>
  <c r="C268" i="23" s="1"/>
  <c r="E268" i="23"/>
  <c r="G268" i="23" s="1"/>
  <c r="F268" i="23"/>
  <c r="A269" i="23"/>
  <c r="B269" i="23"/>
  <c r="D269" i="23"/>
  <c r="C269" i="23" s="1"/>
  <c r="E269" i="23"/>
  <c r="J269" i="23" s="1"/>
  <c r="I269" i="23" s="1"/>
  <c r="F269" i="23"/>
  <c r="A270" i="23"/>
  <c r="B270" i="23"/>
  <c r="D270" i="23"/>
  <c r="C270" i="23" s="1"/>
  <c r="E270" i="23"/>
  <c r="F270" i="23"/>
  <c r="A271" i="23"/>
  <c r="B271" i="23"/>
  <c r="D271" i="23"/>
  <c r="C271" i="23" s="1"/>
  <c r="E271" i="23"/>
  <c r="K271" i="23" s="1"/>
  <c r="F271" i="23"/>
  <c r="A272" i="23"/>
  <c r="B272" i="23"/>
  <c r="D272" i="23"/>
  <c r="C272" i="23" s="1"/>
  <c r="E272" i="23"/>
  <c r="J272" i="23" s="1"/>
  <c r="I272" i="23" s="1"/>
  <c r="F272" i="23"/>
  <c r="A273" i="23"/>
  <c r="B273" i="23"/>
  <c r="D273" i="23"/>
  <c r="C273" i="23" s="1"/>
  <c r="E273" i="23"/>
  <c r="F273" i="23"/>
  <c r="A274" i="23"/>
  <c r="B274" i="23"/>
  <c r="D274" i="23"/>
  <c r="C274" i="23" s="1"/>
  <c r="E274" i="23"/>
  <c r="K274" i="23" s="1"/>
  <c r="F274" i="23"/>
  <c r="A275" i="23"/>
  <c r="B275" i="23"/>
  <c r="D275" i="23"/>
  <c r="C275" i="23" s="1"/>
  <c r="E275" i="23"/>
  <c r="G275" i="23" s="1"/>
  <c r="F275" i="23"/>
  <c r="A276" i="23"/>
  <c r="B276" i="23"/>
  <c r="D276" i="23"/>
  <c r="C276" i="23" s="1"/>
  <c r="E276" i="23"/>
  <c r="J276" i="23" s="1"/>
  <c r="I276" i="23" s="1"/>
  <c r="F276" i="23"/>
  <c r="A277" i="23"/>
  <c r="B277" i="23"/>
  <c r="D277" i="23"/>
  <c r="C277" i="23" s="1"/>
  <c r="E277" i="23"/>
  <c r="F277" i="23"/>
  <c r="A278" i="23"/>
  <c r="B278" i="23"/>
  <c r="D278" i="23"/>
  <c r="C278" i="23" s="1"/>
  <c r="E278" i="23"/>
  <c r="F278" i="23"/>
  <c r="A279" i="23"/>
  <c r="B279" i="23"/>
  <c r="D279" i="23"/>
  <c r="C279" i="23" s="1"/>
  <c r="E279" i="23"/>
  <c r="F279" i="23"/>
  <c r="A280" i="23"/>
  <c r="B280" i="23"/>
  <c r="D280" i="23"/>
  <c r="C280" i="23" s="1"/>
  <c r="E280" i="23"/>
  <c r="J280" i="23" s="1"/>
  <c r="I280" i="23" s="1"/>
  <c r="F280" i="23"/>
  <c r="A281" i="23"/>
  <c r="B281" i="23"/>
  <c r="D281" i="23"/>
  <c r="C281" i="23" s="1"/>
  <c r="E281" i="23"/>
  <c r="F281" i="23"/>
  <c r="A282" i="23"/>
  <c r="B282" i="23"/>
  <c r="D282" i="23"/>
  <c r="C282" i="23" s="1"/>
  <c r="E282" i="23"/>
  <c r="K282" i="23" s="1"/>
  <c r="F282" i="23"/>
  <c r="A283" i="23"/>
  <c r="B283" i="23"/>
  <c r="D283" i="23"/>
  <c r="C283" i="23" s="1"/>
  <c r="E283" i="23"/>
  <c r="F283" i="23"/>
  <c r="A284" i="23"/>
  <c r="B284" i="23"/>
  <c r="D284" i="23"/>
  <c r="C284" i="23" s="1"/>
  <c r="E284" i="23"/>
  <c r="K284" i="23" s="1"/>
  <c r="F284" i="23"/>
  <c r="A285" i="23"/>
  <c r="B285" i="23"/>
  <c r="D285" i="23"/>
  <c r="C285" i="23" s="1"/>
  <c r="E285" i="23"/>
  <c r="F285" i="23"/>
  <c r="A286" i="23"/>
  <c r="B286" i="23"/>
  <c r="D286" i="23"/>
  <c r="C286" i="23" s="1"/>
  <c r="E286" i="23"/>
  <c r="F286" i="23"/>
  <c r="A287" i="23"/>
  <c r="B287" i="23"/>
  <c r="D287" i="23"/>
  <c r="C287" i="23" s="1"/>
  <c r="E287" i="23"/>
  <c r="G287" i="23" s="1"/>
  <c r="F287" i="23"/>
  <c r="A288" i="23"/>
  <c r="B288" i="23"/>
  <c r="D288" i="23"/>
  <c r="C288" i="23" s="1"/>
  <c r="E288" i="23"/>
  <c r="K288" i="23" s="1"/>
  <c r="F288" i="23"/>
  <c r="A289" i="23"/>
  <c r="B289" i="23"/>
  <c r="D289" i="23"/>
  <c r="C289" i="23" s="1"/>
  <c r="E289" i="23"/>
  <c r="F289" i="23"/>
  <c r="A290" i="23"/>
  <c r="B290" i="23"/>
  <c r="D290" i="23"/>
  <c r="C290" i="23" s="1"/>
  <c r="E290" i="23"/>
  <c r="J290" i="23" s="1"/>
  <c r="I290" i="23" s="1"/>
  <c r="F290" i="23"/>
  <c r="A291" i="23"/>
  <c r="B291" i="23"/>
  <c r="D291" i="23"/>
  <c r="C291" i="23" s="1"/>
  <c r="E291" i="23"/>
  <c r="G291" i="23" s="1"/>
  <c r="F291" i="23"/>
  <c r="A292" i="23"/>
  <c r="B292" i="23"/>
  <c r="D292" i="23"/>
  <c r="C292" i="23" s="1"/>
  <c r="E292" i="23"/>
  <c r="K292" i="23" s="1"/>
  <c r="F292" i="23"/>
  <c r="A293" i="23"/>
  <c r="B293" i="23"/>
  <c r="D293" i="23"/>
  <c r="C293" i="23" s="1"/>
  <c r="E293" i="23"/>
  <c r="F293" i="23"/>
  <c r="A294" i="23"/>
  <c r="B294" i="23"/>
  <c r="D294" i="23"/>
  <c r="C294" i="23" s="1"/>
  <c r="E294" i="23"/>
  <c r="F294" i="23"/>
  <c r="A295" i="23"/>
  <c r="B295" i="23"/>
  <c r="D295" i="23"/>
  <c r="C295" i="23" s="1"/>
  <c r="E295" i="23"/>
  <c r="G295" i="23" s="1"/>
  <c r="F295" i="23"/>
  <c r="A296" i="23"/>
  <c r="B296" i="23"/>
  <c r="D296" i="23"/>
  <c r="C296" i="23" s="1"/>
  <c r="E296" i="23"/>
  <c r="G296" i="23" s="1"/>
  <c r="F296" i="23"/>
  <c r="A297" i="23"/>
  <c r="B297" i="23"/>
  <c r="D297" i="23"/>
  <c r="C297" i="23" s="1"/>
  <c r="E297" i="23"/>
  <c r="F297" i="23"/>
  <c r="A298" i="23"/>
  <c r="B298" i="23"/>
  <c r="D298" i="23"/>
  <c r="C298" i="23" s="1"/>
  <c r="E298" i="23"/>
  <c r="F298" i="23"/>
  <c r="A299" i="23"/>
  <c r="B299" i="23"/>
  <c r="D299" i="23"/>
  <c r="C299" i="23" s="1"/>
  <c r="E299" i="23"/>
  <c r="J299" i="23" s="1"/>
  <c r="I299" i="23" s="1"/>
  <c r="F299" i="23"/>
  <c r="A300" i="23"/>
  <c r="B300" i="23"/>
  <c r="D300" i="23"/>
  <c r="C300" i="23" s="1"/>
  <c r="E300" i="23"/>
  <c r="G300" i="23" s="1"/>
  <c r="F300" i="23"/>
  <c r="A301" i="23"/>
  <c r="B301" i="23"/>
  <c r="D301" i="23"/>
  <c r="C301" i="23" s="1"/>
  <c r="E301" i="23"/>
  <c r="F301" i="23"/>
  <c r="A302" i="23"/>
  <c r="B302" i="23"/>
  <c r="D302" i="23"/>
  <c r="C302" i="23" s="1"/>
  <c r="E302" i="23"/>
  <c r="F302" i="23"/>
  <c r="A303" i="23"/>
  <c r="B303" i="23"/>
  <c r="D303" i="23"/>
  <c r="C303" i="23" s="1"/>
  <c r="E303" i="23"/>
  <c r="J303" i="23" s="1"/>
  <c r="I303" i="23" s="1"/>
  <c r="F303" i="23"/>
  <c r="A304" i="23"/>
  <c r="B304" i="23"/>
  <c r="D304" i="23"/>
  <c r="C304" i="23" s="1"/>
  <c r="E304" i="23"/>
  <c r="F304" i="23"/>
  <c r="A305" i="23"/>
  <c r="B305" i="23"/>
  <c r="D305" i="23"/>
  <c r="C305" i="23" s="1"/>
  <c r="E305" i="23"/>
  <c r="J305" i="23" s="1"/>
  <c r="I305" i="23" s="1"/>
  <c r="F305" i="23"/>
  <c r="A306" i="23"/>
  <c r="B306" i="23"/>
  <c r="D306" i="23"/>
  <c r="C306" i="23" s="1"/>
  <c r="E306" i="23"/>
  <c r="F306" i="23"/>
  <c r="A307" i="23"/>
  <c r="B307" i="23"/>
  <c r="D307" i="23"/>
  <c r="C307" i="23" s="1"/>
  <c r="E307" i="23"/>
  <c r="K307" i="23" s="1"/>
  <c r="F307" i="23"/>
  <c r="A308" i="23"/>
  <c r="B308" i="23"/>
  <c r="D308" i="23"/>
  <c r="C308" i="23" s="1"/>
  <c r="E308" i="23"/>
  <c r="F308" i="23"/>
  <c r="A309" i="23"/>
  <c r="B309" i="23"/>
  <c r="D309" i="23"/>
  <c r="C309" i="23" s="1"/>
  <c r="E309" i="23"/>
  <c r="F309" i="23"/>
  <c r="A310" i="23"/>
  <c r="B310" i="23"/>
  <c r="D310" i="23"/>
  <c r="C310" i="23" s="1"/>
  <c r="E310" i="23"/>
  <c r="F310" i="23"/>
  <c r="A311" i="23"/>
  <c r="B311" i="23"/>
  <c r="D311" i="23"/>
  <c r="C311" i="23" s="1"/>
  <c r="E311" i="23"/>
  <c r="K311" i="23" s="1"/>
  <c r="F311" i="23"/>
  <c r="A312" i="23"/>
  <c r="B312" i="23"/>
  <c r="D312" i="23"/>
  <c r="C312" i="23" s="1"/>
  <c r="E312" i="23"/>
  <c r="F312" i="23"/>
  <c r="A313" i="23"/>
  <c r="B313" i="23"/>
  <c r="D313" i="23"/>
  <c r="C313" i="23" s="1"/>
  <c r="E313" i="23"/>
  <c r="J313" i="23" s="1"/>
  <c r="I313" i="23" s="1"/>
  <c r="F313" i="23"/>
  <c r="A314" i="23"/>
  <c r="B314" i="23"/>
  <c r="D314" i="23"/>
  <c r="C314" i="23" s="1"/>
  <c r="E314" i="23"/>
  <c r="F314" i="23"/>
  <c r="A315" i="23"/>
  <c r="B315" i="23"/>
  <c r="D315" i="23"/>
  <c r="C315" i="23" s="1"/>
  <c r="E315" i="23"/>
  <c r="K315" i="23" s="1"/>
  <c r="F315" i="23"/>
  <c r="A316" i="23"/>
  <c r="B316" i="23"/>
  <c r="D316" i="23"/>
  <c r="C316" i="23" s="1"/>
  <c r="E316" i="23"/>
  <c r="J316" i="23" s="1"/>
  <c r="I316" i="23" s="1"/>
  <c r="F316" i="23"/>
  <c r="A317" i="23"/>
  <c r="B317" i="23"/>
  <c r="D317" i="23"/>
  <c r="C317" i="23" s="1"/>
  <c r="E317" i="23"/>
  <c r="G317" i="23" s="1"/>
  <c r="F317" i="23"/>
  <c r="A318" i="23"/>
  <c r="B318" i="23"/>
  <c r="D318" i="23"/>
  <c r="C318" i="23" s="1"/>
  <c r="E318" i="23"/>
  <c r="F318" i="23"/>
  <c r="A319" i="23"/>
  <c r="B319" i="23"/>
  <c r="D319" i="23"/>
  <c r="C319" i="23" s="1"/>
  <c r="E319" i="23"/>
  <c r="F319" i="23"/>
  <c r="A320" i="23"/>
  <c r="B320" i="23"/>
  <c r="D320" i="23"/>
  <c r="C320" i="23" s="1"/>
  <c r="E320" i="23"/>
  <c r="F320" i="23"/>
  <c r="A321" i="23"/>
  <c r="B321" i="23"/>
  <c r="D321" i="23"/>
  <c r="C321" i="23" s="1"/>
  <c r="E321" i="23"/>
  <c r="F321" i="23"/>
  <c r="A322" i="23"/>
  <c r="B322" i="23"/>
  <c r="D322" i="23"/>
  <c r="C322" i="23" s="1"/>
  <c r="E322" i="23"/>
  <c r="F322" i="23"/>
  <c r="A323" i="23"/>
  <c r="B323" i="23"/>
  <c r="D323" i="23"/>
  <c r="C323" i="23" s="1"/>
  <c r="E323" i="23"/>
  <c r="F323" i="23"/>
  <c r="A324" i="23"/>
  <c r="B324" i="23"/>
  <c r="D324" i="23"/>
  <c r="C324" i="23" s="1"/>
  <c r="E324" i="23"/>
  <c r="G324" i="23" s="1"/>
  <c r="F324" i="23"/>
  <c r="A325" i="23"/>
  <c r="B325" i="23"/>
  <c r="D325" i="23"/>
  <c r="C325" i="23" s="1"/>
  <c r="E325" i="23"/>
  <c r="G325" i="23" s="1"/>
  <c r="F325" i="23"/>
  <c r="A326" i="23"/>
  <c r="B326" i="23"/>
  <c r="D326" i="23"/>
  <c r="C326" i="23" s="1"/>
  <c r="E326" i="23"/>
  <c r="F326" i="23"/>
  <c r="A327" i="23"/>
  <c r="B327" i="23"/>
  <c r="D327" i="23"/>
  <c r="C327" i="23" s="1"/>
  <c r="E327" i="23"/>
  <c r="G327" i="23" s="1"/>
  <c r="F327" i="23"/>
  <c r="A328" i="23"/>
  <c r="B328" i="23"/>
  <c r="D328" i="23"/>
  <c r="C328" i="23" s="1"/>
  <c r="E328" i="23"/>
  <c r="G328" i="23" s="1"/>
  <c r="F328" i="23"/>
  <c r="A329" i="23"/>
  <c r="B329" i="23"/>
  <c r="D329" i="23"/>
  <c r="C329" i="23" s="1"/>
  <c r="E329" i="23"/>
  <c r="F329" i="23"/>
  <c r="A330" i="23"/>
  <c r="B330" i="23"/>
  <c r="D330" i="23"/>
  <c r="C330" i="23" s="1"/>
  <c r="E330" i="23"/>
  <c r="F330" i="23"/>
  <c r="A331" i="23"/>
  <c r="B331" i="23"/>
  <c r="D331" i="23"/>
  <c r="C331" i="23" s="1"/>
  <c r="E331" i="23"/>
  <c r="G331" i="23" s="1"/>
  <c r="F331" i="23"/>
  <c r="A332" i="23"/>
  <c r="B332" i="23"/>
  <c r="D332" i="23"/>
  <c r="C332" i="23" s="1"/>
  <c r="E332" i="23"/>
  <c r="F332" i="23"/>
  <c r="A333" i="23"/>
  <c r="B333" i="23"/>
  <c r="D333" i="23"/>
  <c r="C333" i="23" s="1"/>
  <c r="E333" i="23"/>
  <c r="F333" i="23"/>
  <c r="A334" i="23"/>
  <c r="B334" i="23"/>
  <c r="D334" i="23"/>
  <c r="C334" i="23" s="1"/>
  <c r="E334" i="23"/>
  <c r="F334" i="23"/>
  <c r="A335" i="23"/>
  <c r="B335" i="23"/>
  <c r="D335" i="23"/>
  <c r="C335" i="23" s="1"/>
  <c r="E335" i="23"/>
  <c r="G335" i="23" s="1"/>
  <c r="F335" i="23"/>
  <c r="A336" i="23"/>
  <c r="B336" i="23"/>
  <c r="D336" i="23"/>
  <c r="C336" i="23" s="1"/>
  <c r="E336" i="23"/>
  <c r="G336" i="23" s="1"/>
  <c r="F336" i="23"/>
  <c r="A337" i="23"/>
  <c r="B337" i="23"/>
  <c r="D337" i="23"/>
  <c r="C337" i="23" s="1"/>
  <c r="E337" i="23"/>
  <c r="F337" i="23"/>
  <c r="A338" i="23"/>
  <c r="B338" i="23"/>
  <c r="D338" i="23"/>
  <c r="C338" i="23" s="1"/>
  <c r="E338" i="23"/>
  <c r="F338" i="23"/>
  <c r="A339" i="23"/>
  <c r="B339" i="23"/>
  <c r="D339" i="23"/>
  <c r="C339" i="23" s="1"/>
  <c r="E339" i="23"/>
  <c r="G339" i="23" s="1"/>
  <c r="F339" i="23"/>
  <c r="A340" i="23"/>
  <c r="B340" i="23"/>
  <c r="D340" i="23"/>
  <c r="C340" i="23" s="1"/>
  <c r="E340" i="23"/>
  <c r="G340" i="23" s="1"/>
  <c r="F340" i="23"/>
  <c r="A341" i="23"/>
  <c r="B341" i="23"/>
  <c r="D341" i="23"/>
  <c r="C341" i="23" s="1"/>
  <c r="E341" i="23"/>
  <c r="F341" i="23"/>
  <c r="A342" i="23"/>
  <c r="B342" i="23"/>
  <c r="D342" i="23"/>
  <c r="C342" i="23" s="1"/>
  <c r="E342" i="23"/>
  <c r="F342" i="23"/>
  <c r="A343" i="23"/>
  <c r="B343" i="23"/>
  <c r="D343" i="23"/>
  <c r="C343" i="23" s="1"/>
  <c r="E343" i="23"/>
  <c r="F343" i="23"/>
  <c r="A344" i="23"/>
  <c r="B344" i="23"/>
  <c r="D344" i="23"/>
  <c r="C344" i="23" s="1"/>
  <c r="E344" i="23"/>
  <c r="G344" i="23" s="1"/>
  <c r="F344" i="23"/>
  <c r="A345" i="23"/>
  <c r="B345" i="23"/>
  <c r="D345" i="23"/>
  <c r="C345" i="23" s="1"/>
  <c r="E345" i="23"/>
  <c r="F345" i="23"/>
  <c r="A346" i="23"/>
  <c r="B346" i="23"/>
  <c r="D346" i="23"/>
  <c r="C346" i="23" s="1"/>
  <c r="E346" i="23"/>
  <c r="F346" i="23"/>
  <c r="A347" i="23"/>
  <c r="B347" i="23"/>
  <c r="D347" i="23"/>
  <c r="C347" i="23" s="1"/>
  <c r="E347" i="23"/>
  <c r="G347" i="23" s="1"/>
  <c r="F347" i="23"/>
  <c r="A348" i="23"/>
  <c r="B348" i="23"/>
  <c r="D348" i="23"/>
  <c r="C348" i="23" s="1"/>
  <c r="E348" i="23"/>
  <c r="F348" i="23"/>
  <c r="A349" i="23"/>
  <c r="B349" i="23"/>
  <c r="D349" i="23"/>
  <c r="C349" i="23" s="1"/>
  <c r="E349" i="23"/>
  <c r="F349" i="23"/>
  <c r="A350" i="23"/>
  <c r="B350" i="23"/>
  <c r="D350" i="23"/>
  <c r="C350" i="23" s="1"/>
  <c r="E350" i="23"/>
  <c r="F350" i="23"/>
  <c r="A351" i="23"/>
  <c r="B351" i="23"/>
  <c r="D351" i="23"/>
  <c r="C351" i="23" s="1"/>
  <c r="E351" i="23"/>
  <c r="G351" i="23" s="1"/>
  <c r="F351" i="23"/>
  <c r="A352" i="23"/>
  <c r="B352" i="23"/>
  <c r="D352" i="23"/>
  <c r="C352" i="23" s="1"/>
  <c r="E352" i="23"/>
  <c r="G352" i="23" s="1"/>
  <c r="F352" i="23"/>
  <c r="A353" i="23"/>
  <c r="B353" i="23"/>
  <c r="D353" i="23"/>
  <c r="C353" i="23" s="1"/>
  <c r="E353" i="23"/>
  <c r="F353" i="23"/>
  <c r="A354" i="23"/>
  <c r="B354" i="23"/>
  <c r="D354" i="23"/>
  <c r="C354" i="23" s="1"/>
  <c r="E354" i="23"/>
  <c r="F354" i="23"/>
  <c r="A355" i="23"/>
  <c r="B355" i="23"/>
  <c r="D355" i="23"/>
  <c r="C355" i="23" s="1"/>
  <c r="E355" i="23"/>
  <c r="G355" i="23" s="1"/>
  <c r="F355" i="23"/>
  <c r="A356" i="23"/>
  <c r="B356" i="23"/>
  <c r="D356" i="23"/>
  <c r="C356" i="23" s="1"/>
  <c r="E356" i="23"/>
  <c r="G356" i="23" s="1"/>
  <c r="F356" i="23"/>
  <c r="A357" i="23"/>
  <c r="B357" i="23"/>
  <c r="D357" i="23"/>
  <c r="C357" i="23" s="1"/>
  <c r="E357" i="23"/>
  <c r="F357" i="23"/>
  <c r="A358" i="23"/>
  <c r="B358" i="23"/>
  <c r="D358" i="23"/>
  <c r="C358" i="23" s="1"/>
  <c r="E358" i="23"/>
  <c r="F358" i="23"/>
  <c r="A359" i="23"/>
  <c r="B359" i="23"/>
  <c r="D359" i="23"/>
  <c r="C359" i="23" s="1"/>
  <c r="E359" i="23"/>
  <c r="F359" i="23"/>
  <c r="A360" i="23"/>
  <c r="B360" i="23"/>
  <c r="D360" i="23"/>
  <c r="C360" i="23" s="1"/>
  <c r="E360" i="23"/>
  <c r="G360" i="23" s="1"/>
  <c r="F360" i="23"/>
  <c r="A361" i="23"/>
  <c r="B361" i="23"/>
  <c r="D361" i="23"/>
  <c r="C361" i="23" s="1"/>
  <c r="E361" i="23"/>
  <c r="F361" i="23"/>
  <c r="A362" i="23"/>
  <c r="B362" i="23"/>
  <c r="D362" i="23"/>
  <c r="C362" i="23" s="1"/>
  <c r="E362" i="23"/>
  <c r="F362" i="23"/>
  <c r="A363" i="23"/>
  <c r="B363" i="23"/>
  <c r="D363" i="23"/>
  <c r="C363" i="23" s="1"/>
  <c r="E363" i="23"/>
  <c r="G363" i="23" s="1"/>
  <c r="F363" i="23"/>
  <c r="A364" i="23"/>
  <c r="B364" i="23"/>
  <c r="D364" i="23"/>
  <c r="C364" i="23" s="1"/>
  <c r="E364" i="23"/>
  <c r="F364" i="23"/>
  <c r="A365" i="23"/>
  <c r="B365" i="23"/>
  <c r="D365" i="23"/>
  <c r="C365" i="23" s="1"/>
  <c r="E365" i="23"/>
  <c r="F365" i="23"/>
  <c r="A366" i="23"/>
  <c r="B366" i="23"/>
  <c r="D366" i="23"/>
  <c r="C366" i="23" s="1"/>
  <c r="E366" i="23"/>
  <c r="F366" i="23"/>
  <c r="A367" i="23"/>
  <c r="B367" i="23"/>
  <c r="D367" i="23"/>
  <c r="C367" i="23" s="1"/>
  <c r="E367" i="23"/>
  <c r="G367" i="23" s="1"/>
  <c r="F367" i="23"/>
  <c r="A368" i="23"/>
  <c r="B368" i="23"/>
  <c r="D368" i="23"/>
  <c r="C368" i="23" s="1"/>
  <c r="E368" i="23"/>
  <c r="G368" i="23" s="1"/>
  <c r="F368" i="23"/>
  <c r="A369" i="23"/>
  <c r="B369" i="23"/>
  <c r="D369" i="23"/>
  <c r="C369" i="23" s="1"/>
  <c r="E369" i="23"/>
  <c r="F369" i="23"/>
  <c r="A370" i="23"/>
  <c r="B370" i="23"/>
  <c r="D370" i="23"/>
  <c r="C370" i="23" s="1"/>
  <c r="E370" i="23"/>
  <c r="F370" i="23"/>
  <c r="A371" i="23"/>
  <c r="B371" i="23"/>
  <c r="D371" i="23"/>
  <c r="C371" i="23" s="1"/>
  <c r="E371" i="23"/>
  <c r="G371" i="23" s="1"/>
  <c r="F371" i="23"/>
  <c r="A372" i="23"/>
  <c r="B372" i="23"/>
  <c r="D372" i="23"/>
  <c r="C372" i="23" s="1"/>
  <c r="E372" i="23"/>
  <c r="G372" i="23" s="1"/>
  <c r="F372" i="23"/>
  <c r="A373" i="23"/>
  <c r="B373" i="23"/>
  <c r="D373" i="23"/>
  <c r="C373" i="23" s="1"/>
  <c r="E373" i="23"/>
  <c r="F373" i="23"/>
  <c r="A374" i="23"/>
  <c r="B374" i="23"/>
  <c r="D374" i="23"/>
  <c r="C374" i="23" s="1"/>
  <c r="E374" i="23"/>
  <c r="F374" i="23"/>
  <c r="A375" i="23"/>
  <c r="B375" i="23"/>
  <c r="D375" i="23"/>
  <c r="C375" i="23" s="1"/>
  <c r="E375" i="23"/>
  <c r="F375" i="23"/>
  <c r="A376" i="23"/>
  <c r="B376" i="23"/>
  <c r="D376" i="23"/>
  <c r="C376" i="23" s="1"/>
  <c r="E376" i="23"/>
  <c r="G376" i="23" s="1"/>
  <c r="F376" i="23"/>
  <c r="A377" i="23"/>
  <c r="B377" i="23"/>
  <c r="D377" i="23"/>
  <c r="C377" i="23" s="1"/>
  <c r="E377" i="23"/>
  <c r="F377" i="23"/>
  <c r="A378" i="23"/>
  <c r="B378" i="23"/>
  <c r="D378" i="23"/>
  <c r="C378" i="23" s="1"/>
  <c r="E378" i="23"/>
  <c r="F378" i="23"/>
  <c r="A379" i="23"/>
  <c r="B379" i="23"/>
  <c r="D379" i="23"/>
  <c r="C379" i="23" s="1"/>
  <c r="E379" i="23"/>
  <c r="G379" i="23" s="1"/>
  <c r="F379" i="23"/>
  <c r="A380" i="23"/>
  <c r="B380" i="23"/>
  <c r="D380" i="23"/>
  <c r="C380" i="23" s="1"/>
  <c r="E380" i="23"/>
  <c r="F380" i="23"/>
  <c r="A381" i="23"/>
  <c r="B381" i="23"/>
  <c r="D381" i="23"/>
  <c r="C381" i="23" s="1"/>
  <c r="E381" i="23"/>
  <c r="F381" i="23"/>
  <c r="A382" i="23"/>
  <c r="B382" i="23"/>
  <c r="D382" i="23"/>
  <c r="C382" i="23" s="1"/>
  <c r="E382" i="23"/>
  <c r="F382" i="23"/>
  <c r="A383" i="23"/>
  <c r="B383" i="23"/>
  <c r="D383" i="23"/>
  <c r="C383" i="23" s="1"/>
  <c r="E383" i="23"/>
  <c r="G383" i="23" s="1"/>
  <c r="F383" i="23"/>
  <c r="A384" i="23"/>
  <c r="B384" i="23"/>
  <c r="D384" i="23"/>
  <c r="C384" i="23" s="1"/>
  <c r="E384" i="23"/>
  <c r="G384" i="23" s="1"/>
  <c r="F384" i="23"/>
  <c r="A385" i="23"/>
  <c r="B385" i="23"/>
  <c r="D385" i="23"/>
  <c r="C385" i="23" s="1"/>
  <c r="E385" i="23"/>
  <c r="F385" i="23"/>
  <c r="A386" i="23"/>
  <c r="B386" i="23"/>
  <c r="D386" i="23"/>
  <c r="C386" i="23" s="1"/>
  <c r="E386" i="23"/>
  <c r="F386" i="23"/>
  <c r="A387" i="23"/>
  <c r="B387" i="23"/>
  <c r="D387" i="23"/>
  <c r="C387" i="23" s="1"/>
  <c r="E387" i="23"/>
  <c r="G387" i="23" s="1"/>
  <c r="F387" i="23"/>
  <c r="A388" i="23"/>
  <c r="B388" i="23"/>
  <c r="D388" i="23"/>
  <c r="C388" i="23" s="1"/>
  <c r="E388" i="23"/>
  <c r="G388" i="23" s="1"/>
  <c r="F388" i="23"/>
  <c r="A389" i="23"/>
  <c r="B389" i="23"/>
  <c r="D389" i="23"/>
  <c r="C389" i="23" s="1"/>
  <c r="E389" i="23"/>
  <c r="F389" i="23"/>
  <c r="A390" i="23"/>
  <c r="B390" i="23"/>
  <c r="D390" i="23"/>
  <c r="C390" i="23" s="1"/>
  <c r="E390" i="23"/>
  <c r="F390" i="23"/>
  <c r="A391" i="23"/>
  <c r="B391" i="23"/>
  <c r="D391" i="23"/>
  <c r="C391" i="23" s="1"/>
  <c r="E391" i="23"/>
  <c r="F391" i="23"/>
  <c r="A392" i="23"/>
  <c r="B392" i="23"/>
  <c r="D392" i="23"/>
  <c r="C392" i="23" s="1"/>
  <c r="E392" i="23"/>
  <c r="G392" i="23" s="1"/>
  <c r="F392" i="23"/>
  <c r="A393" i="23"/>
  <c r="B393" i="23"/>
  <c r="D393" i="23"/>
  <c r="C393" i="23" s="1"/>
  <c r="E393" i="23"/>
  <c r="F393" i="23"/>
  <c r="A394" i="23"/>
  <c r="B394" i="23"/>
  <c r="D394" i="23"/>
  <c r="C394" i="23" s="1"/>
  <c r="E394" i="23"/>
  <c r="F394" i="23"/>
  <c r="A395" i="23"/>
  <c r="B395" i="23"/>
  <c r="D395" i="23"/>
  <c r="C395" i="23" s="1"/>
  <c r="E395" i="23"/>
  <c r="G395" i="23" s="1"/>
  <c r="F395" i="23"/>
  <c r="A396" i="23"/>
  <c r="B396" i="23"/>
  <c r="D396" i="23"/>
  <c r="C396" i="23" s="1"/>
  <c r="E396" i="23"/>
  <c r="F396" i="23"/>
  <c r="A397" i="23"/>
  <c r="B397" i="23"/>
  <c r="D397" i="23"/>
  <c r="C397" i="23" s="1"/>
  <c r="E397" i="23"/>
  <c r="F397" i="23"/>
  <c r="A398" i="23"/>
  <c r="B398" i="23"/>
  <c r="D398" i="23"/>
  <c r="C398" i="23" s="1"/>
  <c r="E398" i="23"/>
  <c r="F398" i="23"/>
  <c r="A399" i="23"/>
  <c r="B399" i="23"/>
  <c r="D399" i="23"/>
  <c r="C399" i="23" s="1"/>
  <c r="E399" i="23"/>
  <c r="G399" i="23" s="1"/>
  <c r="F399" i="23"/>
  <c r="A400" i="23"/>
  <c r="B400" i="23"/>
  <c r="D400" i="23"/>
  <c r="C400" i="23" s="1"/>
  <c r="E400" i="23"/>
  <c r="G400" i="23" s="1"/>
  <c r="F400" i="23"/>
  <c r="A401" i="23"/>
  <c r="B401" i="23"/>
  <c r="D401" i="23"/>
  <c r="C401" i="23" s="1"/>
  <c r="E401" i="23"/>
  <c r="F401" i="23"/>
  <c r="A402" i="23"/>
  <c r="B402" i="23"/>
  <c r="D402" i="23"/>
  <c r="C402" i="23" s="1"/>
  <c r="E402" i="23"/>
  <c r="F402" i="23"/>
  <c r="A403" i="23"/>
  <c r="B403" i="23"/>
  <c r="D403" i="23"/>
  <c r="C403" i="23" s="1"/>
  <c r="E403" i="23"/>
  <c r="G403" i="23" s="1"/>
  <c r="F403" i="23"/>
  <c r="A404" i="23"/>
  <c r="B404" i="23"/>
  <c r="D404" i="23"/>
  <c r="C404" i="23" s="1"/>
  <c r="E404" i="23"/>
  <c r="G404" i="23" s="1"/>
  <c r="F404" i="23"/>
  <c r="A405" i="23"/>
  <c r="B405" i="23"/>
  <c r="D405" i="23"/>
  <c r="C405" i="23" s="1"/>
  <c r="E405" i="23"/>
  <c r="F405" i="23"/>
  <c r="A406" i="23"/>
  <c r="B406" i="23"/>
  <c r="D406" i="23"/>
  <c r="C406" i="23" s="1"/>
  <c r="E406" i="23"/>
  <c r="F406" i="23"/>
  <c r="A407" i="23"/>
  <c r="B407" i="23"/>
  <c r="D407" i="23"/>
  <c r="C407" i="23" s="1"/>
  <c r="E407" i="23"/>
  <c r="F407" i="23"/>
  <c r="A408" i="23"/>
  <c r="B408" i="23"/>
  <c r="D408" i="23"/>
  <c r="C408" i="23" s="1"/>
  <c r="E408" i="23"/>
  <c r="G408" i="23" s="1"/>
  <c r="F408" i="23"/>
  <c r="A409" i="23"/>
  <c r="B409" i="23"/>
  <c r="D409" i="23"/>
  <c r="C409" i="23" s="1"/>
  <c r="E409" i="23"/>
  <c r="F409" i="23"/>
  <c r="A410" i="23"/>
  <c r="B410" i="23"/>
  <c r="D410" i="23"/>
  <c r="C410" i="23" s="1"/>
  <c r="E410" i="23"/>
  <c r="F410" i="23"/>
  <c r="A411" i="23"/>
  <c r="B411" i="23"/>
  <c r="D411" i="23"/>
  <c r="C411" i="23" s="1"/>
  <c r="E411" i="23"/>
  <c r="G411" i="23" s="1"/>
  <c r="F411" i="23"/>
  <c r="A412" i="23"/>
  <c r="B412" i="23"/>
  <c r="D412" i="23"/>
  <c r="C412" i="23" s="1"/>
  <c r="E412" i="23"/>
  <c r="F412" i="23"/>
  <c r="A413" i="23"/>
  <c r="B413" i="23"/>
  <c r="D413" i="23"/>
  <c r="C413" i="23" s="1"/>
  <c r="E413" i="23"/>
  <c r="F413" i="23"/>
  <c r="A414" i="23"/>
  <c r="B414" i="23"/>
  <c r="D414" i="23"/>
  <c r="C414" i="23" s="1"/>
  <c r="E414" i="23"/>
  <c r="F414" i="23"/>
  <c r="A415" i="23"/>
  <c r="B415" i="23"/>
  <c r="D415" i="23"/>
  <c r="C415" i="23" s="1"/>
  <c r="E415" i="23"/>
  <c r="G415" i="23" s="1"/>
  <c r="F415" i="23"/>
  <c r="A416" i="23"/>
  <c r="B416" i="23"/>
  <c r="D416" i="23"/>
  <c r="C416" i="23" s="1"/>
  <c r="E416" i="23"/>
  <c r="G416" i="23" s="1"/>
  <c r="F416" i="23"/>
  <c r="A417" i="23"/>
  <c r="B417" i="23"/>
  <c r="D417" i="23"/>
  <c r="C417" i="23" s="1"/>
  <c r="E417" i="23"/>
  <c r="F417" i="23"/>
  <c r="A418" i="23"/>
  <c r="B418" i="23"/>
  <c r="D418" i="23"/>
  <c r="C418" i="23" s="1"/>
  <c r="E418" i="23"/>
  <c r="F418" i="23"/>
  <c r="A419" i="23"/>
  <c r="B419" i="23"/>
  <c r="D419" i="23"/>
  <c r="C419" i="23" s="1"/>
  <c r="E419" i="23"/>
  <c r="G419" i="23" s="1"/>
  <c r="F419" i="23"/>
  <c r="A420" i="23"/>
  <c r="B420" i="23"/>
  <c r="D420" i="23"/>
  <c r="C420" i="23" s="1"/>
  <c r="E420" i="23"/>
  <c r="G420" i="23" s="1"/>
  <c r="F420" i="23"/>
  <c r="A421" i="23"/>
  <c r="B421" i="23"/>
  <c r="D421" i="23"/>
  <c r="C421" i="23" s="1"/>
  <c r="E421" i="23"/>
  <c r="F421" i="23"/>
  <c r="A422" i="23"/>
  <c r="B422" i="23"/>
  <c r="D422" i="23"/>
  <c r="C422" i="23" s="1"/>
  <c r="E422" i="23"/>
  <c r="F422" i="23"/>
  <c r="A423" i="23"/>
  <c r="B423" i="23"/>
  <c r="D423" i="23"/>
  <c r="C423" i="23" s="1"/>
  <c r="E423" i="23"/>
  <c r="F423" i="23"/>
  <c r="A424" i="23"/>
  <c r="B424" i="23"/>
  <c r="D424" i="23"/>
  <c r="C424" i="23" s="1"/>
  <c r="E424" i="23"/>
  <c r="G424" i="23" s="1"/>
  <c r="F424" i="23"/>
  <c r="A425" i="23"/>
  <c r="B425" i="23"/>
  <c r="D425" i="23"/>
  <c r="C425" i="23" s="1"/>
  <c r="E425" i="23"/>
  <c r="F425" i="23"/>
  <c r="A426" i="23"/>
  <c r="B426" i="23"/>
  <c r="D426" i="23"/>
  <c r="C426" i="23" s="1"/>
  <c r="E426" i="23"/>
  <c r="F426" i="23"/>
  <c r="A427" i="23"/>
  <c r="B427" i="23"/>
  <c r="D427" i="23"/>
  <c r="C427" i="23" s="1"/>
  <c r="E427" i="23"/>
  <c r="G427" i="23" s="1"/>
  <c r="F427" i="23"/>
  <c r="A428" i="23"/>
  <c r="B428" i="23"/>
  <c r="D428" i="23"/>
  <c r="C428" i="23" s="1"/>
  <c r="E428" i="23"/>
  <c r="F428" i="23"/>
  <c r="A429" i="23"/>
  <c r="B429" i="23"/>
  <c r="D429" i="23"/>
  <c r="C429" i="23" s="1"/>
  <c r="E429" i="23"/>
  <c r="F429" i="23"/>
  <c r="A430" i="23"/>
  <c r="B430" i="23"/>
  <c r="D430" i="23"/>
  <c r="C430" i="23" s="1"/>
  <c r="E430" i="23"/>
  <c r="F430" i="23"/>
  <c r="A431" i="23"/>
  <c r="B431" i="23"/>
  <c r="D431" i="23"/>
  <c r="C431" i="23" s="1"/>
  <c r="E431" i="23"/>
  <c r="G431" i="23" s="1"/>
  <c r="F431" i="23"/>
  <c r="A432" i="23"/>
  <c r="B432" i="23"/>
  <c r="D432" i="23"/>
  <c r="C432" i="23" s="1"/>
  <c r="E432" i="23"/>
  <c r="G432" i="23" s="1"/>
  <c r="F432" i="23"/>
  <c r="A433" i="23"/>
  <c r="B433" i="23"/>
  <c r="D433" i="23"/>
  <c r="C433" i="23" s="1"/>
  <c r="E433" i="23"/>
  <c r="F433" i="23"/>
  <c r="A434" i="23"/>
  <c r="B434" i="23"/>
  <c r="D434" i="23"/>
  <c r="C434" i="23" s="1"/>
  <c r="E434" i="23"/>
  <c r="F434" i="23"/>
  <c r="A435" i="23"/>
  <c r="B435" i="23"/>
  <c r="D435" i="23"/>
  <c r="C435" i="23" s="1"/>
  <c r="E435" i="23"/>
  <c r="F435" i="23"/>
  <c r="A436" i="23"/>
  <c r="B436" i="23"/>
  <c r="D436" i="23"/>
  <c r="C436" i="23" s="1"/>
  <c r="E436" i="23"/>
  <c r="G436" i="23" s="1"/>
  <c r="F436" i="23"/>
  <c r="F4" i="23"/>
  <c r="E4" i="23"/>
  <c r="G4" i="23" s="1"/>
  <c r="D4" i="23"/>
  <c r="B4" i="23"/>
  <c r="A4" i="23"/>
  <c r="F1" i="23" l="1"/>
  <c r="D37" i="7"/>
  <c r="E37" i="7" s="1"/>
  <c r="F37" i="7" s="1"/>
  <c r="G37" i="7" s="1"/>
  <c r="H37" i="7" s="1"/>
  <c r="I37" i="7" s="1"/>
  <c r="J37" i="7" s="1"/>
  <c r="K37" i="7" s="1"/>
  <c r="L37" i="7" s="1"/>
  <c r="M37" i="7" s="1"/>
  <c r="N37" i="7" s="1"/>
  <c r="G430" i="23"/>
  <c r="J430" i="23"/>
  <c r="I430" i="23" s="1"/>
  <c r="K430" i="23"/>
  <c r="J435" i="23"/>
  <c r="I435" i="23" s="1"/>
  <c r="K435" i="23"/>
  <c r="G435" i="23"/>
  <c r="G434" i="23"/>
  <c r="J434" i="23"/>
  <c r="I434" i="23" s="1"/>
  <c r="K434" i="23"/>
  <c r="J432" i="23"/>
  <c r="I432" i="23" s="1"/>
  <c r="K432" i="23"/>
  <c r="J427" i="23"/>
  <c r="I427" i="23" s="1"/>
  <c r="K427" i="23"/>
  <c r="G425" i="23"/>
  <c r="J425" i="23"/>
  <c r="I425" i="23" s="1"/>
  <c r="K425" i="23"/>
  <c r="G418" i="23"/>
  <c r="J418" i="23"/>
  <c r="I418" i="23" s="1"/>
  <c r="K418" i="23"/>
  <c r="J416" i="23"/>
  <c r="I416" i="23" s="1"/>
  <c r="K416" i="23"/>
  <c r="J411" i="23"/>
  <c r="I411" i="23" s="1"/>
  <c r="K411" i="23"/>
  <c r="G409" i="23"/>
  <c r="J409" i="23"/>
  <c r="I409" i="23" s="1"/>
  <c r="K409" i="23"/>
  <c r="G402" i="23"/>
  <c r="J402" i="23"/>
  <c r="I402" i="23" s="1"/>
  <c r="K402" i="23"/>
  <c r="J400" i="23"/>
  <c r="I400" i="23" s="1"/>
  <c r="K400" i="23"/>
  <c r="J395" i="23"/>
  <c r="I395" i="23" s="1"/>
  <c r="K395" i="23"/>
  <c r="G393" i="23"/>
  <c r="J393" i="23"/>
  <c r="I393" i="23" s="1"/>
  <c r="K393" i="23"/>
  <c r="G386" i="23"/>
  <c r="J386" i="23"/>
  <c r="I386" i="23" s="1"/>
  <c r="K386" i="23"/>
  <c r="J384" i="23"/>
  <c r="I384" i="23" s="1"/>
  <c r="K384" i="23"/>
  <c r="J379" i="23"/>
  <c r="I379" i="23" s="1"/>
  <c r="K379" i="23"/>
  <c r="G377" i="23"/>
  <c r="J377" i="23"/>
  <c r="I377" i="23" s="1"/>
  <c r="K377" i="23"/>
  <c r="G370" i="23"/>
  <c r="J370" i="23"/>
  <c r="I370" i="23" s="1"/>
  <c r="K370" i="23"/>
  <c r="J368" i="23"/>
  <c r="I368" i="23" s="1"/>
  <c r="K368" i="23"/>
  <c r="J363" i="23"/>
  <c r="I363" i="23" s="1"/>
  <c r="K363" i="23"/>
  <c r="G361" i="23"/>
  <c r="J361" i="23"/>
  <c r="I361" i="23" s="1"/>
  <c r="K361" i="23"/>
  <c r="G354" i="23"/>
  <c r="J354" i="23"/>
  <c r="I354" i="23" s="1"/>
  <c r="K354" i="23"/>
  <c r="J352" i="23"/>
  <c r="I352" i="23" s="1"/>
  <c r="K352" i="23"/>
  <c r="J347" i="23"/>
  <c r="I347" i="23" s="1"/>
  <c r="K347" i="23"/>
  <c r="G345" i="23"/>
  <c r="J345" i="23"/>
  <c r="I345" i="23" s="1"/>
  <c r="K345" i="23"/>
  <c r="G338" i="23"/>
  <c r="J338" i="23"/>
  <c r="I338" i="23" s="1"/>
  <c r="K338" i="23"/>
  <c r="J336" i="23"/>
  <c r="I336" i="23" s="1"/>
  <c r="K336" i="23"/>
  <c r="G332" i="23"/>
  <c r="J332" i="23"/>
  <c r="I332" i="23" s="1"/>
  <c r="K332" i="23"/>
  <c r="J328" i="23"/>
  <c r="I328" i="23" s="1"/>
  <c r="K328" i="23"/>
  <c r="J423" i="23"/>
  <c r="I423" i="23" s="1"/>
  <c r="K423" i="23"/>
  <c r="G421" i="23"/>
  <c r="J421" i="23"/>
  <c r="I421" i="23" s="1"/>
  <c r="K421" i="23"/>
  <c r="G414" i="23"/>
  <c r="J414" i="23"/>
  <c r="I414" i="23" s="1"/>
  <c r="K414" i="23"/>
  <c r="J412" i="23"/>
  <c r="I412" i="23" s="1"/>
  <c r="K412" i="23"/>
  <c r="J407" i="23"/>
  <c r="I407" i="23" s="1"/>
  <c r="K407" i="23"/>
  <c r="G405" i="23"/>
  <c r="J405" i="23"/>
  <c r="I405" i="23" s="1"/>
  <c r="K405" i="23"/>
  <c r="G398" i="23"/>
  <c r="J398" i="23"/>
  <c r="I398" i="23" s="1"/>
  <c r="K398" i="23"/>
  <c r="J396" i="23"/>
  <c r="I396" i="23" s="1"/>
  <c r="K396" i="23"/>
  <c r="J391" i="23"/>
  <c r="I391" i="23" s="1"/>
  <c r="K391" i="23"/>
  <c r="G389" i="23"/>
  <c r="J389" i="23"/>
  <c r="I389" i="23" s="1"/>
  <c r="K389" i="23"/>
  <c r="G382" i="23"/>
  <c r="J382" i="23"/>
  <c r="I382" i="23" s="1"/>
  <c r="K382" i="23"/>
  <c r="J380" i="23"/>
  <c r="I380" i="23" s="1"/>
  <c r="K380" i="23"/>
  <c r="J375" i="23"/>
  <c r="I375" i="23" s="1"/>
  <c r="K375" i="23"/>
  <c r="G373" i="23"/>
  <c r="J373" i="23"/>
  <c r="I373" i="23" s="1"/>
  <c r="K373" i="23"/>
  <c r="G366" i="23"/>
  <c r="J366" i="23"/>
  <c r="I366" i="23" s="1"/>
  <c r="K366" i="23"/>
  <c r="J364" i="23"/>
  <c r="I364" i="23" s="1"/>
  <c r="K364" i="23"/>
  <c r="J359" i="23"/>
  <c r="I359" i="23" s="1"/>
  <c r="K359" i="23"/>
  <c r="G357" i="23"/>
  <c r="J357" i="23"/>
  <c r="I357" i="23" s="1"/>
  <c r="K357" i="23"/>
  <c r="G350" i="23"/>
  <c r="J350" i="23"/>
  <c r="I350" i="23" s="1"/>
  <c r="K350" i="23"/>
  <c r="J348" i="23"/>
  <c r="I348" i="23" s="1"/>
  <c r="K348" i="23"/>
  <c r="J343" i="23"/>
  <c r="I343" i="23" s="1"/>
  <c r="K343" i="23"/>
  <c r="G341" i="23"/>
  <c r="J341" i="23"/>
  <c r="I341" i="23" s="1"/>
  <c r="K341" i="23"/>
  <c r="G334" i="23"/>
  <c r="J334" i="23"/>
  <c r="I334" i="23" s="1"/>
  <c r="K334" i="23"/>
  <c r="J330" i="23"/>
  <c r="I330" i="23" s="1"/>
  <c r="K330" i="23"/>
  <c r="G326" i="23"/>
  <c r="J326" i="23"/>
  <c r="I326" i="23" s="1"/>
  <c r="K326" i="23"/>
  <c r="G322" i="23"/>
  <c r="J322" i="23"/>
  <c r="I322" i="23" s="1"/>
  <c r="K322" i="23"/>
  <c r="J319" i="23"/>
  <c r="I319" i="23" s="1"/>
  <c r="K319" i="23"/>
  <c r="G426" i="23"/>
  <c r="J426" i="23"/>
  <c r="I426" i="23" s="1"/>
  <c r="K426" i="23"/>
  <c r="J424" i="23"/>
  <c r="I424" i="23" s="1"/>
  <c r="K424" i="23"/>
  <c r="J419" i="23"/>
  <c r="I419" i="23" s="1"/>
  <c r="K419" i="23"/>
  <c r="G417" i="23"/>
  <c r="J417" i="23"/>
  <c r="I417" i="23" s="1"/>
  <c r="K417" i="23"/>
  <c r="G410" i="23"/>
  <c r="J410" i="23"/>
  <c r="I410" i="23" s="1"/>
  <c r="K410" i="23"/>
  <c r="J408" i="23"/>
  <c r="I408" i="23" s="1"/>
  <c r="K408" i="23"/>
  <c r="J403" i="23"/>
  <c r="I403" i="23" s="1"/>
  <c r="K403" i="23"/>
  <c r="G401" i="23"/>
  <c r="J401" i="23"/>
  <c r="I401" i="23" s="1"/>
  <c r="K401" i="23"/>
  <c r="G394" i="23"/>
  <c r="J394" i="23"/>
  <c r="I394" i="23" s="1"/>
  <c r="K394" i="23"/>
  <c r="J392" i="23"/>
  <c r="I392" i="23" s="1"/>
  <c r="K392" i="23"/>
  <c r="J387" i="23"/>
  <c r="I387" i="23" s="1"/>
  <c r="K387" i="23"/>
  <c r="G385" i="23"/>
  <c r="J385" i="23"/>
  <c r="I385" i="23" s="1"/>
  <c r="K385" i="23"/>
  <c r="G378" i="23"/>
  <c r="J378" i="23"/>
  <c r="I378" i="23" s="1"/>
  <c r="K378" i="23"/>
  <c r="J376" i="23"/>
  <c r="I376" i="23" s="1"/>
  <c r="K376" i="23"/>
  <c r="J371" i="23"/>
  <c r="I371" i="23" s="1"/>
  <c r="K371" i="23"/>
  <c r="G369" i="23"/>
  <c r="J369" i="23"/>
  <c r="I369" i="23" s="1"/>
  <c r="K369" i="23"/>
  <c r="G362" i="23"/>
  <c r="J362" i="23"/>
  <c r="I362" i="23" s="1"/>
  <c r="K362" i="23"/>
  <c r="J360" i="23"/>
  <c r="I360" i="23" s="1"/>
  <c r="K360" i="23"/>
  <c r="J355" i="23"/>
  <c r="I355" i="23" s="1"/>
  <c r="K355" i="23"/>
  <c r="G353" i="23"/>
  <c r="J353" i="23"/>
  <c r="I353" i="23" s="1"/>
  <c r="K353" i="23"/>
  <c r="G346" i="23"/>
  <c r="J346" i="23"/>
  <c r="I346" i="23" s="1"/>
  <c r="K346" i="23"/>
  <c r="J344" i="23"/>
  <c r="I344" i="23" s="1"/>
  <c r="K344" i="23"/>
  <c r="J339" i="23"/>
  <c r="I339" i="23" s="1"/>
  <c r="K339" i="23"/>
  <c r="G337" i="23"/>
  <c r="J337" i="23"/>
  <c r="I337" i="23" s="1"/>
  <c r="K337" i="23"/>
  <c r="J331" i="23"/>
  <c r="I331" i="23" s="1"/>
  <c r="K331" i="23"/>
  <c r="G329" i="23"/>
  <c r="J329" i="23"/>
  <c r="I329" i="23" s="1"/>
  <c r="K329" i="23"/>
  <c r="J324" i="23"/>
  <c r="I324" i="23" s="1"/>
  <c r="K324" i="23"/>
  <c r="G321" i="23"/>
  <c r="J321" i="23"/>
  <c r="I321" i="23" s="1"/>
  <c r="K321" i="23"/>
  <c r="J428" i="23"/>
  <c r="I428" i="23" s="1"/>
  <c r="K428" i="23"/>
  <c r="G433" i="23"/>
  <c r="J433" i="23"/>
  <c r="I433" i="23" s="1"/>
  <c r="K433" i="23"/>
  <c r="J436" i="23"/>
  <c r="I436" i="23" s="1"/>
  <c r="K436" i="23"/>
  <c r="J431" i="23"/>
  <c r="I431" i="23" s="1"/>
  <c r="K431" i="23"/>
  <c r="G429" i="23"/>
  <c r="J429" i="23"/>
  <c r="I429" i="23" s="1"/>
  <c r="K429" i="23"/>
  <c r="G428" i="23"/>
  <c r="G423" i="23"/>
  <c r="G422" i="23"/>
  <c r="J422" i="23"/>
  <c r="I422" i="23" s="1"/>
  <c r="K422" i="23"/>
  <c r="J420" i="23"/>
  <c r="I420" i="23" s="1"/>
  <c r="K420" i="23"/>
  <c r="J415" i="23"/>
  <c r="I415" i="23" s="1"/>
  <c r="K415" i="23"/>
  <c r="G413" i="23"/>
  <c r="J413" i="23"/>
  <c r="I413" i="23" s="1"/>
  <c r="K413" i="23"/>
  <c r="G412" i="23"/>
  <c r="G407" i="23"/>
  <c r="G406" i="23"/>
  <c r="J406" i="23"/>
  <c r="I406" i="23" s="1"/>
  <c r="K406" i="23"/>
  <c r="J404" i="23"/>
  <c r="I404" i="23" s="1"/>
  <c r="K404" i="23"/>
  <c r="J399" i="23"/>
  <c r="I399" i="23" s="1"/>
  <c r="K399" i="23"/>
  <c r="G397" i="23"/>
  <c r="J397" i="23"/>
  <c r="I397" i="23" s="1"/>
  <c r="K397" i="23"/>
  <c r="G396" i="23"/>
  <c r="G391" i="23"/>
  <c r="G390" i="23"/>
  <c r="J390" i="23"/>
  <c r="I390" i="23" s="1"/>
  <c r="K390" i="23"/>
  <c r="J388" i="23"/>
  <c r="I388" i="23" s="1"/>
  <c r="K388" i="23"/>
  <c r="J383" i="23"/>
  <c r="I383" i="23" s="1"/>
  <c r="K383" i="23"/>
  <c r="G381" i="23"/>
  <c r="J381" i="23"/>
  <c r="I381" i="23" s="1"/>
  <c r="K381" i="23"/>
  <c r="G380" i="23"/>
  <c r="G375" i="23"/>
  <c r="G374" i="23"/>
  <c r="J374" i="23"/>
  <c r="I374" i="23" s="1"/>
  <c r="K374" i="23"/>
  <c r="J372" i="23"/>
  <c r="I372" i="23" s="1"/>
  <c r="K372" i="23"/>
  <c r="J367" i="23"/>
  <c r="I367" i="23" s="1"/>
  <c r="K367" i="23"/>
  <c r="G365" i="23"/>
  <c r="J365" i="23"/>
  <c r="I365" i="23" s="1"/>
  <c r="K365" i="23"/>
  <c r="G364" i="23"/>
  <c r="G359" i="23"/>
  <c r="G358" i="23"/>
  <c r="J358" i="23"/>
  <c r="I358" i="23" s="1"/>
  <c r="K358" i="23"/>
  <c r="J356" i="23"/>
  <c r="I356" i="23" s="1"/>
  <c r="K356" i="23"/>
  <c r="J351" i="23"/>
  <c r="I351" i="23" s="1"/>
  <c r="K351" i="23"/>
  <c r="G349" i="23"/>
  <c r="J349" i="23"/>
  <c r="I349" i="23" s="1"/>
  <c r="K349" i="23"/>
  <c r="G348" i="23"/>
  <c r="G343" i="23"/>
  <c r="G342" i="23"/>
  <c r="J342" i="23"/>
  <c r="I342" i="23" s="1"/>
  <c r="K342" i="23"/>
  <c r="J340" i="23"/>
  <c r="I340" i="23" s="1"/>
  <c r="K340" i="23"/>
  <c r="J335" i="23"/>
  <c r="I335" i="23" s="1"/>
  <c r="K335" i="23"/>
  <c r="G333" i="23"/>
  <c r="J333" i="23"/>
  <c r="I333" i="23" s="1"/>
  <c r="K333" i="23"/>
  <c r="G330" i="23"/>
  <c r="J327" i="23"/>
  <c r="I327" i="23" s="1"/>
  <c r="K327" i="23"/>
  <c r="J325" i="23"/>
  <c r="I325" i="23" s="1"/>
  <c r="K325" i="23"/>
  <c r="G323" i="23"/>
  <c r="J323" i="23"/>
  <c r="I323" i="23" s="1"/>
  <c r="K323" i="23"/>
  <c r="G320" i="23"/>
  <c r="J320" i="23"/>
  <c r="I320" i="23" s="1"/>
  <c r="K320" i="23"/>
  <c r="G319" i="23"/>
  <c r="G318" i="23"/>
  <c r="J318" i="23"/>
  <c r="I318" i="23" s="1"/>
  <c r="K318" i="23"/>
  <c r="K317" i="23"/>
  <c r="J317" i="23"/>
  <c r="I317" i="23" s="1"/>
  <c r="D39" i="7"/>
  <c r="E39" i="7" s="1"/>
  <c r="F39" i="7" s="1"/>
  <c r="G39" i="7" s="1"/>
  <c r="H39" i="7" s="1"/>
  <c r="I39" i="7" s="1"/>
  <c r="J39" i="7" s="1"/>
  <c r="K39" i="7" s="1"/>
  <c r="L39" i="7" s="1"/>
  <c r="M39" i="7" s="1"/>
  <c r="N39" i="7" s="1"/>
  <c r="D38" i="7"/>
  <c r="E38" i="7" s="1"/>
  <c r="F38" i="7" s="1"/>
  <c r="G38" i="7" s="1"/>
  <c r="H38" i="7" s="1"/>
  <c r="I38" i="7" s="1"/>
  <c r="J38" i="7" s="1"/>
  <c r="K38" i="7" s="1"/>
  <c r="L38" i="7" s="1"/>
  <c r="M38" i="7" s="1"/>
  <c r="N38" i="7" s="1"/>
  <c r="D40" i="7"/>
  <c r="E40" i="7" s="1"/>
  <c r="F40" i="7" s="1"/>
  <c r="G40" i="7" s="1"/>
  <c r="H40" i="7" s="1"/>
  <c r="I40" i="7" s="1"/>
  <c r="J40" i="7" s="1"/>
  <c r="K40" i="7" s="1"/>
  <c r="L40" i="7" s="1"/>
  <c r="M40" i="7" s="1"/>
  <c r="N40" i="7" s="1"/>
  <c r="G39" i="23"/>
  <c r="G188" i="23"/>
  <c r="G179" i="23"/>
  <c r="G255" i="23"/>
  <c r="G232" i="23"/>
  <c r="G111" i="23"/>
  <c r="G82" i="23"/>
  <c r="G18" i="23"/>
  <c r="G307" i="23"/>
  <c r="G26" i="23"/>
  <c r="G284" i="23"/>
  <c r="J72" i="23"/>
  <c r="I72" i="23" s="1"/>
  <c r="K170" i="23"/>
  <c r="G211" i="23"/>
  <c r="J292" i="23"/>
  <c r="I292" i="23" s="1"/>
  <c r="K146" i="23"/>
  <c r="G311" i="23"/>
  <c r="G223" i="23"/>
  <c r="G200" i="23"/>
  <c r="G170" i="23"/>
  <c r="G99" i="23"/>
  <c r="G90" i="23"/>
  <c r="G74" i="23"/>
  <c r="G58" i="23"/>
  <c r="G303" i="23"/>
  <c r="G271" i="23"/>
  <c r="G103" i="23"/>
  <c r="G70" i="23"/>
  <c r="G62" i="23"/>
  <c r="G35" i="23"/>
  <c r="K259" i="23"/>
  <c r="J115" i="23"/>
  <c r="I115" i="23" s="1"/>
  <c r="K92" i="23"/>
  <c r="L26" i="23"/>
  <c r="G315" i="23"/>
  <c r="G280" i="23"/>
  <c r="G259" i="23"/>
  <c r="G248" i="23"/>
  <c r="G236" i="23"/>
  <c r="G227" i="23"/>
  <c r="G204" i="23"/>
  <c r="G174" i="23"/>
  <c r="G107" i="23"/>
  <c r="G31" i="23"/>
  <c r="J315" i="23"/>
  <c r="I315" i="23" s="1"/>
  <c r="K299" i="23"/>
  <c r="K276" i="23"/>
  <c r="J223" i="23"/>
  <c r="I223" i="23" s="1"/>
  <c r="K111" i="23"/>
  <c r="J307" i="23"/>
  <c r="I307" i="23" s="1"/>
  <c r="J284" i="23"/>
  <c r="I284" i="23" s="1"/>
  <c r="K236" i="23"/>
  <c r="J200" i="23"/>
  <c r="I200" i="23" s="1"/>
  <c r="K163" i="23"/>
  <c r="K4" i="23"/>
  <c r="J312" i="23"/>
  <c r="I312" i="23" s="1"/>
  <c r="K312" i="23"/>
  <c r="J308" i="23"/>
  <c r="I308" i="23" s="1"/>
  <c r="K308" i="23"/>
  <c r="J304" i="23"/>
  <c r="I304" i="23" s="1"/>
  <c r="K304" i="23"/>
  <c r="G297" i="23"/>
  <c r="J297" i="23"/>
  <c r="I297" i="23" s="1"/>
  <c r="G286" i="23"/>
  <c r="K286" i="23"/>
  <c r="G281" i="23"/>
  <c r="J281" i="23"/>
  <c r="I281" i="23" s="1"/>
  <c r="K281" i="23"/>
  <c r="J279" i="23"/>
  <c r="I279" i="23" s="1"/>
  <c r="K279" i="23"/>
  <c r="G270" i="23"/>
  <c r="J270" i="23"/>
  <c r="I270" i="23" s="1"/>
  <c r="K270" i="23"/>
  <c r="G265" i="23"/>
  <c r="K265" i="23"/>
  <c r="J256" i="23"/>
  <c r="I256" i="23" s="1"/>
  <c r="K256" i="23"/>
  <c r="G254" i="23"/>
  <c r="J254" i="23"/>
  <c r="I254" i="23" s="1"/>
  <c r="K254" i="23"/>
  <c r="G249" i="23"/>
  <c r="J249" i="23"/>
  <c r="I249" i="23" s="1"/>
  <c r="K249" i="23"/>
  <c r="G233" i="23"/>
  <c r="J233" i="23"/>
  <c r="I233" i="23" s="1"/>
  <c r="K233" i="23"/>
  <c r="J224" i="23"/>
  <c r="I224" i="23" s="1"/>
  <c r="K224" i="23"/>
  <c r="G222" i="23"/>
  <c r="J222" i="23"/>
  <c r="I222" i="23" s="1"/>
  <c r="K222" i="23"/>
  <c r="G217" i="23"/>
  <c r="J217" i="23"/>
  <c r="I217" i="23" s="1"/>
  <c r="J208" i="23"/>
  <c r="I208" i="23" s="1"/>
  <c r="K208" i="23"/>
  <c r="G201" i="23"/>
  <c r="J201" i="23"/>
  <c r="I201" i="23" s="1"/>
  <c r="K201" i="23"/>
  <c r="J199" i="23"/>
  <c r="I199" i="23" s="1"/>
  <c r="K199" i="23"/>
  <c r="G185" i="23"/>
  <c r="K185" i="23"/>
  <c r="J162" i="23"/>
  <c r="I162" i="23" s="1"/>
  <c r="K162" i="23"/>
  <c r="G160" i="23"/>
  <c r="J160" i="23"/>
  <c r="I160" i="23" s="1"/>
  <c r="K160" i="23"/>
  <c r="M158" i="23"/>
  <c r="L158" i="23"/>
  <c r="J158" i="23"/>
  <c r="I158" i="23" s="1"/>
  <c r="K158" i="23"/>
  <c r="M143" i="23"/>
  <c r="K143" i="23"/>
  <c r="L143" i="23"/>
  <c r="J143" i="23"/>
  <c r="I143" i="23" s="1"/>
  <c r="G141" i="23"/>
  <c r="L141" i="23"/>
  <c r="K141" i="23"/>
  <c r="M141" i="23"/>
  <c r="J141" i="23"/>
  <c r="I141" i="23" s="1"/>
  <c r="G128" i="23"/>
  <c r="L128" i="23"/>
  <c r="K128" i="23"/>
  <c r="M128" i="23"/>
  <c r="J128" i="23"/>
  <c r="I128" i="23" s="1"/>
  <c r="M126" i="23"/>
  <c r="L126" i="23"/>
  <c r="K126" i="23"/>
  <c r="M95" i="23"/>
  <c r="K95" i="23"/>
  <c r="L95" i="23"/>
  <c r="J95" i="23"/>
  <c r="I95" i="23" s="1"/>
  <c r="G95" i="23"/>
  <c r="G93" i="23"/>
  <c r="L93" i="23"/>
  <c r="K93" i="23"/>
  <c r="J93" i="23"/>
  <c r="I93" i="23" s="1"/>
  <c r="M93" i="23"/>
  <c r="G85" i="23"/>
  <c r="L85" i="23"/>
  <c r="M85" i="23"/>
  <c r="K85" i="23"/>
  <c r="J85" i="23"/>
  <c r="I85" i="23" s="1"/>
  <c r="M79" i="23"/>
  <c r="J79" i="23"/>
  <c r="I79" i="23" s="1"/>
  <c r="L79" i="23"/>
  <c r="K79" i="23"/>
  <c r="G79" i="23"/>
  <c r="G77" i="23"/>
  <c r="L77" i="23"/>
  <c r="M77" i="23"/>
  <c r="J77" i="23"/>
  <c r="I77" i="23" s="1"/>
  <c r="G69" i="23"/>
  <c r="L69" i="23"/>
  <c r="J69" i="23"/>
  <c r="I69" i="23" s="1"/>
  <c r="M69" i="23"/>
  <c r="K69" i="23"/>
  <c r="M63" i="23"/>
  <c r="J63" i="23"/>
  <c r="I63" i="23" s="1"/>
  <c r="K63" i="23"/>
  <c r="L63" i="23"/>
  <c r="G63" i="23"/>
  <c r="M47" i="23"/>
  <c r="K47" i="23"/>
  <c r="L47" i="23"/>
  <c r="J47" i="23"/>
  <c r="I47" i="23" s="1"/>
  <c r="G47" i="23"/>
  <c r="G45" i="23"/>
  <c r="L45" i="23"/>
  <c r="J45" i="23"/>
  <c r="I45" i="23" s="1"/>
  <c r="K45" i="23"/>
  <c r="M45" i="23"/>
  <c r="M42" i="23"/>
  <c r="J42" i="23"/>
  <c r="I42" i="23" s="1"/>
  <c r="K42" i="23"/>
  <c r="G42" i="23"/>
  <c r="L42" i="23"/>
  <c r="M34" i="23"/>
  <c r="K34" i="23"/>
  <c r="L34" i="23"/>
  <c r="J34" i="23"/>
  <c r="I34" i="23" s="1"/>
  <c r="G34" i="23"/>
  <c r="J27" i="23"/>
  <c r="I27" i="23" s="1"/>
  <c r="K27" i="23"/>
  <c r="L27" i="23"/>
  <c r="M27" i="23"/>
  <c r="G27" i="23"/>
  <c r="G25" i="23"/>
  <c r="L25" i="23"/>
  <c r="J25" i="23"/>
  <c r="I25" i="23" s="1"/>
  <c r="M25" i="23"/>
  <c r="K25" i="23"/>
  <c r="J19" i="23"/>
  <c r="I19" i="23" s="1"/>
  <c r="M19" i="23"/>
  <c r="K19" i="23"/>
  <c r="G19" i="23"/>
  <c r="L19" i="23"/>
  <c r="G17" i="23"/>
  <c r="L17" i="23"/>
  <c r="J17" i="23"/>
  <c r="I17" i="23" s="1"/>
  <c r="K17" i="23"/>
  <c r="M17" i="23"/>
  <c r="M6" i="23"/>
  <c r="K6" i="23"/>
  <c r="L6" i="23"/>
  <c r="G6" i="23"/>
  <c r="J6" i="23"/>
  <c r="I6" i="23" s="1"/>
  <c r="J231" i="23"/>
  <c r="I231" i="23" s="1"/>
  <c r="J185" i="23"/>
  <c r="I185" i="23" s="1"/>
  <c r="G310" i="23"/>
  <c r="J310" i="23"/>
  <c r="I310" i="23" s="1"/>
  <c r="K310" i="23"/>
  <c r="G306" i="23"/>
  <c r="J306" i="23"/>
  <c r="I306" i="23" s="1"/>
  <c r="K306" i="23"/>
  <c r="G285" i="23"/>
  <c r="J285" i="23"/>
  <c r="I285" i="23" s="1"/>
  <c r="K285" i="23"/>
  <c r="G269" i="23"/>
  <c r="K269" i="23"/>
  <c r="G253" i="23"/>
  <c r="J253" i="23"/>
  <c r="I253" i="23" s="1"/>
  <c r="J251" i="23"/>
  <c r="I251" i="23" s="1"/>
  <c r="K251" i="23"/>
  <c r="G242" i="23"/>
  <c r="K242" i="23"/>
  <c r="G237" i="23"/>
  <c r="J237" i="23"/>
  <c r="I237" i="23" s="1"/>
  <c r="K237" i="23"/>
  <c r="G221" i="23"/>
  <c r="K221" i="23"/>
  <c r="J212" i="23"/>
  <c r="I212" i="23" s="1"/>
  <c r="K212" i="23"/>
  <c r="G210" i="23"/>
  <c r="J210" i="23"/>
  <c r="I210" i="23" s="1"/>
  <c r="K210" i="23"/>
  <c r="G205" i="23"/>
  <c r="J205" i="23"/>
  <c r="I205" i="23" s="1"/>
  <c r="K205" i="23"/>
  <c r="G194" i="23"/>
  <c r="J194" i="23"/>
  <c r="I194" i="23" s="1"/>
  <c r="G189" i="23"/>
  <c r="J189" i="23"/>
  <c r="I189" i="23" s="1"/>
  <c r="K189" i="23"/>
  <c r="J173" i="23"/>
  <c r="I173" i="23" s="1"/>
  <c r="K173" i="23"/>
  <c r="J171" i="23"/>
  <c r="I171" i="23" s="1"/>
  <c r="K171" i="23"/>
  <c r="G169" i="23"/>
  <c r="K169" i="23"/>
  <c r="G165" i="23"/>
  <c r="J165" i="23"/>
  <c r="I165" i="23" s="1"/>
  <c r="M154" i="23"/>
  <c r="K154" i="23"/>
  <c r="L154" i="23"/>
  <c r="M150" i="23"/>
  <c r="L150" i="23"/>
  <c r="K150" i="23"/>
  <c r="G148" i="23"/>
  <c r="L148" i="23"/>
  <c r="M148" i="23"/>
  <c r="K148" i="23"/>
  <c r="G137" i="23"/>
  <c r="L137" i="23"/>
  <c r="M137" i="23"/>
  <c r="J137" i="23"/>
  <c r="I137" i="23" s="1"/>
  <c r="K137" i="23"/>
  <c r="G133" i="23"/>
  <c r="L133" i="23"/>
  <c r="M133" i="23"/>
  <c r="J133" i="23"/>
  <c r="I133" i="23" s="1"/>
  <c r="M110" i="23"/>
  <c r="L110" i="23"/>
  <c r="J110" i="23"/>
  <c r="I110" i="23" s="1"/>
  <c r="K110" i="23"/>
  <c r="G110" i="23"/>
  <c r="G108" i="23"/>
  <c r="L108" i="23"/>
  <c r="M108" i="23"/>
  <c r="K108" i="23"/>
  <c r="G44" i="23"/>
  <c r="L44" i="23"/>
  <c r="J44" i="23"/>
  <c r="I44" i="23" s="1"/>
  <c r="M44" i="23"/>
  <c r="K44" i="23"/>
  <c r="G36" i="23"/>
  <c r="L36" i="23"/>
  <c r="K36" i="23"/>
  <c r="M36" i="23"/>
  <c r="J36" i="23"/>
  <c r="I36" i="23" s="1"/>
  <c r="M30" i="23"/>
  <c r="K30" i="23"/>
  <c r="L30" i="23"/>
  <c r="J30" i="23"/>
  <c r="I30" i="23" s="1"/>
  <c r="G30" i="23"/>
  <c r="G8" i="23"/>
  <c r="K8" i="23"/>
  <c r="L8" i="23"/>
  <c r="J8" i="23"/>
  <c r="I8" i="23" s="1"/>
  <c r="K297" i="23"/>
  <c r="J267" i="23"/>
  <c r="I267" i="23" s="1"/>
  <c r="J244" i="23"/>
  <c r="I244" i="23" s="1"/>
  <c r="J221" i="23"/>
  <c r="I221" i="23" s="1"/>
  <c r="J183" i="23"/>
  <c r="I183" i="23" s="1"/>
  <c r="J169" i="23"/>
  <c r="I169" i="23" s="1"/>
  <c r="J154" i="23"/>
  <c r="I154" i="23" s="1"/>
  <c r="J126" i="23"/>
  <c r="I126" i="23" s="1"/>
  <c r="K77" i="23"/>
  <c r="M152" i="23"/>
  <c r="G316" i="23"/>
  <c r="G313" i="23"/>
  <c r="K313" i="23"/>
  <c r="G312" i="23"/>
  <c r="G309" i="23"/>
  <c r="K309" i="23"/>
  <c r="G308" i="23"/>
  <c r="G305" i="23"/>
  <c r="K305" i="23"/>
  <c r="G304" i="23"/>
  <c r="J296" i="23"/>
  <c r="I296" i="23" s="1"/>
  <c r="K296" i="23"/>
  <c r="G294" i="23"/>
  <c r="K294" i="23"/>
  <c r="G289" i="23"/>
  <c r="J289" i="23"/>
  <c r="I289" i="23" s="1"/>
  <c r="K289" i="23"/>
  <c r="G288" i="23"/>
  <c r="J287" i="23"/>
  <c r="I287" i="23" s="1"/>
  <c r="K287" i="23"/>
  <c r="G279" i="23"/>
  <c r="G278" i="23"/>
  <c r="J278" i="23"/>
  <c r="I278" i="23" s="1"/>
  <c r="G273" i="23"/>
  <c r="J273" i="23"/>
  <c r="I273" i="23" s="1"/>
  <c r="K273" i="23"/>
  <c r="G272" i="23"/>
  <c r="J264" i="23"/>
  <c r="I264" i="23" s="1"/>
  <c r="K264" i="23"/>
  <c r="G263" i="23"/>
  <c r="G262" i="23"/>
  <c r="J262" i="23"/>
  <c r="I262" i="23" s="1"/>
  <c r="K262" i="23"/>
  <c r="G257" i="23"/>
  <c r="J257" i="23"/>
  <c r="I257" i="23" s="1"/>
  <c r="G256" i="23"/>
  <c r="G246" i="23"/>
  <c r="K246" i="23"/>
  <c r="G241" i="23"/>
  <c r="J241" i="23"/>
  <c r="I241" i="23" s="1"/>
  <c r="K241" i="23"/>
  <c r="G240" i="23"/>
  <c r="J239" i="23"/>
  <c r="I239" i="23" s="1"/>
  <c r="K239" i="23"/>
  <c r="G231" i="23"/>
  <c r="G230" i="23"/>
  <c r="J230" i="23"/>
  <c r="I230" i="23" s="1"/>
  <c r="K230" i="23"/>
  <c r="G225" i="23"/>
  <c r="K225" i="23"/>
  <c r="G224" i="23"/>
  <c r="J216" i="23"/>
  <c r="I216" i="23" s="1"/>
  <c r="K216" i="23"/>
  <c r="G215" i="23"/>
  <c r="G214" i="23"/>
  <c r="J214" i="23"/>
  <c r="I214" i="23" s="1"/>
  <c r="K214" i="23"/>
  <c r="G209" i="23"/>
  <c r="J209" i="23"/>
  <c r="I209" i="23" s="1"/>
  <c r="G208" i="23"/>
  <c r="J207" i="23"/>
  <c r="I207" i="23" s="1"/>
  <c r="K207" i="23"/>
  <c r="G199" i="23"/>
  <c r="G198" i="23"/>
  <c r="J198" i="23"/>
  <c r="I198" i="23" s="1"/>
  <c r="G193" i="23"/>
  <c r="J193" i="23"/>
  <c r="I193" i="23" s="1"/>
  <c r="K193" i="23"/>
  <c r="G192" i="23"/>
  <c r="J191" i="23"/>
  <c r="I191" i="23" s="1"/>
  <c r="K191" i="23"/>
  <c r="J184" i="23"/>
  <c r="I184" i="23" s="1"/>
  <c r="K184" i="23"/>
  <c r="G183" i="23"/>
  <c r="G182" i="23"/>
  <c r="J182" i="23"/>
  <c r="I182" i="23" s="1"/>
  <c r="K182" i="23"/>
  <c r="G177" i="23"/>
  <c r="J177" i="23"/>
  <c r="I177" i="23" s="1"/>
  <c r="G162" i="23"/>
  <c r="G161" i="23"/>
  <c r="J161" i="23"/>
  <c r="I161" i="23" s="1"/>
  <c r="M159" i="23"/>
  <c r="L159" i="23"/>
  <c r="J159" i="23"/>
  <c r="I159" i="23" s="1"/>
  <c r="G158" i="23"/>
  <c r="G157" i="23"/>
  <c r="L157" i="23"/>
  <c r="M157" i="23"/>
  <c r="J157" i="23"/>
  <c r="I157" i="23" s="1"/>
  <c r="L155" i="23"/>
  <c r="M155" i="23"/>
  <c r="J155" i="23"/>
  <c r="I155" i="23" s="1"/>
  <c r="K155" i="23"/>
  <c r="M146" i="23"/>
  <c r="L146" i="23"/>
  <c r="J146" i="23"/>
  <c r="I146" i="23" s="1"/>
  <c r="G144" i="23"/>
  <c r="L144" i="23"/>
  <c r="M144" i="23"/>
  <c r="J144" i="23"/>
  <c r="I144" i="23" s="1"/>
  <c r="G143" i="23"/>
  <c r="M142" i="23"/>
  <c r="L142" i="23"/>
  <c r="J142" i="23"/>
  <c r="I142" i="23" s="1"/>
  <c r="G140" i="23"/>
  <c r="L140" i="23"/>
  <c r="M140" i="23"/>
  <c r="J140" i="23"/>
  <c r="I140" i="23" s="1"/>
  <c r="G129" i="23"/>
  <c r="L129" i="23"/>
  <c r="J129" i="23"/>
  <c r="I129" i="23" s="1"/>
  <c r="M129" i="23"/>
  <c r="K129" i="23"/>
  <c r="M127" i="23"/>
  <c r="J127" i="23"/>
  <c r="I127" i="23" s="1"/>
  <c r="L127" i="23"/>
  <c r="K127" i="23"/>
  <c r="G126" i="23"/>
  <c r="G125" i="23"/>
  <c r="L125" i="23"/>
  <c r="J125" i="23"/>
  <c r="I125" i="23" s="1"/>
  <c r="M125" i="23"/>
  <c r="K125" i="23"/>
  <c r="J123" i="23"/>
  <c r="I123" i="23" s="1"/>
  <c r="L123" i="23"/>
  <c r="K123" i="23"/>
  <c r="M123" i="23"/>
  <c r="G112" i="23"/>
  <c r="L112" i="23"/>
  <c r="M112" i="23"/>
  <c r="J112" i="23"/>
  <c r="I112" i="23" s="1"/>
  <c r="K112" i="23"/>
  <c r="G97" i="23"/>
  <c r="L97" i="23"/>
  <c r="K97" i="23"/>
  <c r="M97" i="23"/>
  <c r="J91" i="23"/>
  <c r="I91" i="23" s="1"/>
  <c r="L91" i="23"/>
  <c r="K91" i="23"/>
  <c r="M91" i="23"/>
  <c r="G91" i="23"/>
  <c r="G89" i="23"/>
  <c r="L89" i="23"/>
  <c r="M89" i="23"/>
  <c r="J89" i="23"/>
  <c r="I89" i="23" s="1"/>
  <c r="K89" i="23"/>
  <c r="M83" i="23"/>
  <c r="J83" i="23"/>
  <c r="I83" i="23" s="1"/>
  <c r="K83" i="23"/>
  <c r="L83" i="23"/>
  <c r="G83" i="23"/>
  <c r="G81" i="23"/>
  <c r="L81" i="23"/>
  <c r="J81" i="23"/>
  <c r="I81" i="23" s="1"/>
  <c r="M81" i="23"/>
  <c r="K81" i="23"/>
  <c r="K75" i="23"/>
  <c r="L75" i="23"/>
  <c r="M75" i="23"/>
  <c r="J75" i="23"/>
  <c r="I75" i="23" s="1"/>
  <c r="G75" i="23"/>
  <c r="G73" i="23"/>
  <c r="L73" i="23"/>
  <c r="J73" i="23"/>
  <c r="I73" i="23" s="1"/>
  <c r="M73" i="23"/>
  <c r="K73" i="23"/>
  <c r="J67" i="23"/>
  <c r="I67" i="23" s="1"/>
  <c r="M67" i="23"/>
  <c r="L67" i="23"/>
  <c r="K67" i="23"/>
  <c r="G67" i="23"/>
  <c r="G65" i="23"/>
  <c r="L65" i="23"/>
  <c r="J65" i="23"/>
  <c r="I65" i="23" s="1"/>
  <c r="K65" i="23"/>
  <c r="M65" i="23"/>
  <c r="K59" i="23"/>
  <c r="L59" i="23"/>
  <c r="M59" i="23"/>
  <c r="J59" i="23"/>
  <c r="I59" i="23" s="1"/>
  <c r="G59" i="23"/>
  <c r="G57" i="23"/>
  <c r="L57" i="23"/>
  <c r="K57" i="23"/>
  <c r="M57" i="23"/>
  <c r="J57" i="23"/>
  <c r="I57" i="23" s="1"/>
  <c r="K51" i="23"/>
  <c r="M51" i="23"/>
  <c r="J51" i="23"/>
  <c r="I51" i="23" s="1"/>
  <c r="L51" i="23"/>
  <c r="G51" i="23"/>
  <c r="G49" i="23"/>
  <c r="L49" i="23"/>
  <c r="K49" i="23"/>
  <c r="M49" i="23"/>
  <c r="J49" i="23"/>
  <c r="I49" i="23" s="1"/>
  <c r="M38" i="23"/>
  <c r="K38" i="23"/>
  <c r="J38" i="23"/>
  <c r="I38" i="23" s="1"/>
  <c r="L38" i="23"/>
  <c r="G38" i="23"/>
  <c r="G32" i="23"/>
  <c r="K32" i="23"/>
  <c r="L32" i="23"/>
  <c r="J32" i="23"/>
  <c r="I32" i="23" s="1"/>
  <c r="M32" i="23"/>
  <c r="M23" i="23"/>
  <c r="J23" i="23"/>
  <c r="I23" i="23" s="1"/>
  <c r="L23" i="23"/>
  <c r="K23" i="23"/>
  <c r="G23" i="23"/>
  <c r="G21" i="23"/>
  <c r="L21" i="23"/>
  <c r="J21" i="23"/>
  <c r="I21" i="23" s="1"/>
  <c r="M21" i="23"/>
  <c r="M15" i="23"/>
  <c r="J15" i="23"/>
  <c r="I15" i="23" s="1"/>
  <c r="L15" i="23"/>
  <c r="K15" i="23"/>
  <c r="G15" i="23"/>
  <c r="G13" i="23"/>
  <c r="L13" i="23"/>
  <c r="K13" i="23"/>
  <c r="M13" i="23"/>
  <c r="J13" i="23"/>
  <c r="I13" i="23" s="1"/>
  <c r="J311" i="23"/>
  <c r="I311" i="23" s="1"/>
  <c r="K303" i="23"/>
  <c r="J288" i="23"/>
  <c r="I288" i="23" s="1"/>
  <c r="K280" i="23"/>
  <c r="K272" i="23"/>
  <c r="J265" i="23"/>
  <c r="I265" i="23" s="1"/>
  <c r="K257" i="23"/>
  <c r="J242" i="23"/>
  <c r="I242" i="23" s="1"/>
  <c r="J227" i="23"/>
  <c r="I227" i="23" s="1"/>
  <c r="K219" i="23"/>
  <c r="K211" i="23"/>
  <c r="J204" i="23"/>
  <c r="I204" i="23" s="1"/>
  <c r="K196" i="23"/>
  <c r="K188" i="23"/>
  <c r="J174" i="23"/>
  <c r="I174" i="23" s="1"/>
  <c r="K167" i="23"/>
  <c r="K159" i="23"/>
  <c r="K144" i="23"/>
  <c r="J108" i="23"/>
  <c r="I108" i="23" s="1"/>
  <c r="L4" i="23"/>
  <c r="M4" i="23"/>
  <c r="G302" i="23"/>
  <c r="J302" i="23"/>
  <c r="I302" i="23" s="1"/>
  <c r="K302" i="23"/>
  <c r="J295" i="23"/>
  <c r="I295" i="23" s="1"/>
  <c r="K295" i="23"/>
  <c r="J247" i="23"/>
  <c r="I247" i="23" s="1"/>
  <c r="K247" i="23"/>
  <c r="G238" i="23"/>
  <c r="J238" i="23"/>
  <c r="I238" i="23" s="1"/>
  <c r="G206" i="23"/>
  <c r="K206" i="23"/>
  <c r="G190" i="23"/>
  <c r="J190" i="23"/>
  <c r="I190" i="23" s="1"/>
  <c r="J176" i="23"/>
  <c r="I176" i="23" s="1"/>
  <c r="K176" i="23"/>
  <c r="G156" i="23"/>
  <c r="L156" i="23"/>
  <c r="M156" i="23"/>
  <c r="J156" i="23"/>
  <c r="I156" i="23" s="1"/>
  <c r="K156" i="23"/>
  <c r="G145" i="23"/>
  <c r="L145" i="23"/>
  <c r="J145" i="23"/>
  <c r="I145" i="23" s="1"/>
  <c r="K145" i="23"/>
  <c r="M145" i="23"/>
  <c r="L139" i="23"/>
  <c r="M139" i="23"/>
  <c r="J139" i="23"/>
  <c r="I139" i="23" s="1"/>
  <c r="K139" i="23"/>
  <c r="M130" i="23"/>
  <c r="K130" i="23"/>
  <c r="L130" i="23"/>
  <c r="G124" i="23"/>
  <c r="L124" i="23"/>
  <c r="M124" i="23"/>
  <c r="K124" i="23"/>
  <c r="J124" i="23"/>
  <c r="I124" i="23" s="1"/>
  <c r="M118" i="23"/>
  <c r="L118" i="23"/>
  <c r="G118" i="23"/>
  <c r="J118" i="23"/>
  <c r="I118" i="23" s="1"/>
  <c r="M106" i="23"/>
  <c r="K106" i="23"/>
  <c r="G106" i="23"/>
  <c r="J106" i="23"/>
  <c r="I106" i="23" s="1"/>
  <c r="L106" i="23"/>
  <c r="G104" i="23"/>
  <c r="L104" i="23"/>
  <c r="J104" i="23"/>
  <c r="I104" i="23" s="1"/>
  <c r="M87" i="23"/>
  <c r="L87" i="23"/>
  <c r="G87" i="23"/>
  <c r="J87" i="23"/>
  <c r="I87" i="23" s="1"/>
  <c r="M71" i="23"/>
  <c r="J71" i="23"/>
  <c r="I71" i="23" s="1"/>
  <c r="L71" i="23"/>
  <c r="K71" i="23"/>
  <c r="G71" i="23"/>
  <c r="G61" i="23"/>
  <c r="L61" i="23"/>
  <c r="J61" i="23"/>
  <c r="I61" i="23" s="1"/>
  <c r="M61" i="23"/>
  <c r="K61" i="23"/>
  <c r="M55" i="23"/>
  <c r="K55" i="23"/>
  <c r="L55" i="23"/>
  <c r="J55" i="23"/>
  <c r="I55" i="23" s="1"/>
  <c r="G55" i="23"/>
  <c r="G53" i="23"/>
  <c r="L53" i="23"/>
  <c r="K53" i="23"/>
  <c r="M53" i="23"/>
  <c r="J53" i="23"/>
  <c r="I53" i="23" s="1"/>
  <c r="K215" i="23"/>
  <c r="K192" i="23"/>
  <c r="J130" i="23"/>
  <c r="I130" i="23" s="1"/>
  <c r="G314" i="23"/>
  <c r="J314" i="23"/>
  <c r="I314" i="23" s="1"/>
  <c r="K314" i="23"/>
  <c r="G301" i="23"/>
  <c r="J301" i="23"/>
  <c r="I301" i="23" s="1"/>
  <c r="G290" i="23"/>
  <c r="K290" i="23"/>
  <c r="J283" i="23"/>
  <c r="I283" i="23" s="1"/>
  <c r="K283" i="23"/>
  <c r="G274" i="23"/>
  <c r="J274" i="23"/>
  <c r="I274" i="23" s="1"/>
  <c r="J260" i="23"/>
  <c r="I260" i="23" s="1"/>
  <c r="K260" i="23"/>
  <c r="G258" i="23"/>
  <c r="J258" i="23"/>
  <c r="I258" i="23" s="1"/>
  <c r="K258" i="23"/>
  <c r="J235" i="23"/>
  <c r="I235" i="23" s="1"/>
  <c r="K235" i="23"/>
  <c r="J228" i="23"/>
  <c r="I228" i="23" s="1"/>
  <c r="K228" i="23"/>
  <c r="G226" i="23"/>
  <c r="J226" i="23"/>
  <c r="I226" i="23" s="1"/>
  <c r="K226" i="23"/>
  <c r="J203" i="23"/>
  <c r="I203" i="23" s="1"/>
  <c r="K203" i="23"/>
  <c r="J180" i="23"/>
  <c r="I180" i="23" s="1"/>
  <c r="K180" i="23"/>
  <c r="G178" i="23"/>
  <c r="J178" i="23"/>
  <c r="I178" i="23" s="1"/>
  <c r="K178" i="23"/>
  <c r="G175" i="23"/>
  <c r="J175" i="23"/>
  <c r="I175" i="23" s="1"/>
  <c r="K175" i="23"/>
  <c r="G152" i="23"/>
  <c r="L152" i="23"/>
  <c r="K152" i="23"/>
  <c r="M135" i="23"/>
  <c r="L135" i="23"/>
  <c r="J135" i="23"/>
  <c r="I135" i="23" s="1"/>
  <c r="K135" i="23"/>
  <c r="M131" i="23"/>
  <c r="J131" i="23"/>
  <c r="I131" i="23" s="1"/>
  <c r="K131" i="23"/>
  <c r="L131" i="23"/>
  <c r="M122" i="23"/>
  <c r="L122" i="23"/>
  <c r="J122" i="23"/>
  <c r="I122" i="23" s="1"/>
  <c r="G120" i="23"/>
  <c r="L120" i="23"/>
  <c r="J120" i="23"/>
  <c r="I120" i="23" s="1"/>
  <c r="K120" i="23"/>
  <c r="J4" i="23"/>
  <c r="J300" i="23"/>
  <c r="I300" i="23" s="1"/>
  <c r="K300" i="23"/>
  <c r="G299" i="23"/>
  <c r="G298" i="23"/>
  <c r="J298" i="23"/>
  <c r="I298" i="23" s="1"/>
  <c r="K298" i="23"/>
  <c r="G293" i="23"/>
  <c r="J293" i="23"/>
  <c r="I293" i="23" s="1"/>
  <c r="K293" i="23"/>
  <c r="G292" i="23"/>
  <c r="J291" i="23"/>
  <c r="I291" i="23" s="1"/>
  <c r="K291" i="23"/>
  <c r="G283" i="23"/>
  <c r="G282" i="23"/>
  <c r="J282" i="23"/>
  <c r="I282" i="23" s="1"/>
  <c r="G277" i="23"/>
  <c r="J277" i="23"/>
  <c r="I277" i="23" s="1"/>
  <c r="K277" i="23"/>
  <c r="G276" i="23"/>
  <c r="J275" i="23"/>
  <c r="I275" i="23" s="1"/>
  <c r="K275" i="23"/>
  <c r="J268" i="23"/>
  <c r="I268" i="23" s="1"/>
  <c r="K268" i="23"/>
  <c r="G267" i="23"/>
  <c r="G266" i="23"/>
  <c r="J266" i="23"/>
  <c r="I266" i="23" s="1"/>
  <c r="K266" i="23"/>
  <c r="G261" i="23"/>
  <c r="J261" i="23"/>
  <c r="I261" i="23" s="1"/>
  <c r="G260" i="23"/>
  <c r="J252" i="23"/>
  <c r="I252" i="23" s="1"/>
  <c r="K252" i="23"/>
  <c r="G251" i="23"/>
  <c r="G250" i="23"/>
  <c r="K250" i="23"/>
  <c r="G245" i="23"/>
  <c r="J245" i="23"/>
  <c r="I245" i="23" s="1"/>
  <c r="K245" i="23"/>
  <c r="G244" i="23"/>
  <c r="J243" i="23"/>
  <c r="I243" i="23" s="1"/>
  <c r="K243" i="23"/>
  <c r="G235" i="23"/>
  <c r="G234" i="23"/>
  <c r="J234" i="23"/>
  <c r="I234" i="23" s="1"/>
  <c r="G229" i="23"/>
  <c r="K229" i="23"/>
  <c r="G228" i="23"/>
  <c r="J220" i="23"/>
  <c r="I220" i="23" s="1"/>
  <c r="K220" i="23"/>
  <c r="G219" i="23"/>
  <c r="G218" i="23"/>
  <c r="J218" i="23"/>
  <c r="I218" i="23" s="1"/>
  <c r="K218" i="23"/>
  <c r="G213" i="23"/>
  <c r="J213" i="23"/>
  <c r="I213" i="23" s="1"/>
  <c r="G212" i="23"/>
  <c r="G203" i="23"/>
  <c r="G202" i="23"/>
  <c r="K202" i="23"/>
  <c r="G197" i="23"/>
  <c r="J197" i="23"/>
  <c r="I197" i="23" s="1"/>
  <c r="K197" i="23"/>
  <c r="G196" i="23"/>
  <c r="J195" i="23"/>
  <c r="I195" i="23" s="1"/>
  <c r="K195" i="23"/>
  <c r="G187" i="23"/>
  <c r="G186" i="23"/>
  <c r="J186" i="23"/>
  <c r="I186" i="23" s="1"/>
  <c r="K186" i="23"/>
  <c r="G181" i="23"/>
  <c r="K181" i="23"/>
  <c r="G180" i="23"/>
  <c r="G173" i="23"/>
  <c r="G172" i="23"/>
  <c r="J172" i="23"/>
  <c r="I172" i="23" s="1"/>
  <c r="G171" i="23"/>
  <c r="G168" i="23"/>
  <c r="J168" i="23"/>
  <c r="I168" i="23" s="1"/>
  <c r="K168" i="23"/>
  <c r="G167" i="23"/>
  <c r="J166" i="23"/>
  <c r="I166" i="23" s="1"/>
  <c r="K166" i="23"/>
  <c r="G164" i="23"/>
  <c r="J164" i="23"/>
  <c r="I164" i="23" s="1"/>
  <c r="K164" i="23"/>
  <c r="G163" i="23"/>
  <c r="G154" i="23"/>
  <c r="G153" i="23"/>
  <c r="L153" i="23"/>
  <c r="M153" i="23"/>
  <c r="J153" i="23"/>
  <c r="I153" i="23" s="1"/>
  <c r="K153" i="23"/>
  <c r="M151" i="23"/>
  <c r="L151" i="23"/>
  <c r="J151" i="23"/>
  <c r="I151" i="23" s="1"/>
  <c r="K151" i="23"/>
  <c r="G150" i="23"/>
  <c r="G149" i="23"/>
  <c r="L149" i="23"/>
  <c r="M149" i="23"/>
  <c r="J149" i="23"/>
  <c r="I149" i="23" s="1"/>
  <c r="K149" i="23"/>
  <c r="M147" i="23"/>
  <c r="J147" i="23"/>
  <c r="I147" i="23" s="1"/>
  <c r="L147" i="23"/>
  <c r="K147" i="23"/>
  <c r="M138" i="23"/>
  <c r="J138" i="23"/>
  <c r="I138" i="23" s="1"/>
  <c r="K138" i="23"/>
  <c r="L138" i="23"/>
  <c r="G136" i="23"/>
  <c r="K136" i="23"/>
  <c r="L136" i="23"/>
  <c r="J136" i="23"/>
  <c r="I136" i="23" s="1"/>
  <c r="G135" i="23"/>
  <c r="M134" i="23"/>
  <c r="L134" i="23"/>
  <c r="J134" i="23"/>
  <c r="I134" i="23" s="1"/>
  <c r="K134" i="23"/>
  <c r="G132" i="23"/>
  <c r="L132" i="23"/>
  <c r="M132" i="23"/>
  <c r="J132" i="23"/>
  <c r="I132" i="23" s="1"/>
  <c r="K132" i="23"/>
  <c r="G131" i="23"/>
  <c r="G122" i="23"/>
  <c r="G121" i="23"/>
  <c r="L121" i="23"/>
  <c r="J121" i="23"/>
  <c r="I121" i="23" s="1"/>
  <c r="M121" i="23"/>
  <c r="K121" i="23"/>
  <c r="M119" i="23"/>
  <c r="L119" i="23"/>
  <c r="J119" i="23"/>
  <c r="I119" i="23" s="1"/>
  <c r="K119" i="23"/>
  <c r="G116" i="23"/>
  <c r="L116" i="23"/>
  <c r="M116" i="23"/>
  <c r="J116" i="23"/>
  <c r="I116" i="23" s="1"/>
  <c r="K116" i="23"/>
  <c r="M114" i="23"/>
  <c r="L114" i="23"/>
  <c r="J114" i="23"/>
  <c r="I114" i="23" s="1"/>
  <c r="G114" i="23"/>
  <c r="K114" i="23"/>
  <c r="M102" i="23"/>
  <c r="J102" i="23"/>
  <c r="I102" i="23" s="1"/>
  <c r="L102" i="23"/>
  <c r="K102" i="23"/>
  <c r="G102" i="23"/>
  <c r="G100" i="23"/>
  <c r="L100" i="23"/>
  <c r="J100" i="23"/>
  <c r="I100" i="23" s="1"/>
  <c r="M100" i="23"/>
  <c r="K100" i="23"/>
  <c r="G40" i="23"/>
  <c r="J40" i="23"/>
  <c r="I40" i="23" s="1"/>
  <c r="K40" i="23"/>
  <c r="L40" i="23"/>
  <c r="K316" i="23"/>
  <c r="J309" i="23"/>
  <c r="I309" i="23" s="1"/>
  <c r="K301" i="23"/>
  <c r="J294" i="23"/>
  <c r="I294" i="23" s="1"/>
  <c r="J286" i="23"/>
  <c r="I286" i="23" s="1"/>
  <c r="K278" i="23"/>
  <c r="J271" i="23"/>
  <c r="I271" i="23" s="1"/>
  <c r="K263" i="23"/>
  <c r="K255" i="23"/>
  <c r="J248" i="23"/>
  <c r="I248" i="23" s="1"/>
  <c r="J240" i="23"/>
  <c r="I240" i="23" s="1"/>
  <c r="K232" i="23"/>
  <c r="J225" i="23"/>
  <c r="I225" i="23" s="1"/>
  <c r="K217" i="23"/>
  <c r="K209" i="23"/>
  <c r="J202" i="23"/>
  <c r="I202" i="23" s="1"/>
  <c r="K194" i="23"/>
  <c r="J187" i="23"/>
  <c r="I187" i="23" s="1"/>
  <c r="K179" i="23"/>
  <c r="K172" i="23"/>
  <c r="K165" i="23"/>
  <c r="K157" i="23"/>
  <c r="J150" i="23"/>
  <c r="I150" i="23" s="1"/>
  <c r="K142" i="23"/>
  <c r="K133" i="23"/>
  <c r="K118" i="23"/>
  <c r="K104" i="23"/>
  <c r="K87" i="23"/>
  <c r="M120" i="23"/>
  <c r="G12" i="23"/>
  <c r="K12" i="23"/>
  <c r="L12" i="23"/>
  <c r="J12" i="23"/>
  <c r="I12" i="23" s="1"/>
  <c r="M12" i="23"/>
  <c r="M10" i="23"/>
  <c r="K10" i="23"/>
  <c r="J10" i="23"/>
  <c r="I10" i="23" s="1"/>
  <c r="M113" i="23"/>
  <c r="L10" i="23"/>
  <c r="G117" i="23"/>
  <c r="L117" i="23"/>
  <c r="M117" i="23"/>
  <c r="J117" i="23"/>
  <c r="I117" i="23" s="1"/>
  <c r="K117" i="23"/>
  <c r="M115" i="23"/>
  <c r="K115" i="23"/>
  <c r="M98" i="23"/>
  <c r="L98" i="23"/>
  <c r="J98" i="23"/>
  <c r="I98" i="23" s="1"/>
  <c r="G96" i="23"/>
  <c r="L96" i="23"/>
  <c r="M96" i="23"/>
  <c r="J96" i="23"/>
  <c r="I96" i="23" s="1"/>
  <c r="M94" i="23"/>
  <c r="L94" i="23"/>
  <c r="J94" i="23"/>
  <c r="I94" i="23" s="1"/>
  <c r="G92" i="23"/>
  <c r="L92" i="23"/>
  <c r="M92" i="23"/>
  <c r="M90" i="23"/>
  <c r="J90" i="23"/>
  <c r="I90" i="23" s="1"/>
  <c r="G88" i="23"/>
  <c r="J88" i="23"/>
  <c r="I88" i="23" s="1"/>
  <c r="K88" i="23"/>
  <c r="L88" i="23"/>
  <c r="M86" i="23"/>
  <c r="J86" i="23"/>
  <c r="I86" i="23" s="1"/>
  <c r="K86" i="23"/>
  <c r="L86" i="23"/>
  <c r="G84" i="23"/>
  <c r="L84" i="23"/>
  <c r="J84" i="23"/>
  <c r="I84" i="23" s="1"/>
  <c r="M84" i="23"/>
  <c r="M82" i="23"/>
  <c r="J82" i="23"/>
  <c r="I82" i="23" s="1"/>
  <c r="L82" i="23"/>
  <c r="G80" i="23"/>
  <c r="J80" i="23"/>
  <c r="I80" i="23" s="1"/>
  <c r="L80" i="23"/>
  <c r="K80" i="23"/>
  <c r="M80" i="23"/>
  <c r="M78" i="23"/>
  <c r="K78" i="23"/>
  <c r="L78" i="23"/>
  <c r="J78" i="23"/>
  <c r="I78" i="23" s="1"/>
  <c r="G76" i="23"/>
  <c r="L76" i="23"/>
  <c r="K76" i="23"/>
  <c r="M76" i="23"/>
  <c r="J76" i="23"/>
  <c r="I76" i="23" s="1"/>
  <c r="M74" i="23"/>
  <c r="K74" i="23"/>
  <c r="G72" i="23"/>
  <c r="K72" i="23"/>
  <c r="L72" i="23"/>
  <c r="M70" i="23"/>
  <c r="K70" i="23"/>
  <c r="L70" i="23"/>
  <c r="G68" i="23"/>
  <c r="L68" i="23"/>
  <c r="J68" i="23"/>
  <c r="I68" i="23" s="1"/>
  <c r="K68" i="23"/>
  <c r="M68" i="23"/>
  <c r="M66" i="23"/>
  <c r="L66" i="23"/>
  <c r="J66" i="23"/>
  <c r="I66" i="23" s="1"/>
  <c r="K66" i="23"/>
  <c r="G64" i="23"/>
  <c r="L64" i="23"/>
  <c r="M64" i="23"/>
  <c r="J64" i="23"/>
  <c r="I64" i="23" s="1"/>
  <c r="M62" i="23"/>
  <c r="L62" i="23"/>
  <c r="K62" i="23"/>
  <c r="G60" i="23"/>
  <c r="L60" i="23"/>
  <c r="M60" i="23"/>
  <c r="J60" i="23"/>
  <c r="I60" i="23" s="1"/>
  <c r="K60" i="23"/>
  <c r="M58" i="23"/>
  <c r="J58" i="23"/>
  <c r="I58" i="23" s="1"/>
  <c r="K58" i="23"/>
  <c r="G56" i="23"/>
  <c r="J56" i="23"/>
  <c r="I56" i="23" s="1"/>
  <c r="L56" i="23"/>
  <c r="K56" i="23"/>
  <c r="M54" i="23"/>
  <c r="L54" i="23"/>
  <c r="J54" i="23"/>
  <c r="I54" i="23" s="1"/>
  <c r="G52" i="23"/>
  <c r="L52" i="23"/>
  <c r="K52" i="23"/>
  <c r="M52" i="23"/>
  <c r="M50" i="23"/>
  <c r="J50" i="23"/>
  <c r="I50" i="23" s="1"/>
  <c r="L50" i="23"/>
  <c r="K50" i="23"/>
  <c r="G48" i="23"/>
  <c r="L48" i="23"/>
  <c r="M48" i="23"/>
  <c r="J48" i="23"/>
  <c r="I48" i="23" s="1"/>
  <c r="K48" i="23"/>
  <c r="M46" i="23"/>
  <c r="J46" i="23"/>
  <c r="I46" i="23" s="1"/>
  <c r="L46" i="23"/>
  <c r="K46" i="23"/>
  <c r="M31" i="23"/>
  <c r="L31" i="23"/>
  <c r="J31" i="23"/>
  <c r="I31" i="23" s="1"/>
  <c r="G29" i="23"/>
  <c r="L29" i="23"/>
  <c r="K29" i="23"/>
  <c r="M29" i="23"/>
  <c r="G16" i="23"/>
  <c r="J16" i="23"/>
  <c r="I16" i="23" s="1"/>
  <c r="L16" i="23"/>
  <c r="K16" i="23"/>
  <c r="M16" i="23"/>
  <c r="M14" i="23"/>
  <c r="K14" i="23"/>
  <c r="L14" i="23"/>
  <c r="J14" i="23"/>
  <c r="I14" i="23" s="1"/>
  <c r="J7" i="23"/>
  <c r="I7" i="23" s="1"/>
  <c r="M7" i="23"/>
  <c r="K7" i="23"/>
  <c r="L7" i="23"/>
  <c r="G5" i="23"/>
  <c r="L5" i="23"/>
  <c r="J5" i="23"/>
  <c r="I5" i="23" s="1"/>
  <c r="M5" i="23"/>
  <c r="K5" i="23"/>
  <c r="J99" i="23"/>
  <c r="I99" i="23" s="1"/>
  <c r="K90" i="23"/>
  <c r="L115" i="23"/>
  <c r="G113" i="23"/>
  <c r="L113" i="23"/>
  <c r="K113" i="23"/>
  <c r="M111" i="23"/>
  <c r="L111" i="23"/>
  <c r="G109" i="23"/>
  <c r="L109" i="23"/>
  <c r="M109" i="23"/>
  <c r="L107" i="23"/>
  <c r="J107" i="23"/>
  <c r="I107" i="23" s="1"/>
  <c r="M107" i="23"/>
  <c r="G105" i="23"/>
  <c r="L105" i="23"/>
  <c r="J105" i="23"/>
  <c r="I105" i="23" s="1"/>
  <c r="M105" i="23"/>
  <c r="K105" i="23"/>
  <c r="M103" i="23"/>
  <c r="L103" i="23"/>
  <c r="K103" i="23"/>
  <c r="G101" i="23"/>
  <c r="L101" i="23"/>
  <c r="M101" i="23"/>
  <c r="K101" i="23"/>
  <c r="M99" i="23"/>
  <c r="K99" i="23"/>
  <c r="L43" i="23"/>
  <c r="J43" i="23"/>
  <c r="I43" i="23" s="1"/>
  <c r="M43" i="23"/>
  <c r="K43" i="23"/>
  <c r="G41" i="23"/>
  <c r="L41" i="23"/>
  <c r="M41" i="23"/>
  <c r="J41" i="23"/>
  <c r="I41" i="23" s="1"/>
  <c r="M39" i="23"/>
  <c r="L39" i="23"/>
  <c r="J39" i="23"/>
  <c r="I39" i="23" s="1"/>
  <c r="G37" i="23"/>
  <c r="L37" i="23"/>
  <c r="M37" i="23"/>
  <c r="K37" i="23"/>
  <c r="M35" i="23"/>
  <c r="J35" i="23"/>
  <c r="I35" i="23" s="1"/>
  <c r="K35" i="23"/>
  <c r="G33" i="23"/>
  <c r="L33" i="23"/>
  <c r="J33" i="23"/>
  <c r="I33" i="23" s="1"/>
  <c r="K33" i="23"/>
  <c r="G28" i="23"/>
  <c r="L28" i="23"/>
  <c r="K28" i="23"/>
  <c r="M28" i="23"/>
  <c r="J28" i="23"/>
  <c r="I28" i="23" s="1"/>
  <c r="M26" i="23"/>
  <c r="J26" i="23"/>
  <c r="I26" i="23" s="1"/>
  <c r="G24" i="23"/>
  <c r="K24" i="23"/>
  <c r="L24" i="23"/>
  <c r="M22" i="23"/>
  <c r="J22" i="23"/>
  <c r="I22" i="23" s="1"/>
  <c r="K22" i="23"/>
  <c r="L22" i="23"/>
  <c r="G20" i="23"/>
  <c r="L20" i="23"/>
  <c r="J20" i="23"/>
  <c r="I20" i="23" s="1"/>
  <c r="M20" i="23"/>
  <c r="K20" i="23"/>
  <c r="M18" i="23"/>
  <c r="L18" i="23"/>
  <c r="J18" i="23"/>
  <c r="I18" i="23" s="1"/>
  <c r="L11" i="23"/>
  <c r="J11" i="23"/>
  <c r="I11" i="23" s="1"/>
  <c r="M11" i="23"/>
  <c r="K11" i="23"/>
  <c r="G10" i="23"/>
  <c r="G9" i="23"/>
  <c r="L9" i="23"/>
  <c r="K9" i="23"/>
  <c r="M9" i="23"/>
  <c r="J109" i="23"/>
  <c r="I109" i="23" s="1"/>
  <c r="K98" i="23"/>
  <c r="K94" i="23"/>
  <c r="K84" i="23"/>
  <c r="J74" i="23"/>
  <c r="I74" i="23" s="1"/>
  <c r="K64" i="23"/>
  <c r="K54" i="23"/>
  <c r="J24" i="23"/>
  <c r="I24" i="23" s="1"/>
  <c r="O68" i="1" l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P3" i="1"/>
  <c r="O3" i="1"/>
  <c r="T6" i="30"/>
  <c r="S6" i="30"/>
  <c r="R6" i="30"/>
  <c r="Q6" i="30"/>
  <c r="P6" i="30"/>
  <c r="O6" i="30"/>
  <c r="N6" i="30"/>
  <c r="M6" i="30"/>
  <c r="L6" i="30"/>
  <c r="K6" i="30"/>
  <c r="J6" i="30"/>
  <c r="B5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AF30" i="30"/>
  <c r="AE30" i="30"/>
  <c r="AD30" i="30"/>
  <c r="AC30" i="30"/>
  <c r="AB30" i="30"/>
  <c r="AA30" i="30"/>
  <c r="Z30" i="30"/>
  <c r="Y30" i="30"/>
  <c r="X30" i="30"/>
  <c r="W30" i="30"/>
  <c r="V30" i="30"/>
  <c r="AF6" i="30"/>
  <c r="AE6" i="30"/>
  <c r="AD6" i="30"/>
  <c r="AC6" i="30"/>
  <c r="AB6" i="30"/>
  <c r="AA6" i="30"/>
  <c r="Z6" i="30"/>
  <c r="Y6" i="30"/>
  <c r="X6" i="30"/>
  <c r="W6" i="30"/>
  <c r="V6" i="30"/>
  <c r="V59" i="30"/>
  <c r="V58" i="30"/>
  <c r="V57" i="30"/>
  <c r="V26" i="30"/>
  <c r="W26" i="30"/>
  <c r="AL59" i="30"/>
  <c r="AH59" i="30"/>
  <c r="G59" i="30"/>
  <c r="X59" i="30" s="1"/>
  <c r="AL58" i="30"/>
  <c r="AH58" i="30"/>
  <c r="G58" i="30"/>
  <c r="Y58" i="30" s="1"/>
  <c r="AC58" i="30" s="1"/>
  <c r="AL57" i="30"/>
  <c r="AH57" i="30"/>
  <c r="G57" i="30"/>
  <c r="AA57" i="30" s="1"/>
  <c r="AE57" i="30" s="1"/>
  <c r="AM54" i="30"/>
  <c r="AL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G50" i="30"/>
  <c r="AA50" i="30" s="1"/>
  <c r="E50" i="30"/>
  <c r="V50" i="30" s="1"/>
  <c r="AM49" i="30"/>
  <c r="G48" i="30"/>
  <c r="AF48" i="30" s="1"/>
  <c r="E48" i="30"/>
  <c r="V48" i="30" s="1"/>
  <c r="G47" i="30"/>
  <c r="AC47" i="30" s="1"/>
  <c r="E47" i="30"/>
  <c r="V47" i="30" s="1"/>
  <c r="G46" i="30"/>
  <c r="AF46" i="30" s="1"/>
  <c r="E46" i="30"/>
  <c r="V46" i="30" s="1"/>
  <c r="G45" i="30"/>
  <c r="AC45" i="30" s="1"/>
  <c r="E45" i="30"/>
  <c r="V45" i="30" s="1"/>
  <c r="G44" i="30"/>
  <c r="AF44" i="30" s="1"/>
  <c r="E44" i="30"/>
  <c r="V44" i="30" s="1"/>
  <c r="G43" i="30"/>
  <c r="AC43" i="30" s="1"/>
  <c r="E43" i="30"/>
  <c r="V43" i="30" s="1"/>
  <c r="G42" i="30"/>
  <c r="AF42" i="30" s="1"/>
  <c r="E42" i="30"/>
  <c r="V42" i="30" s="1"/>
  <c r="G41" i="30"/>
  <c r="AC41" i="30" s="1"/>
  <c r="E41" i="30"/>
  <c r="V41" i="30" s="1"/>
  <c r="G40" i="30"/>
  <c r="AF40" i="30" s="1"/>
  <c r="E40" i="30"/>
  <c r="V40" i="30" s="1"/>
  <c r="G39" i="30"/>
  <c r="AC39" i="30" s="1"/>
  <c r="E39" i="30"/>
  <c r="V39" i="30" s="1"/>
  <c r="G36" i="30"/>
  <c r="AF36" i="30" s="1"/>
  <c r="G35" i="30"/>
  <c r="AC35" i="30" s="1"/>
  <c r="G34" i="30"/>
  <c r="AF34" i="30" s="1"/>
  <c r="G33" i="30"/>
  <c r="AC33" i="30" s="1"/>
  <c r="AM30" i="30"/>
  <c r="AL30" i="30"/>
  <c r="X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G26" i="30"/>
  <c r="AC26" i="30" s="1"/>
  <c r="AM25" i="30"/>
  <c r="AL25" i="30"/>
  <c r="AF25" i="30"/>
  <c r="AE25" i="30"/>
  <c r="G24" i="30"/>
  <c r="AA24" i="30" s="1"/>
  <c r="E24" i="30"/>
  <c r="V24" i="30" s="1"/>
  <c r="G23" i="30"/>
  <c r="AE23" i="30" s="1"/>
  <c r="E23" i="30"/>
  <c r="V23" i="30" s="1"/>
  <c r="G22" i="30"/>
  <c r="AA22" i="30" s="1"/>
  <c r="E22" i="30"/>
  <c r="V22" i="30" s="1"/>
  <c r="G21" i="30"/>
  <c r="AE21" i="30" s="1"/>
  <c r="E21" i="30"/>
  <c r="V21" i="30" s="1"/>
  <c r="G20" i="30"/>
  <c r="AA20" i="30" s="1"/>
  <c r="E20" i="30"/>
  <c r="V20" i="30" s="1"/>
  <c r="G19" i="30"/>
  <c r="AE19" i="30" s="1"/>
  <c r="E19" i="30"/>
  <c r="V19" i="30" s="1"/>
  <c r="G18" i="30"/>
  <c r="AA18" i="30" s="1"/>
  <c r="E18" i="30"/>
  <c r="V18" i="30" s="1"/>
  <c r="G17" i="30"/>
  <c r="AE17" i="30" s="1"/>
  <c r="E17" i="30"/>
  <c r="V17" i="30" s="1"/>
  <c r="G16" i="30"/>
  <c r="AA16" i="30" s="1"/>
  <c r="E16" i="30"/>
  <c r="V16" i="30" s="1"/>
  <c r="G15" i="30"/>
  <c r="AE15" i="30" s="1"/>
  <c r="E15" i="30"/>
  <c r="V15" i="30" s="1"/>
  <c r="G12" i="30"/>
  <c r="AE12" i="30" s="1"/>
  <c r="G11" i="30"/>
  <c r="AA11" i="30" s="1"/>
  <c r="G10" i="30"/>
  <c r="AC10" i="30" s="1"/>
  <c r="G9" i="30"/>
  <c r="AA9" i="30" s="1"/>
  <c r="AM6" i="30"/>
  <c r="AL6" i="30"/>
  <c r="I6" i="30"/>
  <c r="C5" i="30"/>
  <c r="AI41" i="30" s="1"/>
  <c r="AJ2" i="30"/>
  <c r="AJ54" i="30" s="1"/>
  <c r="AI2" i="30"/>
  <c r="AI24" i="30" s="1"/>
  <c r="AH2" i="30"/>
  <c r="F2" i="30"/>
  <c r="G33" i="26"/>
  <c r="AA33" i="26" s="1"/>
  <c r="E33" i="26"/>
  <c r="G36" i="26"/>
  <c r="AA36" i="26" s="1"/>
  <c r="E36" i="26"/>
  <c r="G35" i="26"/>
  <c r="AD35" i="26" s="1"/>
  <c r="E35" i="26"/>
  <c r="G34" i="26"/>
  <c r="AA34" i="26" s="1"/>
  <c r="E34" i="26"/>
  <c r="G12" i="26"/>
  <c r="AB12" i="26" s="1"/>
  <c r="E12" i="26"/>
  <c r="G9" i="26"/>
  <c r="AA9" i="26" s="1"/>
  <c r="G11" i="26"/>
  <c r="AA11" i="26" s="1"/>
  <c r="E11" i="26"/>
  <c r="G10" i="26"/>
  <c r="AA10" i="26" s="1"/>
  <c r="E10" i="26"/>
  <c r="E9" i="26"/>
  <c r="C22" i="7" l="1"/>
  <c r="C26" i="7" s="1"/>
  <c r="D25" i="7"/>
  <c r="N25" i="7"/>
  <c r="J25" i="7"/>
  <c r="F25" i="7"/>
  <c r="K24" i="7"/>
  <c r="G24" i="7"/>
  <c r="L23" i="7"/>
  <c r="H23" i="7"/>
  <c r="M22" i="7"/>
  <c r="I22" i="7"/>
  <c r="E25" i="7"/>
  <c r="D24" i="7"/>
  <c r="J24" i="7"/>
  <c r="K23" i="7"/>
  <c r="H22" i="7"/>
  <c r="D23" i="7"/>
  <c r="H25" i="7"/>
  <c r="I24" i="7"/>
  <c r="J23" i="7"/>
  <c r="K22" i="7"/>
  <c r="G22" i="7"/>
  <c r="C25" i="7"/>
  <c r="C29" i="7" s="1"/>
  <c r="D22" i="7"/>
  <c r="K25" i="7"/>
  <c r="G25" i="7"/>
  <c r="L24" i="7"/>
  <c r="H24" i="7"/>
  <c r="M23" i="7"/>
  <c r="I23" i="7"/>
  <c r="N22" i="7"/>
  <c r="J22" i="7"/>
  <c r="F22" i="7"/>
  <c r="E22" i="7"/>
  <c r="C23" i="7"/>
  <c r="C27" i="7" s="1"/>
  <c r="M25" i="7"/>
  <c r="I25" i="7"/>
  <c r="N24" i="7"/>
  <c r="F24" i="7"/>
  <c r="G23" i="7"/>
  <c r="L22" i="7"/>
  <c r="E24" i="7"/>
  <c r="C24" i="7"/>
  <c r="C28" i="7" s="1"/>
  <c r="L25" i="7"/>
  <c r="M24" i="7"/>
  <c r="N23" i="7"/>
  <c r="F23" i="7"/>
  <c r="E23" i="7"/>
  <c r="AF22" i="30"/>
  <c r="AB22" i="30"/>
  <c r="AD22" i="30"/>
  <c r="X57" i="30"/>
  <c r="AD36" i="26"/>
  <c r="AC23" i="30"/>
  <c r="AB57" i="30"/>
  <c r="AF57" i="30" s="1"/>
  <c r="AI57" i="30" s="1"/>
  <c r="AA12" i="26"/>
  <c r="AD10" i="30"/>
  <c r="AF45" i="30"/>
  <c r="AB45" i="30"/>
  <c r="AF10" i="30"/>
  <c r="X10" i="30"/>
  <c r="AB10" i="30"/>
  <c r="AD45" i="30"/>
  <c r="BB24" i="7"/>
  <c r="BB23" i="7"/>
  <c r="BB22" i="7"/>
  <c r="N3" i="7"/>
  <c r="J3" i="7"/>
  <c r="F3" i="7"/>
  <c r="M3" i="7"/>
  <c r="I3" i="7"/>
  <c r="E3" i="7"/>
  <c r="C3" i="7"/>
  <c r="C16" i="7" s="1"/>
  <c r="L3" i="7"/>
  <c r="H3" i="7"/>
  <c r="D3" i="7"/>
  <c r="K3" i="7"/>
  <c r="G3" i="7"/>
  <c r="V49" i="30"/>
  <c r="V51" i="30" s="1"/>
  <c r="V25" i="30"/>
  <c r="V27" i="30" s="1"/>
  <c r="Y15" i="30"/>
  <c r="AB24" i="30"/>
  <c r="Z59" i="30"/>
  <c r="AD59" i="30" s="1"/>
  <c r="AF47" i="30"/>
  <c r="Y59" i="30"/>
  <c r="AC59" i="30" s="1"/>
  <c r="AD24" i="30"/>
  <c r="AB58" i="30"/>
  <c r="AF58" i="30" s="1"/>
  <c r="AI58" i="30" s="1"/>
  <c r="AA59" i="30"/>
  <c r="AE59" i="30" s="1"/>
  <c r="Z22" i="30"/>
  <c r="Y23" i="30"/>
  <c r="AB26" i="30"/>
  <c r="Z45" i="30"/>
  <c r="AA46" i="30"/>
  <c r="AB59" i="30"/>
  <c r="AF59" i="30" s="1"/>
  <c r="AI59" i="30" s="1"/>
  <c r="AD26" i="30"/>
  <c r="X33" i="30"/>
  <c r="X35" i="30"/>
  <c r="Z12" i="30"/>
  <c r="AA17" i="30"/>
  <c r="AB20" i="30"/>
  <c r="Z10" i="30"/>
  <c r="AB11" i="30"/>
  <c r="AD12" i="30"/>
  <c r="AF16" i="30"/>
  <c r="AF18" i="30"/>
  <c r="AF20" i="30"/>
  <c r="X22" i="30"/>
  <c r="Z24" i="30"/>
  <c r="AA26" i="30"/>
  <c r="AF33" i="30"/>
  <c r="AF35" i="30"/>
  <c r="AF39" i="30"/>
  <c r="AF41" i="30"/>
  <c r="AF43" i="30"/>
  <c r="X45" i="30"/>
  <c r="AD47" i="30"/>
  <c r="Z58" i="30"/>
  <c r="AD58" i="30" s="1"/>
  <c r="X18" i="30"/>
  <c r="X39" i="30"/>
  <c r="X43" i="30"/>
  <c r="X16" i="30"/>
  <c r="X41" i="30"/>
  <c r="AH50" i="30"/>
  <c r="X50" i="30"/>
  <c r="AE10" i="30"/>
  <c r="Y12" i="30"/>
  <c r="Z16" i="30"/>
  <c r="Y17" i="30"/>
  <c r="Z18" i="30"/>
  <c r="AA19" i="30"/>
  <c r="Z20" i="30"/>
  <c r="AF24" i="30"/>
  <c r="AE26" i="30"/>
  <c r="Z33" i="30"/>
  <c r="Y34" i="30"/>
  <c r="Z35" i="30"/>
  <c r="Y36" i="30"/>
  <c r="Z39" i="30"/>
  <c r="Y40" i="30"/>
  <c r="Z41" i="30"/>
  <c r="Y42" i="30"/>
  <c r="Z43" i="30"/>
  <c r="AA44" i="30"/>
  <c r="AF12" i="30"/>
  <c r="X20" i="30"/>
  <c r="AB18" i="30"/>
  <c r="Y26" i="30"/>
  <c r="AF26" i="30"/>
  <c r="AB33" i="30"/>
  <c r="AA34" i="30"/>
  <c r="AB35" i="30"/>
  <c r="AA36" i="30"/>
  <c r="AB39" i="30"/>
  <c r="AA40" i="30"/>
  <c r="AB41" i="30"/>
  <c r="AA42" i="30"/>
  <c r="AB43" i="30"/>
  <c r="X47" i="30"/>
  <c r="AA48" i="30"/>
  <c r="AB9" i="30"/>
  <c r="X12" i="30"/>
  <c r="AB16" i="30"/>
  <c r="AC19" i="30"/>
  <c r="Y10" i="30"/>
  <c r="AB12" i="30"/>
  <c r="AA15" i="30"/>
  <c r="AD16" i="30"/>
  <c r="AC17" i="30"/>
  <c r="AD18" i="30"/>
  <c r="AD20" i="30"/>
  <c r="X24" i="30"/>
  <c r="Z26" i="30"/>
  <c r="AD33" i="30"/>
  <c r="AE34" i="30"/>
  <c r="AD35" i="30"/>
  <c r="AE36" i="30"/>
  <c r="AD39" i="30"/>
  <c r="AE40" i="30"/>
  <c r="AD41" i="30"/>
  <c r="AE42" i="30"/>
  <c r="AD43" i="30"/>
  <c r="Z47" i="30"/>
  <c r="AI6" i="30"/>
  <c r="AI9" i="30"/>
  <c r="AI20" i="30"/>
  <c r="AH6" i="30"/>
  <c r="AI10" i="30"/>
  <c r="AI18" i="30"/>
  <c r="AI11" i="30"/>
  <c r="AI33" i="30"/>
  <c r="AI39" i="30"/>
  <c r="F26" i="30"/>
  <c r="E26" i="30"/>
  <c r="F50" i="30"/>
  <c r="W50" i="30" s="1"/>
  <c r="AH26" i="30"/>
  <c r="AC9" i="30"/>
  <c r="AI30" i="30"/>
  <c r="AI23" i="30"/>
  <c r="AI21" i="30"/>
  <c r="AI19" i="30"/>
  <c r="AI17" i="30"/>
  <c r="AI15" i="30"/>
  <c r="AI54" i="30"/>
  <c r="AI36" i="30"/>
  <c r="AI34" i="30"/>
  <c r="AJ6" i="30"/>
  <c r="X9" i="30"/>
  <c r="AD9" i="30"/>
  <c r="AA10" i="30"/>
  <c r="X11" i="30"/>
  <c r="AD11" i="30"/>
  <c r="AA12" i="30"/>
  <c r="AI12" i="30"/>
  <c r="AC15" i="30"/>
  <c r="AI16" i="30"/>
  <c r="AD21" i="30"/>
  <c r="X21" i="30"/>
  <c r="AB21" i="30"/>
  <c r="AA21" i="30"/>
  <c r="AF21" i="30"/>
  <c r="Z21" i="30"/>
  <c r="AH30" i="30"/>
  <c r="AC11" i="30"/>
  <c r="Y9" i="30"/>
  <c r="AE9" i="30"/>
  <c r="Y11" i="30"/>
  <c r="AE11" i="30"/>
  <c r="AD19" i="30"/>
  <c r="X19" i="30"/>
  <c r="AB19" i="30"/>
  <c r="AF19" i="30"/>
  <c r="Z19" i="30"/>
  <c r="Y21" i="30"/>
  <c r="AI22" i="30"/>
  <c r="AJ30" i="30"/>
  <c r="AI47" i="30"/>
  <c r="AI45" i="30"/>
  <c r="AI43" i="30"/>
  <c r="AI26" i="30"/>
  <c r="AI48" i="30"/>
  <c r="AI46" i="30"/>
  <c r="AI44" i="30"/>
  <c r="AI42" i="30"/>
  <c r="AI40" i="30"/>
  <c r="AI50" i="30"/>
  <c r="F3" i="30"/>
  <c r="Z9" i="30"/>
  <c r="AF9" i="30"/>
  <c r="Z11" i="30"/>
  <c r="AF11" i="30"/>
  <c r="AC12" i="30"/>
  <c r="AD17" i="30"/>
  <c r="X17" i="30"/>
  <c r="AB17" i="30"/>
  <c r="AF17" i="30"/>
  <c r="Z17" i="30"/>
  <c r="Y19" i="30"/>
  <c r="AC21" i="30"/>
  <c r="AH54" i="30"/>
  <c r="AD15" i="30"/>
  <c r="X15" i="30"/>
  <c r="AB15" i="30"/>
  <c r="AF15" i="30"/>
  <c r="Z15" i="30"/>
  <c r="AD23" i="30"/>
  <c r="X23" i="30"/>
  <c r="AB23" i="30"/>
  <c r="AA23" i="30"/>
  <c r="AF23" i="30"/>
  <c r="Z23" i="30"/>
  <c r="AI35" i="30"/>
  <c r="AC16" i="30"/>
  <c r="AC18" i="30"/>
  <c r="AC20" i="30"/>
  <c r="AC22" i="30"/>
  <c r="AC24" i="30"/>
  <c r="Y33" i="30"/>
  <c r="AE33" i="30"/>
  <c r="AB34" i="30"/>
  <c r="Y35" i="30"/>
  <c r="AE35" i="30"/>
  <c r="AB36" i="30"/>
  <c r="Y39" i="30"/>
  <c r="AE39" i="30"/>
  <c r="AB40" i="30"/>
  <c r="Y41" i="30"/>
  <c r="AE41" i="30"/>
  <c r="AB42" i="30"/>
  <c r="Y43" i="30"/>
  <c r="AE43" i="30"/>
  <c r="AB44" i="30"/>
  <c r="Y45" i="30"/>
  <c r="AE45" i="30"/>
  <c r="AB46" i="30"/>
  <c r="Y47" i="30"/>
  <c r="AE47" i="30"/>
  <c r="AB48" i="30"/>
  <c r="AA58" i="30"/>
  <c r="AE58" i="30" s="1"/>
  <c r="AC34" i="30"/>
  <c r="AC36" i="30"/>
  <c r="AC40" i="30"/>
  <c r="AC42" i="30"/>
  <c r="AC44" i="30"/>
  <c r="AC46" i="30"/>
  <c r="AC48" i="30"/>
  <c r="Y16" i="30"/>
  <c r="AE16" i="30"/>
  <c r="Y18" i="30"/>
  <c r="AE18" i="30"/>
  <c r="Y20" i="30"/>
  <c r="AE20" i="30"/>
  <c r="Y22" i="30"/>
  <c r="AE22" i="30"/>
  <c r="Y24" i="30"/>
  <c r="AE24" i="30"/>
  <c r="AA33" i="30"/>
  <c r="X34" i="30"/>
  <c r="AD34" i="30"/>
  <c r="AA35" i="30"/>
  <c r="X36" i="30"/>
  <c r="AD36" i="30"/>
  <c r="AA39" i="30"/>
  <c r="X40" i="30"/>
  <c r="AD40" i="30"/>
  <c r="AA41" i="30"/>
  <c r="X42" i="30"/>
  <c r="AD42" i="30"/>
  <c r="AA43" i="30"/>
  <c r="X44" i="30"/>
  <c r="AD44" i="30"/>
  <c r="AA45" i="30"/>
  <c r="X46" i="30"/>
  <c r="AD46" i="30"/>
  <c r="AA47" i="30"/>
  <c r="X48" i="30"/>
  <c r="AD48" i="30"/>
  <c r="Y50" i="30"/>
  <c r="Y57" i="30"/>
  <c r="AC57" i="30" s="1"/>
  <c r="Y44" i="30"/>
  <c r="AE44" i="30"/>
  <c r="Y46" i="30"/>
  <c r="AE46" i="30"/>
  <c r="AB47" i="30"/>
  <c r="Y48" i="30"/>
  <c r="AE48" i="30"/>
  <c r="Z50" i="30"/>
  <c r="Z57" i="30"/>
  <c r="AD57" i="30" s="1"/>
  <c r="X58" i="30"/>
  <c r="Z34" i="30"/>
  <c r="Z36" i="30"/>
  <c r="Z40" i="30"/>
  <c r="Z42" i="30"/>
  <c r="Z44" i="30"/>
  <c r="Z46" i="30"/>
  <c r="Z48" i="30"/>
  <c r="AD33" i="26"/>
  <c r="AC36" i="26"/>
  <c r="AC12" i="26"/>
  <c r="V12" i="26"/>
  <c r="X12" i="26"/>
  <c r="Y12" i="26"/>
  <c r="AD12" i="26"/>
  <c r="Z12" i="26"/>
  <c r="W12" i="26"/>
  <c r="W34" i="26"/>
  <c r="X34" i="26"/>
  <c r="AC34" i="26"/>
  <c r="AD34" i="26"/>
  <c r="W36" i="26"/>
  <c r="X33" i="26"/>
  <c r="Z35" i="26"/>
  <c r="X36" i="26"/>
  <c r="Z33" i="26"/>
  <c r="V33" i="26"/>
  <c r="AB33" i="26"/>
  <c r="W33" i="26"/>
  <c r="AC33" i="26"/>
  <c r="Y33" i="26"/>
  <c r="V34" i="26"/>
  <c r="AB34" i="26"/>
  <c r="Y35" i="26"/>
  <c r="V36" i="26"/>
  <c r="AB36" i="26"/>
  <c r="Y34" i="26"/>
  <c r="V35" i="26"/>
  <c r="AB35" i="26"/>
  <c r="Y36" i="26"/>
  <c r="Z34" i="26"/>
  <c r="W35" i="26"/>
  <c r="AC35" i="26"/>
  <c r="Z36" i="26"/>
  <c r="AA35" i="26"/>
  <c r="X35" i="26"/>
  <c r="V11" i="26"/>
  <c r="Y11" i="26"/>
  <c r="AB11" i="26"/>
  <c r="W10" i="26"/>
  <c r="W11" i="26"/>
  <c r="AC11" i="26"/>
  <c r="AC10" i="26"/>
  <c r="X11" i="26"/>
  <c r="AD11" i="26"/>
  <c r="W9" i="26"/>
  <c r="Z11" i="26"/>
  <c r="V10" i="26"/>
  <c r="AB10" i="26"/>
  <c r="AC9" i="26"/>
  <c r="X10" i="26"/>
  <c r="AD10" i="26"/>
  <c r="Y10" i="26"/>
  <c r="Z10" i="26"/>
  <c r="V9" i="26"/>
  <c r="AB9" i="26"/>
  <c r="X9" i="26"/>
  <c r="AD9" i="26"/>
  <c r="Y9" i="26"/>
  <c r="Z9" i="26"/>
  <c r="AW55" i="1"/>
  <c r="AW56" i="1"/>
  <c r="AW57" i="1"/>
  <c r="AW60" i="1"/>
  <c r="AW62" i="1"/>
  <c r="AW67" i="1"/>
  <c r="AW68" i="1"/>
  <c r="AW69" i="1"/>
  <c r="AW70" i="1"/>
  <c r="AW71" i="1"/>
  <c r="AW73" i="1"/>
  <c r="AW77" i="1"/>
  <c r="AW78" i="1"/>
  <c r="AW80" i="1"/>
  <c r="AW81" i="1"/>
  <c r="AW89" i="1"/>
  <c r="AW3" i="1"/>
  <c r="AW105" i="1"/>
  <c r="AW113" i="1"/>
  <c r="AW51" i="1"/>
  <c r="AW115" i="1"/>
  <c r="AW4" i="1"/>
  <c r="AW118" i="1"/>
  <c r="AW119" i="1"/>
  <c r="AW120" i="1"/>
  <c r="AW53" i="1"/>
  <c r="AW6" i="1"/>
  <c r="AW7" i="1"/>
  <c r="AW8" i="1"/>
  <c r="AW9" i="1"/>
  <c r="AW13" i="1"/>
  <c r="AW14" i="1"/>
  <c r="AW15" i="1"/>
  <c r="AW16" i="1"/>
  <c r="AW17" i="1"/>
  <c r="AW18" i="1"/>
  <c r="AW19" i="1"/>
  <c r="AW20" i="1"/>
  <c r="AW22" i="1"/>
  <c r="AW21" i="1"/>
  <c r="AW23" i="1"/>
  <c r="AW24" i="1"/>
  <c r="AW26" i="1"/>
  <c r="AW27" i="1"/>
  <c r="AW29" i="1"/>
  <c r="AW30" i="1"/>
  <c r="AW32" i="1"/>
  <c r="AW33" i="1"/>
  <c r="AW39" i="1"/>
  <c r="AW40" i="1"/>
  <c r="AW41" i="1"/>
  <c r="AW42" i="1"/>
  <c r="AW43" i="1"/>
  <c r="AW45" i="1"/>
  <c r="AW46" i="1"/>
  <c r="AW47" i="1"/>
  <c r="AW49" i="1"/>
  <c r="AW50" i="1"/>
  <c r="D26" i="7" l="1"/>
  <c r="E26" i="7" s="1"/>
  <c r="F26" i="7" s="1"/>
  <c r="G26" i="7" s="1"/>
  <c r="H26" i="7" s="1"/>
  <c r="I26" i="7" s="1"/>
  <c r="J26" i="7" s="1"/>
  <c r="K26" i="7" s="1"/>
  <c r="L26" i="7" s="1"/>
  <c r="M26" i="7" s="1"/>
  <c r="N26" i="7" s="1"/>
  <c r="AT26" i="7" s="1"/>
  <c r="AU26" i="7" s="1"/>
  <c r="AV26" i="7" s="1"/>
  <c r="AW26" i="7" s="1"/>
  <c r="AX26" i="7" s="1"/>
  <c r="AY26" i="7" s="1"/>
  <c r="AZ26" i="7" s="1"/>
  <c r="D28" i="7"/>
  <c r="E28" i="7" s="1"/>
  <c r="F28" i="7" s="1"/>
  <c r="G28" i="7" s="1"/>
  <c r="H28" i="7" s="1"/>
  <c r="I28" i="7" s="1"/>
  <c r="J28" i="7" s="1"/>
  <c r="K28" i="7" s="1"/>
  <c r="L28" i="7" s="1"/>
  <c r="M28" i="7" s="1"/>
  <c r="N28" i="7" s="1"/>
  <c r="AT28" i="7" s="1"/>
  <c r="AU28" i="7" s="1"/>
  <c r="AV28" i="7" s="1"/>
  <c r="AW28" i="7" s="1"/>
  <c r="AX28" i="7" s="1"/>
  <c r="AY28" i="7" s="1"/>
  <c r="AZ28" i="7" s="1"/>
  <c r="D29" i="7"/>
  <c r="E29" i="7" s="1"/>
  <c r="F29" i="7" s="1"/>
  <c r="G29" i="7" s="1"/>
  <c r="H29" i="7" s="1"/>
  <c r="I29" i="7" s="1"/>
  <c r="J29" i="7" s="1"/>
  <c r="K29" i="7" s="1"/>
  <c r="L29" i="7" s="1"/>
  <c r="M29" i="7" s="1"/>
  <c r="N29" i="7" s="1"/>
  <c r="D27" i="7"/>
  <c r="E27" i="7" s="1"/>
  <c r="F27" i="7" s="1"/>
  <c r="G27" i="7" s="1"/>
  <c r="H27" i="7" s="1"/>
  <c r="I27" i="7" s="1"/>
  <c r="J27" i="7" s="1"/>
  <c r="K27" i="7" s="1"/>
  <c r="L27" i="7" s="1"/>
  <c r="M27" i="7" s="1"/>
  <c r="N27" i="7" s="1"/>
  <c r="AT27" i="7" s="1"/>
  <c r="AU27" i="7" s="1"/>
  <c r="AV27" i="7" s="1"/>
  <c r="AW27" i="7" s="1"/>
  <c r="AX27" i="7" s="1"/>
  <c r="AY27" i="7" s="1"/>
  <c r="AZ27" i="7" s="1"/>
  <c r="Y25" i="30"/>
  <c r="Y27" i="30" s="1"/>
  <c r="AA25" i="30"/>
  <c r="AA27" i="30" s="1"/>
  <c r="Z49" i="30"/>
  <c r="Z51" i="30" s="1"/>
  <c r="AF51" i="30" s="1"/>
  <c r="AI51" i="30" s="1"/>
  <c r="AE50" i="30"/>
  <c r="AB50" i="30"/>
  <c r="AF50" i="30" s="1"/>
  <c r="X49" i="30"/>
  <c r="X51" i="30" s="1"/>
  <c r="AD50" i="30"/>
  <c r="AC50" i="30"/>
  <c r="AI49" i="30"/>
  <c r="Y49" i="30"/>
  <c r="Y51" i="30" s="1"/>
  <c r="AB51" i="30" s="1"/>
  <c r="X25" i="30"/>
  <c r="X27" i="30" s="1"/>
  <c r="AA49" i="30"/>
  <c r="AA51" i="30" s="1"/>
  <c r="AJ26" i="30"/>
  <c r="AI25" i="30"/>
  <c r="Z25" i="30"/>
  <c r="Z27" i="30" s="1"/>
  <c r="F59" i="30"/>
  <c r="W59" i="30" s="1"/>
  <c r="F58" i="30"/>
  <c r="W58" i="30" s="1"/>
  <c r="F57" i="30"/>
  <c r="W57" i="30" s="1"/>
  <c r="AV89" i="1"/>
  <c r="AW91" i="1"/>
  <c r="AV3" i="1"/>
  <c r="AV104" i="1"/>
  <c r="AW104" i="1" s="1"/>
  <c r="AV105" i="1"/>
  <c r="AV113" i="1"/>
  <c r="AV51" i="1"/>
  <c r="AV115" i="1"/>
  <c r="AV52" i="1"/>
  <c r="AW52" i="1" s="1"/>
  <c r="AV4" i="1"/>
  <c r="AV118" i="1"/>
  <c r="AV119" i="1"/>
  <c r="AV120" i="1"/>
  <c r="AV53" i="1"/>
  <c r="AV5" i="1"/>
  <c r="AW5" i="1" s="1"/>
  <c r="AV54" i="1"/>
  <c r="AW54" i="1" s="1"/>
  <c r="AV6" i="1"/>
  <c r="AV7" i="1"/>
  <c r="AV8" i="1"/>
  <c r="AV9" i="1"/>
  <c r="AV10" i="1"/>
  <c r="AW10" i="1" s="1"/>
  <c r="AV11" i="1"/>
  <c r="AW11" i="1" s="1"/>
  <c r="AV12" i="1"/>
  <c r="AW12" i="1" s="1"/>
  <c r="AV13" i="1"/>
  <c r="AV14" i="1"/>
  <c r="AV15" i="1"/>
  <c r="AV16" i="1"/>
  <c r="AV17" i="1"/>
  <c r="AV18" i="1"/>
  <c r="AV19" i="1"/>
  <c r="AV20" i="1"/>
  <c r="AV22" i="1"/>
  <c r="AV21" i="1"/>
  <c r="AV23" i="1"/>
  <c r="AV24" i="1"/>
  <c r="AV25" i="1"/>
  <c r="AW25" i="1" s="1"/>
  <c r="AV26" i="1"/>
  <c r="AV27" i="1"/>
  <c r="AV28" i="1"/>
  <c r="AW28" i="1" s="1"/>
  <c r="AV29" i="1"/>
  <c r="AV30" i="1"/>
  <c r="AV31" i="1"/>
  <c r="AW31" i="1" s="1"/>
  <c r="AV32" i="1"/>
  <c r="AV34" i="1"/>
  <c r="AW34" i="1" s="1"/>
  <c r="AV35" i="1"/>
  <c r="AW35" i="1" s="1"/>
  <c r="AV37" i="1"/>
  <c r="AW37" i="1" s="1"/>
  <c r="AV33" i="1"/>
  <c r="AV38" i="1"/>
  <c r="AW38" i="1" s="1"/>
  <c r="AV39" i="1"/>
  <c r="AV40" i="1"/>
  <c r="AV41" i="1"/>
  <c r="AV42" i="1"/>
  <c r="AV43" i="1"/>
  <c r="AV44" i="1"/>
  <c r="AW44" i="1" s="1"/>
  <c r="AV45" i="1"/>
  <c r="AV46" i="1"/>
  <c r="AV48" i="1"/>
  <c r="AW48" i="1" s="1"/>
  <c r="AV47" i="1"/>
  <c r="AV49" i="1"/>
  <c r="AV50" i="1"/>
  <c r="AV55" i="1"/>
  <c r="AV56" i="1"/>
  <c r="AV57" i="1"/>
  <c r="AV58" i="1"/>
  <c r="AV59" i="1"/>
  <c r="AW59" i="1" s="1"/>
  <c r="AV60" i="1"/>
  <c r="AV61" i="1"/>
  <c r="AW61" i="1" s="1"/>
  <c r="AV62" i="1"/>
  <c r="AV63" i="1"/>
  <c r="AW63" i="1" s="1"/>
  <c r="AV65" i="1"/>
  <c r="AW65" i="1" s="1"/>
  <c r="AV66" i="1"/>
  <c r="AW66" i="1" s="1"/>
  <c r="AV67" i="1"/>
  <c r="AV68" i="1"/>
  <c r="AV69" i="1"/>
  <c r="AV70" i="1"/>
  <c r="AV71" i="1"/>
  <c r="AV72" i="1"/>
  <c r="AW72" i="1" s="1"/>
  <c r="AV73" i="1"/>
  <c r="AV74" i="1"/>
  <c r="AW74" i="1" s="1"/>
  <c r="AV75" i="1"/>
  <c r="AW75" i="1" s="1"/>
  <c r="AV77" i="1"/>
  <c r="AV78" i="1"/>
  <c r="AV80" i="1"/>
  <c r="AV81" i="1"/>
  <c r="X64" i="1"/>
  <c r="AC51" i="30" l="1"/>
  <c r="AD51" i="30"/>
  <c r="AE51" i="30"/>
  <c r="AC25" i="26" l="1"/>
  <c r="AD25" i="26"/>
  <c r="U54" i="29"/>
  <c r="U55" i="29" s="1"/>
  <c r="Y54" i="29"/>
  <c r="Z54" i="29"/>
  <c r="Z40" i="29"/>
  <c r="AA21" i="29"/>
  <c r="Y21" i="29"/>
  <c r="Z21" i="29"/>
  <c r="AL35" i="30" l="1"/>
  <c r="E35" i="30" s="1"/>
  <c r="V35" i="30" s="1"/>
  <c r="S48" i="30"/>
  <c r="O48" i="30"/>
  <c r="K48" i="30"/>
  <c r="Q47" i="30"/>
  <c r="M47" i="30"/>
  <c r="I47" i="30"/>
  <c r="S46" i="30"/>
  <c r="O46" i="30"/>
  <c r="K46" i="30"/>
  <c r="T45" i="30"/>
  <c r="P45" i="30"/>
  <c r="L45" i="30"/>
  <c r="R44" i="30"/>
  <c r="N44" i="30"/>
  <c r="J44" i="30"/>
  <c r="T43" i="30"/>
  <c r="P43" i="30"/>
  <c r="L43" i="30"/>
  <c r="R42" i="30"/>
  <c r="N42" i="30"/>
  <c r="J42" i="30"/>
  <c r="T41" i="30"/>
  <c r="P41" i="30"/>
  <c r="L41" i="30"/>
  <c r="R40" i="30"/>
  <c r="N40" i="30"/>
  <c r="J40" i="30"/>
  <c r="T39" i="30"/>
  <c r="P39" i="30"/>
  <c r="AL34" i="30"/>
  <c r="E34" i="30" s="1"/>
  <c r="V34" i="30" s="1"/>
  <c r="R48" i="30"/>
  <c r="N48" i="30"/>
  <c r="J48" i="30"/>
  <c r="T47" i="30"/>
  <c r="P47" i="30"/>
  <c r="L47" i="30"/>
  <c r="R46" i="30"/>
  <c r="N46" i="30"/>
  <c r="J46" i="30"/>
  <c r="S45" i="30"/>
  <c r="O45" i="30"/>
  <c r="K45" i="30"/>
  <c r="Q44" i="30"/>
  <c r="M44" i="30"/>
  <c r="I44" i="30"/>
  <c r="S43" i="30"/>
  <c r="O43" i="30"/>
  <c r="K43" i="30"/>
  <c r="Q42" i="30"/>
  <c r="M42" i="30"/>
  <c r="I42" i="30"/>
  <c r="S41" i="30"/>
  <c r="O41" i="30"/>
  <c r="K41" i="30"/>
  <c r="Q40" i="30"/>
  <c r="M40" i="30"/>
  <c r="I40" i="30"/>
  <c r="S39" i="30"/>
  <c r="O39" i="30"/>
  <c r="K39" i="30"/>
  <c r="AL33" i="30"/>
  <c r="E33" i="30" s="1"/>
  <c r="V33" i="30" s="1"/>
  <c r="Q48" i="30"/>
  <c r="M48" i="30"/>
  <c r="I48" i="30"/>
  <c r="S47" i="30"/>
  <c r="O47" i="30"/>
  <c r="K47" i="30"/>
  <c r="Q46" i="30"/>
  <c r="M46" i="30"/>
  <c r="I46" i="30"/>
  <c r="R45" i="30"/>
  <c r="N45" i="30"/>
  <c r="J45" i="30"/>
  <c r="T44" i="30"/>
  <c r="P44" i="30"/>
  <c r="L44" i="30"/>
  <c r="R43" i="30"/>
  <c r="N43" i="30"/>
  <c r="J43" i="30"/>
  <c r="T42" i="30"/>
  <c r="P42" i="30"/>
  <c r="L42" i="30"/>
  <c r="R41" i="30"/>
  <c r="N41" i="30"/>
  <c r="J41" i="30"/>
  <c r="T40" i="30"/>
  <c r="P40" i="30"/>
  <c r="L40" i="30"/>
  <c r="R39" i="30"/>
  <c r="N39" i="30"/>
  <c r="J39" i="30"/>
  <c r="AL36" i="30"/>
  <c r="E36" i="30" s="1"/>
  <c r="V36" i="30" s="1"/>
  <c r="T48" i="30"/>
  <c r="P48" i="30"/>
  <c r="L48" i="30"/>
  <c r="R47" i="30"/>
  <c r="N47" i="30"/>
  <c r="J47" i="30"/>
  <c r="T46" i="30"/>
  <c r="P46" i="30"/>
  <c r="L46" i="30"/>
  <c r="Q45" i="30"/>
  <c r="M45" i="30"/>
  <c r="I45" i="30"/>
  <c r="S44" i="30"/>
  <c r="O44" i="30"/>
  <c r="K44" i="30"/>
  <c r="Q43" i="30"/>
  <c r="M43" i="30"/>
  <c r="I43" i="30"/>
  <c r="S42" i="30"/>
  <c r="O42" i="30"/>
  <c r="K42" i="30"/>
  <c r="Q41" i="30"/>
  <c r="M41" i="30"/>
  <c r="I41" i="30"/>
  <c r="S40" i="30"/>
  <c r="O40" i="30"/>
  <c r="K40" i="30"/>
  <c r="Q39" i="30"/>
  <c r="M39" i="30"/>
  <c r="I39" i="30"/>
  <c r="L39" i="30"/>
  <c r="T33" i="26"/>
  <c r="O35" i="30"/>
  <c r="I33" i="26"/>
  <c r="O35" i="26"/>
  <c r="S33" i="30"/>
  <c r="O36" i="26"/>
  <c r="Q36" i="30"/>
  <c r="K33" i="26"/>
  <c r="K35" i="26"/>
  <c r="I34" i="26"/>
  <c r="I36" i="30"/>
  <c r="R35" i="30"/>
  <c r="L34" i="26"/>
  <c r="L36" i="26"/>
  <c r="AH36" i="30"/>
  <c r="AJ36" i="30" s="1"/>
  <c r="O34" i="26"/>
  <c r="P33" i="26"/>
  <c r="T34" i="30"/>
  <c r="K34" i="30"/>
  <c r="S33" i="26"/>
  <c r="S35" i="26"/>
  <c r="L34" i="30"/>
  <c r="AH47" i="30"/>
  <c r="AJ47" i="30" s="1"/>
  <c r="AH48" i="30"/>
  <c r="AJ48" i="30" s="1"/>
  <c r="N34" i="26"/>
  <c r="P34" i="30"/>
  <c r="J34" i="30"/>
  <c r="R34" i="30"/>
  <c r="K36" i="26"/>
  <c r="J34" i="26"/>
  <c r="Q34" i="30"/>
  <c r="Q33" i="26"/>
  <c r="Q35" i="26"/>
  <c r="J36" i="30"/>
  <c r="I35" i="26"/>
  <c r="I34" i="30"/>
  <c r="R33" i="30"/>
  <c r="R34" i="26"/>
  <c r="R36" i="26"/>
  <c r="I36" i="26"/>
  <c r="T35" i="30"/>
  <c r="M36" i="30"/>
  <c r="K35" i="30"/>
  <c r="M34" i="26"/>
  <c r="M36" i="26"/>
  <c r="P36" i="30"/>
  <c r="O34" i="30"/>
  <c r="AH45" i="30"/>
  <c r="AJ45" i="30" s="1"/>
  <c r="AH35" i="30"/>
  <c r="AJ35" i="30" s="1"/>
  <c r="AH46" i="30"/>
  <c r="AJ46" i="30" s="1"/>
  <c r="N35" i="30"/>
  <c r="J35" i="30"/>
  <c r="T34" i="26"/>
  <c r="T36" i="26"/>
  <c r="O33" i="30"/>
  <c r="R36" i="30"/>
  <c r="AH34" i="30"/>
  <c r="AJ34" i="30" s="1"/>
  <c r="P35" i="26"/>
  <c r="I35" i="30"/>
  <c r="J35" i="26"/>
  <c r="Q35" i="30"/>
  <c r="K34" i="26"/>
  <c r="Q36" i="26"/>
  <c r="L35" i="30"/>
  <c r="J33" i="26"/>
  <c r="L33" i="26"/>
  <c r="L35" i="26"/>
  <c r="I33" i="30"/>
  <c r="P35" i="30"/>
  <c r="T33" i="30"/>
  <c r="M34" i="30"/>
  <c r="K33" i="30"/>
  <c r="S34" i="26"/>
  <c r="S36" i="30"/>
  <c r="P34" i="26"/>
  <c r="AH43" i="30"/>
  <c r="AJ43" i="30" s="1"/>
  <c r="AH33" i="30"/>
  <c r="AJ33" i="30" s="1"/>
  <c r="AH44" i="30"/>
  <c r="AJ44" i="30" s="1"/>
  <c r="N33" i="30"/>
  <c r="J33" i="30"/>
  <c r="N35" i="26"/>
  <c r="S36" i="26"/>
  <c r="M35" i="30"/>
  <c r="J36" i="26"/>
  <c r="O33" i="26"/>
  <c r="Q33" i="30"/>
  <c r="Q34" i="26"/>
  <c r="L33" i="30"/>
  <c r="R33" i="26"/>
  <c r="R35" i="26"/>
  <c r="L36" i="30"/>
  <c r="P33" i="30"/>
  <c r="T36" i="30"/>
  <c r="K36" i="30"/>
  <c r="M33" i="26"/>
  <c r="M35" i="26"/>
  <c r="M33" i="30"/>
  <c r="S34" i="30"/>
  <c r="P36" i="26"/>
  <c r="AH41" i="30"/>
  <c r="AJ41" i="30" s="1"/>
  <c r="AH42" i="30"/>
  <c r="AJ42" i="30" s="1"/>
  <c r="N36" i="30"/>
  <c r="N33" i="26"/>
  <c r="T35" i="26"/>
  <c r="S35" i="30"/>
  <c r="O36" i="30"/>
  <c r="AH39" i="30"/>
  <c r="AH40" i="30"/>
  <c r="AJ40" i="30" s="1"/>
  <c r="N34" i="30"/>
  <c r="N36" i="26"/>
  <c r="F48" i="30"/>
  <c r="W48" i="30" s="1"/>
  <c r="F40" i="30"/>
  <c r="W40" i="30" s="1"/>
  <c r="F41" i="30"/>
  <c r="W41" i="30" s="1"/>
  <c r="F39" i="30"/>
  <c r="W39" i="30" s="1"/>
  <c r="F47" i="30"/>
  <c r="W47" i="30" s="1"/>
  <c r="F46" i="30"/>
  <c r="W46" i="30" s="1"/>
  <c r="F33" i="30"/>
  <c r="W33" i="30" s="1"/>
  <c r="F45" i="30"/>
  <c r="W45" i="30" s="1"/>
  <c r="F44" i="30"/>
  <c r="W44" i="30" s="1"/>
  <c r="F42" i="30"/>
  <c r="W42" i="30" s="1"/>
  <c r="F43" i="30"/>
  <c r="W43" i="30" s="1"/>
  <c r="L49" i="30" l="1"/>
  <c r="L51" i="30" s="1"/>
  <c r="I49" i="30"/>
  <c r="I51" i="30" s="1"/>
  <c r="N49" i="30"/>
  <c r="N51" i="30" s="1"/>
  <c r="M49" i="30"/>
  <c r="M51" i="30" s="1"/>
  <c r="J49" i="30"/>
  <c r="J51" i="30" s="1"/>
  <c r="O49" i="30"/>
  <c r="O51" i="30" s="1"/>
  <c r="AJ39" i="30"/>
  <c r="AJ49" i="30" s="1"/>
  <c r="AH49" i="30"/>
  <c r="S49" i="30"/>
  <c r="S51" i="30" s="1"/>
  <c r="W49" i="30"/>
  <c r="W51" i="30" s="1"/>
  <c r="R49" i="30"/>
  <c r="R51" i="30" s="1"/>
  <c r="P49" i="30"/>
  <c r="P51" i="30" s="1"/>
  <c r="Q49" i="30"/>
  <c r="Q51" i="30" s="1"/>
  <c r="K49" i="30"/>
  <c r="K51" i="30" s="1"/>
  <c r="T49" i="30"/>
  <c r="T51" i="30" s="1"/>
  <c r="X48" i="29"/>
  <c r="X39" i="29"/>
  <c r="X21" i="29"/>
  <c r="AH51" i="30" l="1"/>
  <c r="AL51" i="30"/>
  <c r="Y40" i="29" l="1"/>
  <c r="AD40" i="29"/>
  <c r="AH40" i="29"/>
  <c r="AI40" i="29"/>
  <c r="AB39" i="29"/>
  <c r="AB40" i="29" s="1"/>
  <c r="AA39" i="29"/>
  <c r="AA40" i="29" s="1"/>
  <c r="I56" i="29" l="1"/>
  <c r="AC54" i="29"/>
  <c r="AB54" i="29"/>
  <c r="AC48" i="29"/>
  <c r="AB48" i="29"/>
  <c r="AA48" i="29"/>
  <c r="Z48" i="29"/>
  <c r="Y48" i="29"/>
  <c r="U38" i="29" l="1"/>
  <c r="U40" i="29" s="1"/>
  <c r="U19" i="29"/>
  <c r="U21" i="29" s="1"/>
  <c r="U42" i="29" l="1"/>
  <c r="T42" i="29"/>
  <c r="S42" i="29"/>
  <c r="R42" i="29"/>
  <c r="Q42" i="29"/>
  <c r="P42" i="29"/>
  <c r="O42" i="29"/>
  <c r="N42" i="29"/>
  <c r="M42" i="29"/>
  <c r="I49" i="29"/>
  <c r="J49" i="29" s="1"/>
  <c r="K49" i="29" s="1"/>
  <c r="L49" i="29" s="1"/>
  <c r="V49" i="29" s="1"/>
  <c r="W49" i="29" s="1"/>
  <c r="X49" i="29" s="1"/>
  <c r="Y49" i="29" s="1"/>
  <c r="Z49" i="29" s="1"/>
  <c r="AA49" i="29" s="1"/>
  <c r="AB49" i="29" s="1"/>
  <c r="AC49" i="29" s="1"/>
  <c r="I52" i="29"/>
  <c r="M23" i="29"/>
  <c r="N23" i="29"/>
  <c r="O23" i="29"/>
  <c r="P23" i="29"/>
  <c r="Q23" i="29"/>
  <c r="R23" i="29"/>
  <c r="S23" i="29"/>
  <c r="T23" i="29"/>
  <c r="U23" i="29"/>
  <c r="AD23" i="29"/>
  <c r="AE23" i="29"/>
  <c r="AF23" i="29"/>
  <c r="AG23" i="29"/>
  <c r="AH23" i="29"/>
  <c r="AI23" i="29"/>
  <c r="I50" i="29"/>
  <c r="Z50" i="29" s="1"/>
  <c r="AI50" i="29"/>
  <c r="G50" i="29"/>
  <c r="I53" i="29"/>
  <c r="AA53" i="29" s="1"/>
  <c r="G53" i="29"/>
  <c r="AI56" i="29"/>
  <c r="L53" i="29" l="1"/>
  <c r="N53" i="29" s="1"/>
  <c r="P53" i="29" s="1"/>
  <c r="R53" i="29" s="1"/>
  <c r="T53" i="29" s="1"/>
  <c r="AC53" i="29"/>
  <c r="AE53" i="29" s="1"/>
  <c r="AG53" i="29" s="1"/>
  <c r="AI53" i="29" s="1"/>
  <c r="K53" i="29"/>
  <c r="M53" i="29" s="1"/>
  <c r="O53" i="29" s="1"/>
  <c r="Q53" i="29" s="1"/>
  <c r="S53" i="29" s="1"/>
  <c r="U53" i="29" s="1"/>
  <c r="J52" i="29"/>
  <c r="K52" i="29" s="1"/>
  <c r="L52" i="29" s="1"/>
  <c r="V52" i="29" s="1"/>
  <c r="X53" i="29"/>
  <c r="J53" i="29"/>
  <c r="AB53" i="29"/>
  <c r="AD53" i="29" s="1"/>
  <c r="AF53" i="29" s="1"/>
  <c r="AH53" i="29" s="1"/>
  <c r="Y50" i="29"/>
  <c r="AA50" i="29"/>
  <c r="V53" i="29"/>
  <c r="Z53" i="29"/>
  <c r="W50" i="29"/>
  <c r="J50" i="29"/>
  <c r="Y53" i="29"/>
  <c r="L50" i="29"/>
  <c r="AC50" i="29"/>
  <c r="AF50" i="29" s="1"/>
  <c r="W53" i="29"/>
  <c r="K50" i="29"/>
  <c r="X50" i="29"/>
  <c r="AB50" i="29"/>
  <c r="V50" i="29"/>
  <c r="AE50" i="29" l="1"/>
  <c r="Z56" i="29"/>
  <c r="V56" i="29"/>
  <c r="J56" i="29"/>
  <c r="AC56" i="29"/>
  <c r="AF56" i="29" s="1"/>
  <c r="Y56" i="29"/>
  <c r="L56" i="29"/>
  <c r="W56" i="29"/>
  <c r="AB56" i="29"/>
  <c r="X56" i="29"/>
  <c r="K56" i="29"/>
  <c r="AA56" i="29"/>
  <c r="G54" i="29"/>
  <c r="AI51" i="29"/>
  <c r="AE51" i="29"/>
  <c r="G51" i="29"/>
  <c r="AI48" i="29"/>
  <c r="AE48" i="29"/>
  <c r="G48" i="29"/>
  <c r="AJ45" i="29"/>
  <c r="AI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G39" i="29"/>
  <c r="E39" i="29"/>
  <c r="AJ38" i="29"/>
  <c r="G37" i="29"/>
  <c r="E37" i="29"/>
  <c r="G36" i="29"/>
  <c r="E36" i="29"/>
  <c r="G35" i="29"/>
  <c r="E35" i="29"/>
  <c r="G34" i="29"/>
  <c r="E34" i="29"/>
  <c r="G33" i="29"/>
  <c r="E33" i="29"/>
  <c r="G32" i="29"/>
  <c r="E32" i="29"/>
  <c r="G31" i="29"/>
  <c r="E31" i="29"/>
  <c r="G30" i="29"/>
  <c r="E30" i="29"/>
  <c r="G29" i="29"/>
  <c r="E29" i="29"/>
  <c r="G28" i="29"/>
  <c r="E28" i="29"/>
  <c r="AJ25" i="29"/>
  <c r="AI25" i="29"/>
  <c r="T20" i="29"/>
  <c r="S20" i="29"/>
  <c r="R20" i="29"/>
  <c r="Q20" i="29"/>
  <c r="P20" i="29"/>
  <c r="O20" i="29"/>
  <c r="N20" i="29"/>
  <c r="M20" i="29"/>
  <c r="G20" i="29"/>
  <c r="AJ19" i="29"/>
  <c r="AI19" i="29"/>
  <c r="G18" i="29"/>
  <c r="E18" i="29"/>
  <c r="G17" i="29"/>
  <c r="E17" i="29"/>
  <c r="G16" i="29"/>
  <c r="E16" i="29"/>
  <c r="G15" i="29"/>
  <c r="E15" i="29"/>
  <c r="G14" i="29"/>
  <c r="E14" i="29"/>
  <c r="G13" i="29"/>
  <c r="E13" i="29"/>
  <c r="G12" i="29"/>
  <c r="E12" i="29"/>
  <c r="G11" i="29"/>
  <c r="E11" i="29"/>
  <c r="G10" i="29"/>
  <c r="E10" i="29"/>
  <c r="G9" i="29"/>
  <c r="E9" i="29"/>
  <c r="AJ6" i="29"/>
  <c r="AI6" i="29"/>
  <c r="M6" i="29"/>
  <c r="L6" i="29"/>
  <c r="K6" i="29"/>
  <c r="J6" i="29"/>
  <c r="I6" i="29"/>
  <c r="C5" i="29"/>
  <c r="AF54" i="29" s="1"/>
  <c r="B5" i="29"/>
  <c r="AG2" i="29"/>
  <c r="AG6" i="29" s="1"/>
  <c r="AF2" i="29"/>
  <c r="AF14" i="29" s="1"/>
  <c r="AE2" i="29"/>
  <c r="AE29" i="29" s="1"/>
  <c r="F2" i="29"/>
  <c r="E20" i="29" s="1"/>
  <c r="AC29" i="29" l="1"/>
  <c r="AB31" i="29"/>
  <c r="AC33" i="29"/>
  <c r="AC37" i="29"/>
  <c r="Z51" i="29"/>
  <c r="AC9" i="29"/>
  <c r="AC13" i="29"/>
  <c r="AB15" i="29"/>
  <c r="AC17" i="29"/>
  <c r="AB28" i="29"/>
  <c r="AB32" i="29"/>
  <c r="AB36" i="29"/>
  <c r="AB12" i="29"/>
  <c r="AB16" i="29"/>
  <c r="I23" i="29"/>
  <c r="AJ23" i="29"/>
  <c r="I42" i="29"/>
  <c r="AJ40" i="29"/>
  <c r="AE56" i="29"/>
  <c r="AC10" i="29"/>
  <c r="AC12" i="29"/>
  <c r="AC36" i="29"/>
  <c r="AC28" i="29"/>
  <c r="AA30" i="29"/>
  <c r="AC32" i="29"/>
  <c r="AA34" i="29"/>
  <c r="AC16" i="29"/>
  <c r="AF48" i="29"/>
  <c r="AF6" i="29"/>
  <c r="AF10" i="29"/>
  <c r="AC11" i="29"/>
  <c r="AE25" i="29"/>
  <c r="AA31" i="29"/>
  <c r="AC31" i="29"/>
  <c r="AE45" i="29"/>
  <c r="AF15" i="29"/>
  <c r="AF11" i="29"/>
  <c r="AF45" i="29"/>
  <c r="AF16" i="29"/>
  <c r="AF12" i="29"/>
  <c r="AF25" i="29"/>
  <c r="AF17" i="29"/>
  <c r="AF13" i="29"/>
  <c r="AF35" i="29"/>
  <c r="AF31" i="29"/>
  <c r="AF36" i="29"/>
  <c r="AF32" i="29"/>
  <c r="AF28" i="29"/>
  <c r="AF37" i="29"/>
  <c r="AF33" i="29"/>
  <c r="AF29" i="29"/>
  <c r="AF9" i="29"/>
  <c r="AB10" i="29"/>
  <c r="AF18" i="29"/>
  <c r="AA35" i="29"/>
  <c r="AC35" i="29"/>
  <c r="AF39" i="29"/>
  <c r="AB9" i="29"/>
  <c r="AC15" i="29"/>
  <c r="AF20" i="29"/>
  <c r="AF30" i="29"/>
  <c r="AG45" i="29"/>
  <c r="AG25" i="29"/>
  <c r="F3" i="29"/>
  <c r="AE6" i="29"/>
  <c r="AB11" i="29"/>
  <c r="AF34" i="29"/>
  <c r="AB35" i="29"/>
  <c r="AB14" i="29"/>
  <c r="AB18" i="29"/>
  <c r="AA29" i="29"/>
  <c r="AB30" i="29"/>
  <c r="AA33" i="29"/>
  <c r="AB34" i="29"/>
  <c r="AA37" i="29"/>
  <c r="AB51" i="29"/>
  <c r="AB13" i="29"/>
  <c r="AC14" i="29"/>
  <c r="AB17" i="29"/>
  <c r="AC18" i="29"/>
  <c r="AA28" i="29"/>
  <c r="AB29" i="29"/>
  <c r="AC30" i="29"/>
  <c r="AA32" i="29"/>
  <c r="AB33" i="29"/>
  <c r="AC34" i="29"/>
  <c r="AA36" i="29"/>
  <c r="AB37" i="29"/>
  <c r="Y51" i="29"/>
  <c r="AC51" i="29" s="1"/>
  <c r="AF51" i="29" s="1"/>
  <c r="E46" i="26"/>
  <c r="G58" i="26"/>
  <c r="AA54" i="29" l="1"/>
  <c r="AA51" i="29"/>
  <c r="W52" i="29"/>
  <c r="X52" i="29" s="1"/>
  <c r="Y52" i="29" s="1"/>
  <c r="Z52" i="29" s="1"/>
  <c r="AC42" i="29"/>
  <c r="V42" i="29"/>
  <c r="AA42" i="29"/>
  <c r="Y42" i="29"/>
  <c r="Z42" i="29"/>
  <c r="X42" i="29"/>
  <c r="L42" i="29"/>
  <c r="K42" i="29"/>
  <c r="W42" i="29"/>
  <c r="J42" i="29"/>
  <c r="AB42" i="29"/>
  <c r="AA23" i="29"/>
  <c r="W23" i="29"/>
  <c r="J23" i="29"/>
  <c r="Z23" i="29"/>
  <c r="V23" i="29"/>
  <c r="AC23" i="29"/>
  <c r="Y23" i="29"/>
  <c r="L23" i="29"/>
  <c r="AB23" i="29"/>
  <c r="X23" i="29"/>
  <c r="K23" i="29"/>
  <c r="F53" i="29"/>
  <c r="F50" i="29"/>
  <c r="F48" i="29"/>
  <c r="F51" i="29"/>
  <c r="AF38" i="29"/>
  <c r="AF40" i="29" s="1"/>
  <c r="AC39" i="29"/>
  <c r="AC40" i="29" s="1"/>
  <c r="AF19" i="29"/>
  <c r="AF57" i="26"/>
  <c r="AA52" i="29" l="1"/>
  <c r="AB52" i="29" s="1"/>
  <c r="AC52" i="29" s="1"/>
  <c r="G15" i="26"/>
  <c r="W15" i="26" s="1"/>
  <c r="AK54" i="26" l="1"/>
  <c r="AJ54" i="26"/>
  <c r="E50" i="26"/>
  <c r="E48" i="26"/>
  <c r="E47" i="26"/>
  <c r="E45" i="26"/>
  <c r="E44" i="26"/>
  <c r="E43" i="26"/>
  <c r="E42" i="26"/>
  <c r="E41" i="26"/>
  <c r="E40" i="26"/>
  <c r="E39" i="26"/>
  <c r="AJ25" i="26"/>
  <c r="T54" i="26"/>
  <c r="S54" i="26"/>
  <c r="R54" i="26"/>
  <c r="Q54" i="26"/>
  <c r="P54" i="26"/>
  <c r="O54" i="26"/>
  <c r="N54" i="26"/>
  <c r="M54" i="26"/>
  <c r="L54" i="26"/>
  <c r="K54" i="26"/>
  <c r="J54" i="26"/>
  <c r="I54" i="26"/>
  <c r="G39" i="26" l="1"/>
  <c r="G50" i="26"/>
  <c r="W50" i="26" s="1"/>
  <c r="G40" i="26"/>
  <c r="G41" i="26"/>
  <c r="G42" i="26"/>
  <c r="G43" i="26"/>
  <c r="G44" i="26"/>
  <c r="G45" i="26"/>
  <c r="G46" i="26"/>
  <c r="G47" i="26"/>
  <c r="G48" i="26"/>
  <c r="AD47" i="26" l="1"/>
  <c r="Z47" i="26"/>
  <c r="AC47" i="26"/>
  <c r="Y47" i="26"/>
  <c r="AB47" i="26"/>
  <c r="X47" i="26"/>
  <c r="AA47" i="26"/>
  <c r="W47" i="26"/>
  <c r="AD43" i="26"/>
  <c r="Z43" i="26"/>
  <c r="AC43" i="26"/>
  <c r="Y43" i="26"/>
  <c r="AB43" i="26"/>
  <c r="X43" i="26"/>
  <c r="AA43" i="26"/>
  <c r="W43" i="26"/>
  <c r="AD39" i="26"/>
  <c r="Z39" i="26"/>
  <c r="AC39" i="26"/>
  <c r="Y39" i="26"/>
  <c r="AB39" i="26"/>
  <c r="X39" i="26"/>
  <c r="AA39" i="26"/>
  <c r="W39" i="26"/>
  <c r="AD46" i="26"/>
  <c r="Z46" i="26"/>
  <c r="AC46" i="26"/>
  <c r="Y46" i="26"/>
  <c r="AB46" i="26"/>
  <c r="X46" i="26"/>
  <c r="AA46" i="26"/>
  <c r="W46" i="26"/>
  <c r="AD42" i="26"/>
  <c r="Z42" i="26"/>
  <c r="AC42" i="26"/>
  <c r="Y42" i="26"/>
  <c r="AB42" i="26"/>
  <c r="X42" i="26"/>
  <c r="AA42" i="26"/>
  <c r="W42" i="26"/>
  <c r="AD41" i="26"/>
  <c r="Z41" i="26"/>
  <c r="AC41" i="26"/>
  <c r="Y41" i="26"/>
  <c r="AB41" i="26"/>
  <c r="X41" i="26"/>
  <c r="AA41" i="26"/>
  <c r="W41" i="26"/>
  <c r="AD45" i="26"/>
  <c r="Z45" i="26"/>
  <c r="AC45" i="26"/>
  <c r="Y45" i="26"/>
  <c r="AB45" i="26"/>
  <c r="X45" i="26"/>
  <c r="AA45" i="26"/>
  <c r="W45" i="26"/>
  <c r="AD48" i="26"/>
  <c r="Z48" i="26"/>
  <c r="AC48" i="26"/>
  <c r="Y48" i="26"/>
  <c r="AB48" i="26"/>
  <c r="X48" i="26"/>
  <c r="AA48" i="26"/>
  <c r="W48" i="26"/>
  <c r="AD44" i="26"/>
  <c r="Z44" i="26"/>
  <c r="AC44" i="26"/>
  <c r="Y44" i="26"/>
  <c r="AB44" i="26"/>
  <c r="X44" i="26"/>
  <c r="AA44" i="26"/>
  <c r="W44" i="26"/>
  <c r="AD40" i="26"/>
  <c r="Z40" i="26"/>
  <c r="AC40" i="26"/>
  <c r="Y40" i="26"/>
  <c r="AB40" i="26"/>
  <c r="X40" i="26"/>
  <c r="AA40" i="26"/>
  <c r="W40" i="26"/>
  <c r="AK30" i="26"/>
  <c r="AJ30" i="26"/>
  <c r="W49" i="26" l="1"/>
  <c r="W51" i="26" s="1"/>
  <c r="Y49" i="26"/>
  <c r="X49" i="26"/>
  <c r="AJ6" i="26"/>
  <c r="AJ57" i="26"/>
  <c r="AJ58" i="26"/>
  <c r="AJ59" i="26"/>
  <c r="AH2" i="26"/>
  <c r="AK6" i="26"/>
  <c r="AK25" i="26"/>
  <c r="AH54" i="26" l="1"/>
  <c r="AH6" i="26"/>
  <c r="AH30" i="26"/>
  <c r="AG2" i="26" l="1"/>
  <c r="AF2" i="26"/>
  <c r="T26" i="26"/>
  <c r="S26" i="26"/>
  <c r="R26" i="26"/>
  <c r="Q26" i="26"/>
  <c r="P26" i="26"/>
  <c r="O26" i="26"/>
  <c r="M6" i="26"/>
  <c r="L6" i="26"/>
  <c r="K6" i="26"/>
  <c r="J6" i="26"/>
  <c r="I6" i="26"/>
  <c r="I26" i="26"/>
  <c r="I20" i="29" s="1"/>
  <c r="J26" i="26"/>
  <c r="J20" i="29" s="1"/>
  <c r="K26" i="26"/>
  <c r="K20" i="29" s="1"/>
  <c r="L26" i="26"/>
  <c r="L20" i="29" s="1"/>
  <c r="M26" i="26"/>
  <c r="V20" i="29" s="1"/>
  <c r="E17" i="26"/>
  <c r="E24" i="26"/>
  <c r="E23" i="26"/>
  <c r="E22" i="26"/>
  <c r="E21" i="26"/>
  <c r="E20" i="26"/>
  <c r="E19" i="26"/>
  <c r="E18" i="26"/>
  <c r="E15" i="26"/>
  <c r="E16" i="26"/>
  <c r="AF33" i="26" l="1"/>
  <c r="AF36" i="26"/>
  <c r="AF35" i="26"/>
  <c r="AF34" i="26"/>
  <c r="AG34" i="26"/>
  <c r="AG35" i="26"/>
  <c r="AG36" i="26"/>
  <c r="AG11" i="26"/>
  <c r="AG12" i="26"/>
  <c r="AG9" i="26"/>
  <c r="AG10" i="26"/>
  <c r="AE20" i="29"/>
  <c r="AG20" i="29" s="1"/>
  <c r="F20" i="29"/>
  <c r="AF54" i="26"/>
  <c r="AG54" i="26"/>
  <c r="AF30" i="26"/>
  <c r="AG30" i="26"/>
  <c r="AG15" i="26"/>
  <c r="AG24" i="26"/>
  <c r="AG20" i="26"/>
  <c r="AG16" i="26"/>
  <c r="AG23" i="26"/>
  <c r="AG19" i="26"/>
  <c r="AG22" i="26"/>
  <c r="AG18" i="26"/>
  <c r="AG21" i="26"/>
  <c r="AG17" i="26"/>
  <c r="AG6" i="26"/>
  <c r="AF6" i="26"/>
  <c r="AH35" i="26" l="1"/>
  <c r="AH36" i="26"/>
  <c r="AH34" i="26"/>
  <c r="F2" i="26"/>
  <c r="F3" i="26" s="1"/>
  <c r="F33" i="26" s="1"/>
  <c r="C5" i="26"/>
  <c r="AK49" i="26"/>
  <c r="AG33" i="26" l="1"/>
  <c r="AH33" i="26" s="1"/>
  <c r="AG39" i="26"/>
  <c r="AG41" i="26"/>
  <c r="AG45" i="26"/>
  <c r="AG46" i="26"/>
  <c r="AG43" i="26"/>
  <c r="AG47" i="26"/>
  <c r="AG40" i="26"/>
  <c r="AG44" i="26"/>
  <c r="AG48" i="26"/>
  <c r="AG42" i="26"/>
  <c r="AG26" i="26"/>
  <c r="B5" i="26"/>
  <c r="F59" i="26" l="1"/>
  <c r="F57" i="26"/>
  <c r="F58" i="26"/>
  <c r="AG25" i="26"/>
  <c r="F68" i="7"/>
  <c r="AG29" i="29" l="1"/>
  <c r="AE34" i="29"/>
  <c r="AG34" i="29" s="1"/>
  <c r="AE35" i="29"/>
  <c r="AG35" i="29" s="1"/>
  <c r="AE28" i="29"/>
  <c r="AE30" i="29"/>
  <c r="AG30" i="29" s="1"/>
  <c r="AE31" i="29"/>
  <c r="AG31" i="29" s="1"/>
  <c r="AE36" i="29"/>
  <c r="AG36" i="29" s="1"/>
  <c r="AE33" i="29"/>
  <c r="AG33" i="29" s="1"/>
  <c r="AE37" i="29"/>
  <c r="AG37" i="29" s="1"/>
  <c r="AE32" i="29"/>
  <c r="AG32" i="29" s="1"/>
  <c r="F35" i="29"/>
  <c r="F29" i="29"/>
  <c r="F31" i="29"/>
  <c r="F36" i="29"/>
  <c r="F30" i="29"/>
  <c r="F32" i="29"/>
  <c r="F37" i="29"/>
  <c r="F28" i="29"/>
  <c r="F33" i="29"/>
  <c r="F34" i="29"/>
  <c r="M41" i="26"/>
  <c r="V30" i="29" s="1"/>
  <c r="L41" i="26"/>
  <c r="L30" i="29" s="1"/>
  <c r="AF46" i="26"/>
  <c r="M50" i="7"/>
  <c r="F45" i="26"/>
  <c r="F40" i="26"/>
  <c r="F42" i="26"/>
  <c r="F46" i="26"/>
  <c r="S48" i="26"/>
  <c r="R48" i="26"/>
  <c r="N48" i="26"/>
  <c r="W37" i="29" s="1"/>
  <c r="Q47" i="26"/>
  <c r="T46" i="26"/>
  <c r="P46" i="26"/>
  <c r="S45" i="26"/>
  <c r="O45" i="26"/>
  <c r="R44" i="26"/>
  <c r="N44" i="26"/>
  <c r="W33" i="29" s="1"/>
  <c r="Q43" i="26"/>
  <c r="T42" i="26"/>
  <c r="P42" i="26"/>
  <c r="S41" i="26"/>
  <c r="O41" i="26"/>
  <c r="R40" i="26"/>
  <c r="N40" i="26"/>
  <c r="W29" i="29" s="1"/>
  <c r="Q39" i="26"/>
  <c r="M48" i="26"/>
  <c r="V37" i="29" s="1"/>
  <c r="M47" i="26"/>
  <c r="V36" i="29" s="1"/>
  <c r="M46" i="26"/>
  <c r="V35" i="29" s="1"/>
  <c r="M45" i="26"/>
  <c r="V34" i="29" s="1"/>
  <c r="M44" i="26"/>
  <c r="V33" i="29" s="1"/>
  <c r="M43" i="26"/>
  <c r="V32" i="29" s="1"/>
  <c r="M42" i="26"/>
  <c r="V31" i="29" s="1"/>
  <c r="M40" i="26"/>
  <c r="V29" i="29" s="1"/>
  <c r="M39" i="26"/>
  <c r="V28" i="29" s="1"/>
  <c r="I48" i="26"/>
  <c r="I37" i="29" s="1"/>
  <c r="I44" i="26"/>
  <c r="I33" i="29" s="1"/>
  <c r="I40" i="26"/>
  <c r="I29" i="29" s="1"/>
  <c r="R46" i="26"/>
  <c r="Q45" i="26"/>
  <c r="P44" i="26"/>
  <c r="O43" i="26"/>
  <c r="N42" i="26"/>
  <c r="W31" i="29" s="1"/>
  <c r="T40" i="26"/>
  <c r="S39" i="26"/>
  <c r="K48" i="26"/>
  <c r="K37" i="29" s="1"/>
  <c r="K46" i="26"/>
  <c r="K35" i="29" s="1"/>
  <c r="K44" i="26"/>
  <c r="K33" i="29" s="1"/>
  <c r="K42" i="26"/>
  <c r="K31" i="29" s="1"/>
  <c r="K40" i="26"/>
  <c r="K29" i="29" s="1"/>
  <c r="I46" i="26"/>
  <c r="I35" i="29" s="1"/>
  <c r="O48" i="26"/>
  <c r="N47" i="26"/>
  <c r="W36" i="29" s="1"/>
  <c r="T45" i="26"/>
  <c r="S44" i="26"/>
  <c r="R43" i="26"/>
  <c r="Q42" i="26"/>
  <c r="P41" i="26"/>
  <c r="O40" i="26"/>
  <c r="N39" i="26"/>
  <c r="J47" i="26"/>
  <c r="J36" i="29" s="1"/>
  <c r="J45" i="26"/>
  <c r="J34" i="29" s="1"/>
  <c r="J43" i="26"/>
  <c r="J32" i="29" s="1"/>
  <c r="J41" i="26"/>
  <c r="J30" i="29" s="1"/>
  <c r="J39" i="26"/>
  <c r="J28" i="29" s="1"/>
  <c r="I41" i="26"/>
  <c r="I30" i="29" s="1"/>
  <c r="Q48" i="26"/>
  <c r="T47" i="26"/>
  <c r="P47" i="26"/>
  <c r="S46" i="26"/>
  <c r="O46" i="26"/>
  <c r="R45" i="26"/>
  <c r="N45" i="26"/>
  <c r="W34" i="29" s="1"/>
  <c r="Q44" i="26"/>
  <c r="T43" i="26"/>
  <c r="P43" i="26"/>
  <c r="S42" i="26"/>
  <c r="O42" i="26"/>
  <c r="R41" i="26"/>
  <c r="N41" i="26"/>
  <c r="W30" i="29" s="1"/>
  <c r="Q40" i="26"/>
  <c r="T39" i="26"/>
  <c r="P39" i="26"/>
  <c r="L48" i="26"/>
  <c r="L37" i="29" s="1"/>
  <c r="L47" i="26"/>
  <c r="L36" i="29" s="1"/>
  <c r="L46" i="26"/>
  <c r="L35" i="29" s="1"/>
  <c r="L45" i="26"/>
  <c r="L34" i="29" s="1"/>
  <c r="L44" i="26"/>
  <c r="L33" i="29" s="1"/>
  <c r="L43" i="26"/>
  <c r="L32" i="29" s="1"/>
  <c r="L42" i="26"/>
  <c r="L31" i="29" s="1"/>
  <c r="L40" i="26"/>
  <c r="L29" i="29" s="1"/>
  <c r="L39" i="26"/>
  <c r="L28" i="29" s="1"/>
  <c r="I47" i="26"/>
  <c r="I36" i="29" s="1"/>
  <c r="I43" i="26"/>
  <c r="I32" i="29" s="1"/>
  <c r="I39" i="26"/>
  <c r="I28" i="29" s="1"/>
  <c r="P48" i="26"/>
  <c r="S47" i="26"/>
  <c r="O47" i="26"/>
  <c r="N46" i="26"/>
  <c r="W35" i="29" s="1"/>
  <c r="T44" i="26"/>
  <c r="S43" i="26"/>
  <c r="R42" i="26"/>
  <c r="Q41" i="26"/>
  <c r="P40" i="26"/>
  <c r="O39" i="26"/>
  <c r="K47" i="26"/>
  <c r="K36" i="29" s="1"/>
  <c r="K45" i="26"/>
  <c r="K34" i="29" s="1"/>
  <c r="K43" i="26"/>
  <c r="K32" i="29" s="1"/>
  <c r="K41" i="26"/>
  <c r="K30" i="29" s="1"/>
  <c r="K39" i="26"/>
  <c r="K28" i="29" s="1"/>
  <c r="I42" i="26"/>
  <c r="I31" i="29" s="1"/>
  <c r="R47" i="26"/>
  <c r="Q46" i="26"/>
  <c r="P45" i="26"/>
  <c r="O44" i="26"/>
  <c r="N43" i="26"/>
  <c r="W32" i="29" s="1"/>
  <c r="T41" i="26"/>
  <c r="S40" i="26"/>
  <c r="R39" i="26"/>
  <c r="J48" i="26"/>
  <c r="J37" i="29" s="1"/>
  <c r="J46" i="26"/>
  <c r="J35" i="29" s="1"/>
  <c r="J44" i="26"/>
  <c r="J33" i="29" s="1"/>
  <c r="J42" i="26"/>
  <c r="J31" i="29" s="1"/>
  <c r="J40" i="26"/>
  <c r="J29" i="29" s="1"/>
  <c r="I45" i="26"/>
  <c r="I34" i="29" s="1"/>
  <c r="T48" i="26"/>
  <c r="AF44" i="26"/>
  <c r="AF47" i="26"/>
  <c r="AF41" i="26"/>
  <c r="AF40" i="26"/>
  <c r="AF43" i="26"/>
  <c r="AF45" i="26"/>
  <c r="AF39" i="26"/>
  <c r="AF42" i="26"/>
  <c r="AF48" i="26"/>
  <c r="F43" i="26"/>
  <c r="F44" i="26"/>
  <c r="F41" i="26"/>
  <c r="F47" i="26"/>
  <c r="F48" i="26"/>
  <c r="G47" i="7"/>
  <c r="F39" i="26"/>
  <c r="D49" i="7"/>
  <c r="D3" i="20" s="1"/>
  <c r="G46" i="7"/>
  <c r="J54" i="7"/>
  <c r="J5" i="20" s="1"/>
  <c r="L52" i="7"/>
  <c r="M55" i="7"/>
  <c r="E54" i="7"/>
  <c r="E5" i="20" s="1"/>
  <c r="H52" i="7"/>
  <c r="I50" i="7"/>
  <c r="K48" i="7"/>
  <c r="L46" i="7"/>
  <c r="I55" i="7"/>
  <c r="K53" i="7"/>
  <c r="L51" i="7"/>
  <c r="N49" i="7"/>
  <c r="N3" i="20" s="1"/>
  <c r="G48" i="7"/>
  <c r="H46" i="7"/>
  <c r="N54" i="7"/>
  <c r="N5" i="20" s="1"/>
  <c r="G53" i="7"/>
  <c r="H51" i="7"/>
  <c r="J49" i="7"/>
  <c r="J3" i="20" s="1"/>
  <c r="K47" i="7"/>
  <c r="C49" i="7"/>
  <c r="G55" i="7"/>
  <c r="H54" i="7"/>
  <c r="H5" i="20" s="1"/>
  <c r="I53" i="7"/>
  <c r="J52" i="7"/>
  <c r="N51" i="7"/>
  <c r="J51" i="7"/>
  <c r="F51" i="7"/>
  <c r="K50" i="7"/>
  <c r="G50" i="7"/>
  <c r="L49" i="7"/>
  <c r="L3" i="20" s="1"/>
  <c r="H49" i="7"/>
  <c r="H3" i="20" s="1"/>
  <c r="M48" i="7"/>
  <c r="I48" i="7"/>
  <c r="M47" i="7"/>
  <c r="I47" i="7"/>
  <c r="N46" i="7"/>
  <c r="J46" i="7"/>
  <c r="E46" i="7"/>
  <c r="F46" i="7"/>
  <c r="K55" i="7"/>
  <c r="L54" i="7"/>
  <c r="L5" i="20" s="1"/>
  <c r="M53" i="7"/>
  <c r="N52" i="7"/>
  <c r="N55" i="7"/>
  <c r="J55" i="7"/>
  <c r="F55" i="7"/>
  <c r="K54" i="7"/>
  <c r="K5" i="20" s="1"/>
  <c r="G54" i="7"/>
  <c r="G5" i="20" s="1"/>
  <c r="L53" i="7"/>
  <c r="H53" i="7"/>
  <c r="M52" i="7"/>
  <c r="I52" i="7"/>
  <c r="M51" i="7"/>
  <c r="I51" i="7"/>
  <c r="N50" i="7"/>
  <c r="J50" i="7"/>
  <c r="E50" i="7"/>
  <c r="K49" i="7"/>
  <c r="K3" i="20" s="1"/>
  <c r="G49" i="7"/>
  <c r="G3" i="20" s="1"/>
  <c r="L48" i="7"/>
  <c r="H48" i="7"/>
  <c r="L47" i="7"/>
  <c r="H47" i="7"/>
  <c r="M46" i="7"/>
  <c r="I46" i="7"/>
  <c r="D55" i="7"/>
  <c r="F54" i="7"/>
  <c r="F5" i="20" s="1"/>
  <c r="C55" i="7"/>
  <c r="C65" i="7" s="1"/>
  <c r="E49" i="7"/>
  <c r="E3" i="20" s="1"/>
  <c r="D48" i="7"/>
  <c r="C53" i="7"/>
  <c r="C63" i="7" s="1"/>
  <c r="L55" i="7"/>
  <c r="H55" i="7"/>
  <c r="M54" i="7"/>
  <c r="M5" i="20" s="1"/>
  <c r="I54" i="7"/>
  <c r="I5" i="20" s="1"/>
  <c r="N53" i="7"/>
  <c r="J53" i="7"/>
  <c r="D53" i="7"/>
  <c r="K52" i="7"/>
  <c r="G52" i="7"/>
  <c r="K51" i="7"/>
  <c r="G51" i="7"/>
  <c r="L50" i="7"/>
  <c r="H50" i="7"/>
  <c r="M49" i="7"/>
  <c r="M3" i="20" s="1"/>
  <c r="I49" i="7"/>
  <c r="I3" i="20" s="1"/>
  <c r="N48" i="7"/>
  <c r="J48" i="7"/>
  <c r="N47" i="7"/>
  <c r="J47" i="7"/>
  <c r="F47" i="7"/>
  <c r="K46" i="7"/>
  <c r="C52" i="7"/>
  <c r="E55" i="7"/>
  <c r="D54" i="7"/>
  <c r="D5" i="20" s="1"/>
  <c r="E51" i="7"/>
  <c r="F48" i="7"/>
  <c r="E47" i="7"/>
  <c r="D46" i="7"/>
  <c r="C48" i="7"/>
  <c r="C58" i="7" s="1"/>
  <c r="F52" i="7"/>
  <c r="D50" i="7"/>
  <c r="C46" i="7"/>
  <c r="C56" i="7" s="1"/>
  <c r="C51" i="7"/>
  <c r="C61" i="7" s="1"/>
  <c r="C47" i="7"/>
  <c r="C57" i="7" s="1"/>
  <c r="F53" i="7"/>
  <c r="E52" i="7"/>
  <c r="D51" i="7"/>
  <c r="F49" i="7"/>
  <c r="F3" i="20" s="1"/>
  <c r="E48" i="7"/>
  <c r="D47" i="7"/>
  <c r="C54" i="7"/>
  <c r="C50" i="7"/>
  <c r="C60" i="7" s="1"/>
  <c r="E53" i="7"/>
  <c r="D52" i="7"/>
  <c r="F50" i="7"/>
  <c r="S54" i="29" l="1"/>
  <c r="S55" i="29" s="1"/>
  <c r="R54" i="29"/>
  <c r="R55" i="29" s="1"/>
  <c r="V54" i="29"/>
  <c r="N54" i="29"/>
  <c r="N55" i="29" s="1"/>
  <c r="Q54" i="29"/>
  <c r="Q55" i="29" s="1"/>
  <c r="J54" i="29"/>
  <c r="W54" i="29"/>
  <c r="M54" i="29"/>
  <c r="M55" i="29" s="1"/>
  <c r="T54" i="29"/>
  <c r="T55" i="29" s="1"/>
  <c r="I54" i="29"/>
  <c r="I55" i="29" s="1"/>
  <c r="O54" i="29"/>
  <c r="O55" i="29" s="1"/>
  <c r="P54" i="29"/>
  <c r="P55" i="29" s="1"/>
  <c r="L54" i="29"/>
  <c r="K54" i="29"/>
  <c r="X54" i="29"/>
  <c r="G4" i="20"/>
  <c r="X38" i="29"/>
  <c r="X40" i="29" s="1"/>
  <c r="R49" i="26"/>
  <c r="P49" i="26"/>
  <c r="T49" i="26"/>
  <c r="Q49" i="26"/>
  <c r="O49" i="26"/>
  <c r="S49" i="26"/>
  <c r="W28" i="29"/>
  <c r="W38" i="29" s="1"/>
  <c r="N49" i="26"/>
  <c r="N38" i="29"/>
  <c r="P38" i="29"/>
  <c r="O38" i="29"/>
  <c r="Q38" i="29"/>
  <c r="M38" i="29"/>
  <c r="R38" i="29"/>
  <c r="T38" i="29"/>
  <c r="S38" i="29"/>
  <c r="V38" i="29"/>
  <c r="AF49" i="26"/>
  <c r="I38" i="29"/>
  <c r="L38" i="29"/>
  <c r="AG28" i="29"/>
  <c r="AG38" i="29" s="1"/>
  <c r="AG40" i="29" s="1"/>
  <c r="AE38" i="29"/>
  <c r="J38" i="29"/>
  <c r="K38" i="29"/>
  <c r="D4" i="20"/>
  <c r="K4" i="20"/>
  <c r="E4" i="20"/>
  <c r="I4" i="20"/>
  <c r="J4" i="20"/>
  <c r="L4" i="20"/>
  <c r="C64" i="7"/>
  <c r="C5" i="20"/>
  <c r="C59" i="7"/>
  <c r="C3" i="20"/>
  <c r="F4" i="20"/>
  <c r="C62" i="7"/>
  <c r="C4" i="20"/>
  <c r="H4" i="20"/>
  <c r="M4" i="20"/>
  <c r="N4" i="20"/>
  <c r="D56" i="7"/>
  <c r="E56" i="7" s="1"/>
  <c r="F56" i="7" s="1"/>
  <c r="G56" i="7" s="1"/>
  <c r="H56" i="7" s="1"/>
  <c r="I56" i="7" s="1"/>
  <c r="J56" i="7" s="1"/>
  <c r="K56" i="7" s="1"/>
  <c r="L56" i="7" s="1"/>
  <c r="M56" i="7" s="1"/>
  <c r="N56" i="7" s="1"/>
  <c r="D57" i="7"/>
  <c r="E57" i="7" s="1"/>
  <c r="F57" i="7" s="1"/>
  <c r="G57" i="7" s="1"/>
  <c r="H57" i="7" s="1"/>
  <c r="I57" i="7" s="1"/>
  <c r="J57" i="7" s="1"/>
  <c r="K57" i="7" s="1"/>
  <c r="L57" i="7" s="1"/>
  <c r="M57" i="7" s="1"/>
  <c r="N57" i="7" s="1"/>
  <c r="J55" i="29" l="1"/>
  <c r="AI54" i="29"/>
  <c r="AE54" i="29"/>
  <c r="F54" i="29"/>
  <c r="D58" i="7"/>
  <c r="E58" i="7" s="1"/>
  <c r="F58" i="7" s="1"/>
  <c r="G58" i="7" s="1"/>
  <c r="H58" i="7" s="1"/>
  <c r="I58" i="7" s="1"/>
  <c r="J58" i="7" s="1"/>
  <c r="K58" i="7" s="1"/>
  <c r="L58" i="7" s="1"/>
  <c r="M58" i="7" s="1"/>
  <c r="N58" i="7" s="1"/>
  <c r="K55" i="29" l="1"/>
  <c r="L55" i="29" s="1"/>
  <c r="V55" i="29" s="1"/>
  <c r="W55" i="29" s="1"/>
  <c r="X55" i="29" s="1"/>
  <c r="Y55" i="29" s="1"/>
  <c r="Z55" i="29" s="1"/>
  <c r="AA55" i="29" s="1"/>
  <c r="AB55" i="29" s="1"/>
  <c r="AC55" i="29" s="1"/>
  <c r="AD55" i="29" s="1"/>
  <c r="AE55" i="29" s="1"/>
  <c r="AF55" i="29" s="1"/>
  <c r="AG55" i="29" s="1"/>
  <c r="AH55" i="29" s="1"/>
  <c r="AI55" i="29" s="1"/>
  <c r="D59" i="7"/>
  <c r="E59" i="7" s="1"/>
  <c r="F59" i="7" s="1"/>
  <c r="G59" i="7" s="1"/>
  <c r="H59" i="7" s="1"/>
  <c r="I59" i="7" s="1"/>
  <c r="J59" i="7" s="1"/>
  <c r="K59" i="7" s="1"/>
  <c r="L59" i="7" s="1"/>
  <c r="M59" i="7" s="1"/>
  <c r="N59" i="7" s="1"/>
  <c r="D60" i="7" l="1"/>
  <c r="E60" i="7" s="1"/>
  <c r="F60" i="7" s="1"/>
  <c r="G60" i="7" s="1"/>
  <c r="H60" i="7" s="1"/>
  <c r="I60" i="7" s="1"/>
  <c r="J60" i="7" s="1"/>
  <c r="K60" i="7" s="1"/>
  <c r="L60" i="7" s="1"/>
  <c r="M60" i="7" s="1"/>
  <c r="N60" i="7" s="1"/>
  <c r="AG50" i="26"/>
  <c r="D61" i="7" l="1"/>
  <c r="E61" i="7" s="1"/>
  <c r="F61" i="7" s="1"/>
  <c r="G61" i="7" s="1"/>
  <c r="H61" i="7" s="1"/>
  <c r="I61" i="7" s="1"/>
  <c r="J61" i="7" s="1"/>
  <c r="K61" i="7" s="1"/>
  <c r="L61" i="7" s="1"/>
  <c r="M61" i="7" s="1"/>
  <c r="N61" i="7" s="1"/>
  <c r="G23" i="26"/>
  <c r="V23" i="26" l="1"/>
  <c r="AC23" i="26"/>
  <c r="Y23" i="26"/>
  <c r="AB23" i="26"/>
  <c r="X23" i="26"/>
  <c r="AA23" i="26"/>
  <c r="W23" i="26"/>
  <c r="AD23" i="26"/>
  <c r="Z23" i="26"/>
  <c r="G16" i="26"/>
  <c r="D62" i="7"/>
  <c r="E62" i="7" s="1"/>
  <c r="F62" i="7" s="1"/>
  <c r="G62" i="7" s="1"/>
  <c r="H62" i="7" s="1"/>
  <c r="I62" i="7" s="1"/>
  <c r="J62" i="7" s="1"/>
  <c r="K62" i="7" s="1"/>
  <c r="L62" i="7" s="1"/>
  <c r="M62" i="7" s="1"/>
  <c r="N62" i="7" s="1"/>
  <c r="V26" i="26"/>
  <c r="V16" i="26" l="1"/>
  <c r="AC16" i="26"/>
  <c r="Y16" i="26"/>
  <c r="AB16" i="26"/>
  <c r="X16" i="26"/>
  <c r="AA16" i="26"/>
  <c r="W16" i="26"/>
  <c r="AD16" i="26"/>
  <c r="Z16" i="26"/>
  <c r="D63" i="7"/>
  <c r="E63" i="7" s="1"/>
  <c r="F63" i="7" s="1"/>
  <c r="G63" i="7" s="1"/>
  <c r="H63" i="7" s="1"/>
  <c r="I63" i="7" s="1"/>
  <c r="J63" i="7" s="1"/>
  <c r="K63" i="7" s="1"/>
  <c r="L63" i="7" s="1"/>
  <c r="M63" i="7" s="1"/>
  <c r="N63" i="7" s="1"/>
  <c r="K50" i="26"/>
  <c r="K39" i="29" s="1"/>
  <c r="K40" i="29" s="1"/>
  <c r="N26" i="26"/>
  <c r="AF26" i="26" l="1"/>
  <c r="AH26" i="26" s="1"/>
  <c r="W20" i="29"/>
  <c r="F26" i="26"/>
  <c r="D64" i="7"/>
  <c r="E64" i="7" s="1"/>
  <c r="F64" i="7" s="1"/>
  <c r="G64" i="7" s="1"/>
  <c r="H64" i="7" s="1"/>
  <c r="I64" i="7" s="1"/>
  <c r="J64" i="7" s="1"/>
  <c r="K64" i="7" s="1"/>
  <c r="L64" i="7" s="1"/>
  <c r="M64" i="7" s="1"/>
  <c r="N64" i="7" s="1"/>
  <c r="D65" i="7"/>
  <c r="E65" i="7" s="1"/>
  <c r="F65" i="7" s="1"/>
  <c r="G65" i="7" s="1"/>
  <c r="H65" i="7" s="1"/>
  <c r="I65" i="7" s="1"/>
  <c r="J65" i="7" s="1"/>
  <c r="K65" i="7" s="1"/>
  <c r="L65" i="7" s="1"/>
  <c r="M65" i="7" s="1"/>
  <c r="N65" i="7" s="1"/>
  <c r="Z51" i="26"/>
  <c r="AC20" i="29" l="1"/>
  <c r="AB20" i="29"/>
  <c r="G22" i="26"/>
  <c r="V22" i="26" l="1"/>
  <c r="AC22" i="26"/>
  <c r="Y22" i="26"/>
  <c r="AB22" i="26"/>
  <c r="X22" i="26"/>
  <c r="AA22" i="26"/>
  <c r="W22" i="26"/>
  <c r="AD22" i="26"/>
  <c r="Z22" i="26"/>
  <c r="G24" i="26"/>
  <c r="AD15" i="26" l="1"/>
  <c r="Z15" i="26"/>
  <c r="AC15" i="26"/>
  <c r="Y15" i="26"/>
  <c r="AB15" i="26"/>
  <c r="X15" i="26"/>
  <c r="AA15" i="26"/>
  <c r="AC24" i="26"/>
  <c r="Y24" i="26"/>
  <c r="AB24" i="26"/>
  <c r="X24" i="26"/>
  <c r="AA24" i="26"/>
  <c r="W24" i="26"/>
  <c r="AD24" i="26"/>
  <c r="Z24" i="26"/>
  <c r="V24" i="26"/>
  <c r="V15" i="26"/>
  <c r="AL11" i="30" l="1"/>
  <c r="E11" i="30" s="1"/>
  <c r="V11" i="30" s="1"/>
  <c r="S24" i="30"/>
  <c r="O24" i="30"/>
  <c r="K24" i="30"/>
  <c r="R23" i="30"/>
  <c r="N23" i="30"/>
  <c r="J23" i="30"/>
  <c r="S22" i="30"/>
  <c r="O22" i="30"/>
  <c r="K22" i="30"/>
  <c r="Q21" i="30"/>
  <c r="M21" i="30"/>
  <c r="I21" i="30"/>
  <c r="S20" i="30"/>
  <c r="O20" i="30"/>
  <c r="K20" i="30"/>
  <c r="Q19" i="30"/>
  <c r="M19" i="30"/>
  <c r="I19" i="30"/>
  <c r="S18" i="30"/>
  <c r="O18" i="30"/>
  <c r="K18" i="30"/>
  <c r="Q17" i="30"/>
  <c r="M17" i="30"/>
  <c r="I17" i="30"/>
  <c r="S16" i="30"/>
  <c r="O16" i="30"/>
  <c r="K16" i="30"/>
  <c r="Q15" i="30"/>
  <c r="M15" i="30"/>
  <c r="I15" i="30"/>
  <c r="AL9" i="30"/>
  <c r="E9" i="30" s="1"/>
  <c r="V9" i="30" s="1"/>
  <c r="M24" i="30"/>
  <c r="P23" i="30"/>
  <c r="M22" i="30"/>
  <c r="S21" i="30"/>
  <c r="K21" i="30"/>
  <c r="I20" i="30"/>
  <c r="K19" i="30"/>
  <c r="M18" i="30"/>
  <c r="O17" i="30"/>
  <c r="Q16" i="30"/>
  <c r="I16" i="30"/>
  <c r="K15" i="30"/>
  <c r="AL10" i="30"/>
  <c r="E10" i="30" s="1"/>
  <c r="V10" i="30" s="1"/>
  <c r="R24" i="30"/>
  <c r="N24" i="30"/>
  <c r="J24" i="30"/>
  <c r="Q23" i="30"/>
  <c r="M23" i="30"/>
  <c r="I23" i="30"/>
  <c r="R22" i="30"/>
  <c r="N22" i="30"/>
  <c r="J22" i="30"/>
  <c r="T21" i="30"/>
  <c r="P21" i="30"/>
  <c r="L21" i="30"/>
  <c r="R20" i="30"/>
  <c r="N20" i="30"/>
  <c r="J20" i="30"/>
  <c r="T19" i="30"/>
  <c r="P19" i="30"/>
  <c r="L19" i="30"/>
  <c r="R18" i="30"/>
  <c r="N18" i="30"/>
  <c r="J18" i="30"/>
  <c r="T17" i="30"/>
  <c r="P17" i="30"/>
  <c r="L17" i="30"/>
  <c r="R16" i="30"/>
  <c r="N16" i="30"/>
  <c r="J16" i="30"/>
  <c r="T15" i="30"/>
  <c r="P15" i="30"/>
  <c r="L15" i="30"/>
  <c r="Q24" i="30"/>
  <c r="T23" i="30"/>
  <c r="L23" i="30"/>
  <c r="O21" i="30"/>
  <c r="Q20" i="30"/>
  <c r="S19" i="30"/>
  <c r="I18" i="30"/>
  <c r="K17" i="30"/>
  <c r="S15" i="30"/>
  <c r="AL12" i="30"/>
  <c r="E12" i="30" s="1"/>
  <c r="V12" i="30" s="1"/>
  <c r="T24" i="30"/>
  <c r="P24" i="30"/>
  <c r="L24" i="30"/>
  <c r="S23" i="30"/>
  <c r="O23" i="30"/>
  <c r="K23" i="30"/>
  <c r="T22" i="30"/>
  <c r="P22" i="30"/>
  <c r="L22" i="30"/>
  <c r="R21" i="30"/>
  <c r="N21" i="30"/>
  <c r="J21" i="30"/>
  <c r="T20" i="30"/>
  <c r="P20" i="30"/>
  <c r="L20" i="30"/>
  <c r="R19" i="30"/>
  <c r="N19" i="30"/>
  <c r="J19" i="30"/>
  <c r="T18" i="30"/>
  <c r="P18" i="30"/>
  <c r="L18" i="30"/>
  <c r="R17" i="30"/>
  <c r="N17" i="30"/>
  <c r="J17" i="30"/>
  <c r="T16" i="30"/>
  <c r="P16" i="30"/>
  <c r="L16" i="30"/>
  <c r="R15" i="30"/>
  <c r="N15" i="30"/>
  <c r="J15" i="30"/>
  <c r="R12" i="26"/>
  <c r="I24" i="30"/>
  <c r="Q22" i="30"/>
  <c r="I22" i="30"/>
  <c r="M20" i="30"/>
  <c r="O19" i="30"/>
  <c r="Q18" i="30"/>
  <c r="S17" i="30"/>
  <c r="M16" i="30"/>
  <c r="O15" i="30"/>
  <c r="O12" i="26"/>
  <c r="P11" i="30"/>
  <c r="S9" i="26"/>
  <c r="N12" i="30"/>
  <c r="I11" i="30"/>
  <c r="N11" i="30"/>
  <c r="T9" i="26"/>
  <c r="I9" i="26"/>
  <c r="J9" i="30"/>
  <c r="M10" i="30"/>
  <c r="M11" i="30"/>
  <c r="T11" i="26"/>
  <c r="AH15" i="30"/>
  <c r="M12" i="26"/>
  <c r="AH22" i="30"/>
  <c r="AJ22" i="30" s="1"/>
  <c r="AH21" i="30"/>
  <c r="AJ21" i="30" s="1"/>
  <c r="Q10" i="30"/>
  <c r="R9" i="30"/>
  <c r="AH11" i="30"/>
  <c r="AJ11" i="30" s="1"/>
  <c r="R11" i="26"/>
  <c r="N9" i="26"/>
  <c r="J9" i="26"/>
  <c r="N11" i="26"/>
  <c r="I11" i="26"/>
  <c r="N10" i="26"/>
  <c r="I10" i="26"/>
  <c r="L9" i="30"/>
  <c r="K10" i="26"/>
  <c r="M9" i="26"/>
  <c r="K12" i="30"/>
  <c r="J10" i="30"/>
  <c r="O12" i="30"/>
  <c r="T11" i="30"/>
  <c r="P10" i="30"/>
  <c r="AH12" i="30"/>
  <c r="AJ12" i="30" s="1"/>
  <c r="AH10" i="30"/>
  <c r="AJ10" i="30" s="1"/>
  <c r="L12" i="30"/>
  <c r="S9" i="30"/>
  <c r="P9" i="30"/>
  <c r="S10" i="30"/>
  <c r="M12" i="30"/>
  <c r="AH17" i="30"/>
  <c r="AJ17" i="30" s="1"/>
  <c r="J12" i="30"/>
  <c r="K9" i="30"/>
  <c r="N10" i="30"/>
  <c r="AH20" i="30"/>
  <c r="AJ20" i="30" s="1"/>
  <c r="AH9" i="30"/>
  <c r="AJ9" i="30" s="1"/>
  <c r="I12" i="30"/>
  <c r="J10" i="26"/>
  <c r="M11" i="26"/>
  <c r="P9" i="26"/>
  <c r="K9" i="26"/>
  <c r="O11" i="26"/>
  <c r="J11" i="26"/>
  <c r="O10" i="26"/>
  <c r="P11" i="26"/>
  <c r="AH24" i="30"/>
  <c r="AJ24" i="30" s="1"/>
  <c r="O10" i="30"/>
  <c r="M10" i="26"/>
  <c r="S10" i="26"/>
  <c r="T12" i="26"/>
  <c r="L11" i="30"/>
  <c r="P12" i="26"/>
  <c r="T9" i="30"/>
  <c r="N12" i="26"/>
  <c r="I9" i="30"/>
  <c r="L10" i="30"/>
  <c r="O11" i="30"/>
  <c r="R12" i="30"/>
  <c r="S11" i="26"/>
  <c r="S11" i="30"/>
  <c r="J12" i="26"/>
  <c r="J11" i="30"/>
  <c r="S12" i="30"/>
  <c r="Q9" i="30"/>
  <c r="T10" i="30"/>
  <c r="T12" i="30"/>
  <c r="AH18" i="30"/>
  <c r="AJ18" i="30" s="1"/>
  <c r="I10" i="30"/>
  <c r="L11" i="26"/>
  <c r="P10" i="26"/>
  <c r="L10" i="26"/>
  <c r="Q9" i="26"/>
  <c r="L9" i="26"/>
  <c r="K11" i="26"/>
  <c r="AH23" i="30"/>
  <c r="AJ23" i="30" s="1"/>
  <c r="Q12" i="26"/>
  <c r="R10" i="26"/>
  <c r="Q11" i="26"/>
  <c r="P12" i="30"/>
  <c r="Q12" i="30"/>
  <c r="K11" i="30"/>
  <c r="R11" i="30"/>
  <c r="L12" i="26"/>
  <c r="S12" i="26"/>
  <c r="I12" i="26"/>
  <c r="O9" i="30"/>
  <c r="R10" i="30"/>
  <c r="AH19" i="30"/>
  <c r="AJ19" i="30" s="1"/>
  <c r="Q10" i="26"/>
  <c r="T10" i="26"/>
  <c r="N9" i="30"/>
  <c r="K12" i="26"/>
  <c r="Q11" i="30"/>
  <c r="M9" i="30"/>
  <c r="AH16" i="30"/>
  <c r="AJ16" i="30" s="1"/>
  <c r="K10" i="30"/>
  <c r="O9" i="26"/>
  <c r="R9" i="26"/>
  <c r="F17" i="30"/>
  <c r="W17" i="30" s="1"/>
  <c r="F36" i="30"/>
  <c r="W36" i="30" s="1"/>
  <c r="F24" i="30"/>
  <c r="W24" i="30" s="1"/>
  <c r="F35" i="30"/>
  <c r="W35" i="30" s="1"/>
  <c r="F23" i="30"/>
  <c r="W23" i="30" s="1"/>
  <c r="F15" i="30"/>
  <c r="W15" i="30" s="1"/>
  <c r="F34" i="30"/>
  <c r="W34" i="30" s="1"/>
  <c r="F20" i="30"/>
  <c r="W20" i="30" s="1"/>
  <c r="F12" i="30"/>
  <c r="W12" i="30" s="1"/>
  <c r="F21" i="30"/>
  <c r="W21" i="30" s="1"/>
  <c r="F18" i="30"/>
  <c r="W18" i="30" s="1"/>
  <c r="F10" i="30"/>
  <c r="W10" i="30" s="1"/>
  <c r="F11" i="30"/>
  <c r="W11" i="30" s="1"/>
  <c r="F9" i="30"/>
  <c r="W9" i="30" s="1"/>
  <c r="F19" i="30"/>
  <c r="W19" i="30" s="1"/>
  <c r="F16" i="30"/>
  <c r="W16" i="30" s="1"/>
  <c r="F22" i="30"/>
  <c r="W22" i="30" s="1"/>
  <c r="AF9" i="26"/>
  <c r="AH9" i="26" s="1"/>
  <c r="AF10" i="26"/>
  <c r="AH10" i="26" s="1"/>
  <c r="AF11" i="26"/>
  <c r="AH11" i="26" s="1"/>
  <c r="AF12" i="26"/>
  <c r="AH12" i="26" s="1"/>
  <c r="F11" i="26"/>
  <c r="F12" i="26"/>
  <c r="F36" i="26"/>
  <c r="F34" i="26"/>
  <c r="F9" i="26"/>
  <c r="F35" i="26"/>
  <c r="F10" i="26"/>
  <c r="AF58" i="26"/>
  <c r="AF59" i="26"/>
  <c r="G59" i="26"/>
  <c r="G57" i="26"/>
  <c r="N25" i="30" l="1"/>
  <c r="N27" i="30" s="1"/>
  <c r="J25" i="30"/>
  <c r="J27" i="30" s="1"/>
  <c r="O25" i="30"/>
  <c r="O27" i="30" s="1"/>
  <c r="W25" i="30"/>
  <c r="W27" i="30" s="1"/>
  <c r="S25" i="30"/>
  <c r="S27" i="30" s="1"/>
  <c r="K25" i="30"/>
  <c r="K27" i="30" s="1"/>
  <c r="L25" i="30"/>
  <c r="L27" i="30" s="1"/>
  <c r="I25" i="30"/>
  <c r="I27" i="30" s="1"/>
  <c r="AH25" i="30"/>
  <c r="AJ15" i="30"/>
  <c r="AJ25" i="30" s="1"/>
  <c r="P25" i="30"/>
  <c r="P27" i="30" s="1"/>
  <c r="M25" i="30"/>
  <c r="M27" i="30" s="1"/>
  <c r="R25" i="30"/>
  <c r="R27" i="30" s="1"/>
  <c r="T25" i="30"/>
  <c r="T27" i="30" s="1"/>
  <c r="Q25" i="30"/>
  <c r="Q27" i="30" s="1"/>
  <c r="Z58" i="26"/>
  <c r="AD58" i="26" s="1"/>
  <c r="AG58" i="26" s="1"/>
  <c r="V58" i="26"/>
  <c r="Z59" i="26"/>
  <c r="AD59" i="26" s="1"/>
  <c r="AG59" i="26" s="1"/>
  <c r="V59" i="26"/>
  <c r="Y57" i="26"/>
  <c r="AC57" i="26" s="1"/>
  <c r="V57" i="26"/>
  <c r="X59" i="26"/>
  <c r="AB59" i="26" s="1"/>
  <c r="Y59" i="26"/>
  <c r="AC59" i="26" s="1"/>
  <c r="X58" i="26"/>
  <c r="AB58" i="26" s="1"/>
  <c r="Z57" i="26"/>
  <c r="AD57" i="26" s="1"/>
  <c r="AG57" i="26" s="1"/>
  <c r="Y58" i="26"/>
  <c r="AC58" i="26" s="1"/>
  <c r="W57" i="26"/>
  <c r="AA57" i="26" s="1"/>
  <c r="X57" i="26"/>
  <c r="AB57" i="26" s="1"/>
  <c r="W59" i="26"/>
  <c r="AA59" i="26" s="1"/>
  <c r="W58" i="26"/>
  <c r="AA58" i="26" s="1"/>
  <c r="AL27" i="30" l="1"/>
  <c r="AH27" i="30"/>
  <c r="N18" i="29"/>
  <c r="R18" i="29"/>
  <c r="O10" i="29"/>
  <c r="S10" i="29"/>
  <c r="P11" i="29"/>
  <c r="T11" i="29"/>
  <c r="M12" i="29"/>
  <c r="Q12" i="29"/>
  <c r="N13" i="29"/>
  <c r="R13" i="29"/>
  <c r="O14" i="29"/>
  <c r="S14" i="29"/>
  <c r="P15" i="29"/>
  <c r="T15" i="29"/>
  <c r="M16" i="29"/>
  <c r="Q16" i="29"/>
  <c r="N17" i="29"/>
  <c r="R17" i="29"/>
  <c r="O18" i="29"/>
  <c r="S18" i="29"/>
  <c r="P10" i="29"/>
  <c r="T10" i="29"/>
  <c r="M11" i="29"/>
  <c r="Q11" i="29"/>
  <c r="N12" i="29"/>
  <c r="R12" i="29"/>
  <c r="O13" i="29"/>
  <c r="S13" i="29"/>
  <c r="P14" i="29"/>
  <c r="T14" i="29"/>
  <c r="M15" i="29"/>
  <c r="Q15" i="29"/>
  <c r="N16" i="29"/>
  <c r="R16" i="29"/>
  <c r="O17" i="29"/>
  <c r="S17" i="29"/>
  <c r="P18" i="29"/>
  <c r="T18" i="29"/>
  <c r="M10" i="29"/>
  <c r="Q10" i="29"/>
  <c r="N11" i="29"/>
  <c r="R11" i="29"/>
  <c r="O12" i="29"/>
  <c r="S12" i="29"/>
  <c r="P13" i="29"/>
  <c r="T13" i="29"/>
  <c r="M14" i="29"/>
  <c r="Q14" i="29"/>
  <c r="N15" i="29"/>
  <c r="R15" i="29"/>
  <c r="O16" i="29"/>
  <c r="S16" i="29"/>
  <c r="P17" i="29"/>
  <c r="T17" i="29"/>
  <c r="R10" i="29"/>
  <c r="Q17" i="29"/>
  <c r="S11" i="29"/>
  <c r="P12" i="29"/>
  <c r="M13" i="29"/>
  <c r="N14" i="29"/>
  <c r="M18" i="29"/>
  <c r="S15" i="29"/>
  <c r="M17" i="29"/>
  <c r="T16" i="29"/>
  <c r="T12" i="29"/>
  <c r="Q13" i="29"/>
  <c r="R14" i="29"/>
  <c r="O15" i="29"/>
  <c r="N10" i="29"/>
  <c r="P16" i="29"/>
  <c r="Q18" i="29"/>
  <c r="O11" i="29"/>
  <c r="Q9" i="29"/>
  <c r="M9" i="29"/>
  <c r="P9" i="29"/>
  <c r="T9" i="29"/>
  <c r="R9" i="29"/>
  <c r="N9" i="29"/>
  <c r="S9" i="29"/>
  <c r="O9" i="29"/>
  <c r="AE16" i="29"/>
  <c r="AG16" i="29" s="1"/>
  <c r="AE17" i="29"/>
  <c r="AG17" i="29" s="1"/>
  <c r="AE12" i="29"/>
  <c r="AG12" i="29" s="1"/>
  <c r="AE10" i="29"/>
  <c r="AG10" i="29" s="1"/>
  <c r="AE13" i="29"/>
  <c r="AG13" i="29" s="1"/>
  <c r="AE9" i="29"/>
  <c r="AE18" i="29"/>
  <c r="AG18" i="29" s="1"/>
  <c r="AE15" i="29"/>
  <c r="AG15" i="29" s="1"/>
  <c r="AE14" i="29"/>
  <c r="AG14" i="29" s="1"/>
  <c r="AE11" i="29"/>
  <c r="AG11" i="29" s="1"/>
  <c r="F16" i="29"/>
  <c r="F11" i="29"/>
  <c r="F9" i="29"/>
  <c r="F17" i="29"/>
  <c r="F14" i="29"/>
  <c r="F12" i="29"/>
  <c r="F10" i="29"/>
  <c r="F15" i="29"/>
  <c r="F13" i="29"/>
  <c r="F18" i="29"/>
  <c r="M15" i="26"/>
  <c r="V9" i="29" s="1"/>
  <c r="T24" i="26"/>
  <c r="P24" i="26"/>
  <c r="R23" i="26"/>
  <c r="T22" i="26"/>
  <c r="P22" i="26"/>
  <c r="R21" i="26"/>
  <c r="T20" i="26"/>
  <c r="P20" i="26"/>
  <c r="R19" i="26"/>
  <c r="T18" i="26"/>
  <c r="P18" i="26"/>
  <c r="R17" i="26"/>
  <c r="T16" i="26"/>
  <c r="P16" i="26"/>
  <c r="R15" i="26"/>
  <c r="J24" i="26"/>
  <c r="J18" i="29" s="1"/>
  <c r="K23" i="26"/>
  <c r="K17" i="29" s="1"/>
  <c r="L22" i="26"/>
  <c r="L16" i="29" s="1"/>
  <c r="M21" i="26"/>
  <c r="V15" i="29" s="1"/>
  <c r="I21" i="26"/>
  <c r="I15" i="29" s="1"/>
  <c r="J20" i="26"/>
  <c r="J14" i="29" s="1"/>
  <c r="K19" i="26"/>
  <c r="K13" i="29" s="1"/>
  <c r="L18" i="26"/>
  <c r="L12" i="29" s="1"/>
  <c r="M17" i="26"/>
  <c r="V11" i="29" s="1"/>
  <c r="I17" i="26"/>
  <c r="I11" i="29" s="1"/>
  <c r="J16" i="26"/>
  <c r="J10" i="29" s="1"/>
  <c r="K15" i="26"/>
  <c r="K9" i="29" s="1"/>
  <c r="L23" i="26"/>
  <c r="L17" i="29" s="1"/>
  <c r="J21" i="26"/>
  <c r="J15" i="29" s="1"/>
  <c r="M18" i="26"/>
  <c r="V12" i="29" s="1"/>
  <c r="K16" i="26"/>
  <c r="K10" i="29" s="1"/>
  <c r="S24" i="26"/>
  <c r="O24" i="26"/>
  <c r="Q23" i="26"/>
  <c r="S22" i="26"/>
  <c r="O22" i="26"/>
  <c r="Q21" i="26"/>
  <c r="S20" i="26"/>
  <c r="O20" i="26"/>
  <c r="Q19" i="26"/>
  <c r="S18" i="26"/>
  <c r="O18" i="26"/>
  <c r="Q17" i="26"/>
  <c r="S16" i="26"/>
  <c r="O16" i="26"/>
  <c r="Q15" i="26"/>
  <c r="M24" i="26"/>
  <c r="V18" i="29" s="1"/>
  <c r="I24" i="26"/>
  <c r="I18" i="29" s="1"/>
  <c r="J23" i="26"/>
  <c r="J17" i="29" s="1"/>
  <c r="K22" i="26"/>
  <c r="K16" i="29" s="1"/>
  <c r="L21" i="26"/>
  <c r="L15" i="29" s="1"/>
  <c r="M20" i="26"/>
  <c r="V14" i="29" s="1"/>
  <c r="I20" i="26"/>
  <c r="I14" i="29" s="1"/>
  <c r="J19" i="26"/>
  <c r="J13" i="29" s="1"/>
  <c r="K18" i="26"/>
  <c r="K12" i="29" s="1"/>
  <c r="L17" i="26"/>
  <c r="L11" i="29" s="1"/>
  <c r="M16" i="26"/>
  <c r="V10" i="29" s="1"/>
  <c r="I16" i="26"/>
  <c r="I10" i="29" s="1"/>
  <c r="J15" i="26"/>
  <c r="J9" i="29" s="1"/>
  <c r="M22" i="26"/>
  <c r="V16" i="29" s="1"/>
  <c r="K20" i="26"/>
  <c r="K14" i="29" s="1"/>
  <c r="I18" i="26"/>
  <c r="I12" i="29" s="1"/>
  <c r="L15" i="26"/>
  <c r="L9" i="29" s="1"/>
  <c r="R24" i="26"/>
  <c r="T23" i="26"/>
  <c r="P23" i="26"/>
  <c r="R22" i="26"/>
  <c r="T21" i="26"/>
  <c r="P21" i="26"/>
  <c r="R20" i="26"/>
  <c r="T19" i="26"/>
  <c r="P19" i="26"/>
  <c r="R18" i="26"/>
  <c r="T17" i="26"/>
  <c r="P17" i="26"/>
  <c r="R16" i="26"/>
  <c r="T15" i="26"/>
  <c r="P15" i="26"/>
  <c r="L24" i="26"/>
  <c r="L18" i="29" s="1"/>
  <c r="M23" i="26"/>
  <c r="V17" i="29" s="1"/>
  <c r="I23" i="26"/>
  <c r="I17" i="29" s="1"/>
  <c r="J22" i="26"/>
  <c r="J16" i="29" s="1"/>
  <c r="K21" i="26"/>
  <c r="K15" i="29" s="1"/>
  <c r="L20" i="26"/>
  <c r="L14" i="29" s="1"/>
  <c r="M19" i="26"/>
  <c r="V13" i="29" s="1"/>
  <c r="I19" i="26"/>
  <c r="I13" i="29" s="1"/>
  <c r="J18" i="26"/>
  <c r="J12" i="29" s="1"/>
  <c r="K17" i="26"/>
  <c r="K11" i="29" s="1"/>
  <c r="L16" i="26"/>
  <c r="L10" i="29" s="1"/>
  <c r="I15" i="26"/>
  <c r="Q24" i="26"/>
  <c r="S23" i="26"/>
  <c r="O23" i="26"/>
  <c r="Q22" i="26"/>
  <c r="S21" i="26"/>
  <c r="O21" i="26"/>
  <c r="Q20" i="26"/>
  <c r="S19" i="26"/>
  <c r="O19" i="26"/>
  <c r="Q18" i="26"/>
  <c r="S17" i="26"/>
  <c r="O17" i="26"/>
  <c r="Q16" i="26"/>
  <c r="S15" i="26"/>
  <c r="O15" i="26"/>
  <c r="K24" i="26"/>
  <c r="K18" i="29" s="1"/>
  <c r="I22" i="26"/>
  <c r="I16" i="29" s="1"/>
  <c r="L19" i="26"/>
  <c r="L13" i="29" s="1"/>
  <c r="J17" i="26"/>
  <c r="J11" i="29" s="1"/>
  <c r="AF16" i="26"/>
  <c r="AF17" i="26"/>
  <c r="AF23" i="26"/>
  <c r="AF15" i="26"/>
  <c r="AH15" i="26" s="1"/>
  <c r="AF19" i="26"/>
  <c r="AF22" i="26"/>
  <c r="AF20" i="26"/>
  <c r="AF24" i="26"/>
  <c r="AF18" i="26"/>
  <c r="AF21" i="26"/>
  <c r="F23" i="26"/>
  <c r="F21" i="26"/>
  <c r="F16" i="26"/>
  <c r="F19" i="26"/>
  <c r="F17" i="26"/>
  <c r="F22" i="26"/>
  <c r="F24" i="26"/>
  <c r="F15" i="26"/>
  <c r="F18" i="26"/>
  <c r="F20" i="26"/>
  <c r="G69" i="7"/>
  <c r="K69" i="7"/>
  <c r="D70" i="7"/>
  <c r="H70" i="7"/>
  <c r="L70" i="7"/>
  <c r="E71" i="7"/>
  <c r="I71" i="7"/>
  <c r="M71" i="7"/>
  <c r="F72" i="7"/>
  <c r="J72" i="7"/>
  <c r="N72" i="7"/>
  <c r="G73" i="7"/>
  <c r="K73" i="7"/>
  <c r="D74" i="7"/>
  <c r="H74" i="7"/>
  <c r="L74" i="7"/>
  <c r="E75" i="7"/>
  <c r="I75" i="7"/>
  <c r="M75" i="7"/>
  <c r="F76" i="7"/>
  <c r="J76" i="7"/>
  <c r="N76" i="7"/>
  <c r="G77" i="7"/>
  <c r="K77" i="7"/>
  <c r="D78" i="7"/>
  <c r="H78" i="7"/>
  <c r="L78" i="7"/>
  <c r="C71" i="7"/>
  <c r="C81" i="7" s="1"/>
  <c r="C75" i="7"/>
  <c r="C85" i="7" s="1"/>
  <c r="C69" i="7"/>
  <c r="C79" i="7" s="1"/>
  <c r="D69" i="7"/>
  <c r="E70" i="7"/>
  <c r="F71" i="7"/>
  <c r="G72" i="7"/>
  <c r="H73" i="7"/>
  <c r="I74" i="7"/>
  <c r="J75" i="7"/>
  <c r="K76" i="7"/>
  <c r="H77" i="7"/>
  <c r="I78" i="7"/>
  <c r="C76" i="7"/>
  <c r="C86" i="7" s="1"/>
  <c r="E69" i="7"/>
  <c r="I69" i="7"/>
  <c r="M69" i="7"/>
  <c r="F70" i="7"/>
  <c r="J70" i="7"/>
  <c r="N70" i="7"/>
  <c r="G71" i="7"/>
  <c r="K71" i="7"/>
  <c r="D72" i="7"/>
  <c r="H72" i="7"/>
  <c r="L72" i="7"/>
  <c r="E73" i="7"/>
  <c r="I73" i="7"/>
  <c r="M73" i="7"/>
  <c r="F74" i="7"/>
  <c r="J74" i="7"/>
  <c r="N74" i="7"/>
  <c r="G75" i="7"/>
  <c r="K75" i="7"/>
  <c r="D76" i="7"/>
  <c r="H76" i="7"/>
  <c r="L76" i="7"/>
  <c r="E77" i="7"/>
  <c r="I77" i="7"/>
  <c r="M77" i="7"/>
  <c r="F78" i="7"/>
  <c r="J78" i="7"/>
  <c r="N78" i="7"/>
  <c r="C73" i="7"/>
  <c r="C83" i="7" s="1"/>
  <c r="C77" i="7"/>
  <c r="C87" i="7" s="1"/>
  <c r="H69" i="7"/>
  <c r="M70" i="7"/>
  <c r="N71" i="7"/>
  <c r="D73" i="7"/>
  <c r="E74" i="7"/>
  <c r="F75" i="7"/>
  <c r="G76" i="7"/>
  <c r="L77" i="7"/>
  <c r="M78" i="7"/>
  <c r="F69" i="7"/>
  <c r="J69" i="7"/>
  <c r="N69" i="7"/>
  <c r="G70" i="7"/>
  <c r="K70" i="7"/>
  <c r="D71" i="7"/>
  <c r="H71" i="7"/>
  <c r="L71" i="7"/>
  <c r="E72" i="7"/>
  <c r="I72" i="7"/>
  <c r="M72" i="7"/>
  <c r="F73" i="7"/>
  <c r="J73" i="7"/>
  <c r="N73" i="7"/>
  <c r="G74" i="7"/>
  <c r="K74" i="7"/>
  <c r="D75" i="7"/>
  <c r="H75" i="7"/>
  <c r="L75" i="7"/>
  <c r="E76" i="7"/>
  <c r="I76" i="7"/>
  <c r="M76" i="7"/>
  <c r="F77" i="7"/>
  <c r="J77" i="7"/>
  <c r="N77" i="7"/>
  <c r="G78" i="7"/>
  <c r="K78" i="7"/>
  <c r="C70" i="7"/>
  <c r="C80" i="7" s="1"/>
  <c r="C74" i="7"/>
  <c r="C84" i="7" s="1"/>
  <c r="C78" i="7"/>
  <c r="C88" i="7" s="1"/>
  <c r="L69" i="7"/>
  <c r="I70" i="7"/>
  <c r="J71" i="7"/>
  <c r="K72" i="7"/>
  <c r="L73" i="7"/>
  <c r="M74" i="7"/>
  <c r="N75" i="7"/>
  <c r="D77" i="7"/>
  <c r="E78" i="7"/>
  <c r="C72" i="7"/>
  <c r="C82" i="7" s="1"/>
  <c r="N22" i="26"/>
  <c r="W16" i="29" s="1"/>
  <c r="N18" i="26"/>
  <c r="W12" i="29" s="1"/>
  <c r="N24" i="26"/>
  <c r="W18" i="29" s="1"/>
  <c r="N20" i="26"/>
  <c r="W14" i="29" s="1"/>
  <c r="N21" i="26"/>
  <c r="W15" i="29" s="1"/>
  <c r="N17" i="26"/>
  <c r="W11" i="29" s="1"/>
  <c r="N23" i="26"/>
  <c r="W17" i="29" s="1"/>
  <c r="N16" i="26"/>
  <c r="W10" i="29" s="1"/>
  <c r="N19" i="26"/>
  <c r="W13" i="29" s="1"/>
  <c r="N15" i="26"/>
  <c r="I9" i="29" l="1"/>
  <c r="I19" i="29" s="1"/>
  <c r="I25" i="26"/>
  <c r="I27" i="26" s="1"/>
  <c r="P25" i="26"/>
  <c r="P27" i="26" s="1"/>
  <c r="W9" i="29"/>
  <c r="W19" i="29" s="1"/>
  <c r="W21" i="29" s="1"/>
  <c r="N25" i="26"/>
  <c r="N27" i="26" s="1"/>
  <c r="R25" i="26"/>
  <c r="R27" i="26" s="1"/>
  <c r="Q25" i="26"/>
  <c r="Q27" i="26" s="1"/>
  <c r="O25" i="26"/>
  <c r="O27" i="26" s="1"/>
  <c r="T25" i="26"/>
  <c r="T27" i="26" s="1"/>
  <c r="S25" i="26"/>
  <c r="S27" i="26" s="1"/>
  <c r="O19" i="29"/>
  <c r="O21" i="29" s="1"/>
  <c r="P19" i="29"/>
  <c r="P21" i="29" s="1"/>
  <c r="T19" i="29"/>
  <c r="T21" i="29" s="1"/>
  <c r="S19" i="29"/>
  <c r="S21" i="29" s="1"/>
  <c r="N19" i="29"/>
  <c r="N21" i="29" s="1"/>
  <c r="V19" i="29"/>
  <c r="V21" i="29" s="1"/>
  <c r="M19" i="29"/>
  <c r="M21" i="29" s="1"/>
  <c r="R19" i="29"/>
  <c r="R21" i="29" s="1"/>
  <c r="Q19" i="29"/>
  <c r="Q21" i="29" s="1"/>
  <c r="K19" i="29"/>
  <c r="K21" i="29" s="1"/>
  <c r="J19" i="29"/>
  <c r="J21" i="29" s="1"/>
  <c r="AG9" i="29"/>
  <c r="AG19" i="29" s="1"/>
  <c r="AE19" i="29"/>
  <c r="L19" i="29"/>
  <c r="L21" i="29" s="1"/>
  <c r="D80" i="7"/>
  <c r="E80" i="7" s="1"/>
  <c r="F80" i="7" s="1"/>
  <c r="G80" i="7" s="1"/>
  <c r="H80" i="7" s="1"/>
  <c r="I80" i="7" s="1"/>
  <c r="J80" i="7" s="1"/>
  <c r="K80" i="7" s="1"/>
  <c r="L80" i="7" s="1"/>
  <c r="M80" i="7" s="1"/>
  <c r="N80" i="7" s="1"/>
  <c r="D84" i="7"/>
  <c r="E84" i="7" s="1"/>
  <c r="F84" i="7" s="1"/>
  <c r="G84" i="7" s="1"/>
  <c r="H84" i="7" s="1"/>
  <c r="I84" i="7" s="1"/>
  <c r="J84" i="7" s="1"/>
  <c r="K84" i="7" s="1"/>
  <c r="L84" i="7" s="1"/>
  <c r="M84" i="7" s="1"/>
  <c r="N84" i="7" s="1"/>
  <c r="D88" i="7"/>
  <c r="E88" i="7" s="1"/>
  <c r="F88" i="7" s="1"/>
  <c r="G88" i="7" s="1"/>
  <c r="H88" i="7" s="1"/>
  <c r="I88" i="7" s="1"/>
  <c r="J88" i="7" s="1"/>
  <c r="K88" i="7" s="1"/>
  <c r="L88" i="7" s="1"/>
  <c r="M88" i="7" s="1"/>
  <c r="N88" i="7" s="1"/>
  <c r="L25" i="26"/>
  <c r="L27" i="26" s="1"/>
  <c r="J25" i="26"/>
  <c r="J27" i="26" s="1"/>
  <c r="K25" i="26"/>
  <c r="K27" i="26" s="1"/>
  <c r="M25" i="26"/>
  <c r="D82" i="7"/>
  <c r="E82" i="7" s="1"/>
  <c r="F82" i="7" s="1"/>
  <c r="G82" i="7" s="1"/>
  <c r="H82" i="7" s="1"/>
  <c r="I82" i="7" s="1"/>
  <c r="J82" i="7" s="1"/>
  <c r="K82" i="7" s="1"/>
  <c r="L82" i="7" s="1"/>
  <c r="M82" i="7" s="1"/>
  <c r="N82" i="7" s="1"/>
  <c r="M49" i="26"/>
  <c r="I49" i="26"/>
  <c r="D79" i="7"/>
  <c r="E79" i="7" s="1"/>
  <c r="F79" i="7" s="1"/>
  <c r="G79" i="7" s="1"/>
  <c r="H79" i="7" s="1"/>
  <c r="I79" i="7" s="1"/>
  <c r="J79" i="7" s="1"/>
  <c r="K79" i="7" s="1"/>
  <c r="L79" i="7" s="1"/>
  <c r="M79" i="7" s="1"/>
  <c r="N79" i="7" s="1"/>
  <c r="D81" i="7"/>
  <c r="E81" i="7" s="1"/>
  <c r="F81" i="7" s="1"/>
  <c r="G81" i="7" s="1"/>
  <c r="H81" i="7" s="1"/>
  <c r="I81" i="7" s="1"/>
  <c r="J81" i="7" s="1"/>
  <c r="K81" i="7" s="1"/>
  <c r="L81" i="7" s="1"/>
  <c r="M81" i="7" s="1"/>
  <c r="N81" i="7" s="1"/>
  <c r="D87" i="7"/>
  <c r="E87" i="7" s="1"/>
  <c r="F87" i="7" s="1"/>
  <c r="G87" i="7" s="1"/>
  <c r="H87" i="7" s="1"/>
  <c r="I87" i="7" s="1"/>
  <c r="J87" i="7" s="1"/>
  <c r="K87" i="7" s="1"/>
  <c r="L87" i="7" s="1"/>
  <c r="M87" i="7" s="1"/>
  <c r="N87" i="7" s="1"/>
  <c r="D83" i="7"/>
  <c r="E83" i="7" s="1"/>
  <c r="F83" i="7" s="1"/>
  <c r="G83" i="7" s="1"/>
  <c r="H83" i="7" s="1"/>
  <c r="I83" i="7" s="1"/>
  <c r="J83" i="7" s="1"/>
  <c r="K83" i="7" s="1"/>
  <c r="L83" i="7" s="1"/>
  <c r="M83" i="7" s="1"/>
  <c r="N83" i="7" s="1"/>
  <c r="D86" i="7"/>
  <c r="E86" i="7" s="1"/>
  <c r="F86" i="7" s="1"/>
  <c r="G86" i="7" s="1"/>
  <c r="H86" i="7" s="1"/>
  <c r="I86" i="7" s="1"/>
  <c r="J86" i="7" s="1"/>
  <c r="K86" i="7" s="1"/>
  <c r="L86" i="7" s="1"/>
  <c r="M86" i="7" s="1"/>
  <c r="N86" i="7" s="1"/>
  <c r="D85" i="7"/>
  <c r="E85" i="7" s="1"/>
  <c r="F85" i="7" s="1"/>
  <c r="G85" i="7" s="1"/>
  <c r="H85" i="7" s="1"/>
  <c r="I85" i="7" s="1"/>
  <c r="J85" i="7" s="1"/>
  <c r="K85" i="7" s="1"/>
  <c r="L85" i="7" s="1"/>
  <c r="M85" i="7" s="1"/>
  <c r="N85" i="7" s="1"/>
  <c r="AH45" i="26"/>
  <c r="AH23" i="26"/>
  <c r="AH46" i="26"/>
  <c r="AH43" i="26"/>
  <c r="AH22" i="26"/>
  <c r="AH17" i="26"/>
  <c r="AH44" i="26"/>
  <c r="AH24" i="26"/>
  <c r="AH16" i="26"/>
  <c r="K49" i="26"/>
  <c r="K51" i="26" s="1"/>
  <c r="L49" i="26"/>
  <c r="J49" i="26"/>
  <c r="M27" i="26" l="1"/>
  <c r="AJ27" i="26" s="1"/>
  <c r="AI21" i="29"/>
  <c r="I21" i="29"/>
  <c r="I22" i="29" s="1"/>
  <c r="J22" i="29" s="1"/>
  <c r="K22" i="29" s="1"/>
  <c r="L22" i="29" s="1"/>
  <c r="V22" i="29" s="1"/>
  <c r="W22" i="29" s="1"/>
  <c r="X22" i="29" s="1"/>
  <c r="Y22" i="29" s="1"/>
  <c r="Z22" i="29" s="1"/>
  <c r="AA22" i="29" s="1"/>
  <c r="AF27" i="26"/>
  <c r="AF25" i="26"/>
  <c r="AH39" i="26"/>
  <c r="AH40" i="26"/>
  <c r="AH41" i="26"/>
  <c r="AH42" i="26"/>
  <c r="AH47" i="26"/>
  <c r="AH48" i="26"/>
  <c r="AE21" i="29" l="1"/>
  <c r="AH49" i="26"/>
  <c r="AG49" i="26"/>
  <c r="G17" i="26"/>
  <c r="AH21" i="26"/>
  <c r="G21" i="26"/>
  <c r="AH18" i="26"/>
  <c r="G18" i="26"/>
  <c r="AH20" i="26"/>
  <c r="G20" i="26"/>
  <c r="AH19" i="26"/>
  <c r="G19" i="26"/>
  <c r="C45" i="20"/>
  <c r="D24" i="20"/>
  <c r="AH25" i="26" l="1"/>
  <c r="AC19" i="26"/>
  <c r="Y19" i="26"/>
  <c r="AB19" i="26"/>
  <c r="X19" i="26"/>
  <c r="AA19" i="26"/>
  <c r="W19" i="26"/>
  <c r="AD19" i="26"/>
  <c r="Z19" i="26"/>
  <c r="V18" i="26"/>
  <c r="AC18" i="26"/>
  <c r="Y18" i="26"/>
  <c r="AB18" i="26"/>
  <c r="X18" i="26"/>
  <c r="AA18" i="26"/>
  <c r="W18" i="26"/>
  <c r="AD18" i="26"/>
  <c r="Z18" i="26"/>
  <c r="V17" i="26"/>
  <c r="AC17" i="26"/>
  <c r="Y17" i="26"/>
  <c r="AB17" i="26"/>
  <c r="X17" i="26"/>
  <c r="AA17" i="26"/>
  <c r="W17" i="26"/>
  <c r="AD17" i="26"/>
  <c r="Z17" i="26"/>
  <c r="V20" i="26"/>
  <c r="AC20" i="26"/>
  <c r="Y20" i="26"/>
  <c r="AB20" i="26"/>
  <c r="X20" i="26"/>
  <c r="AA20" i="26"/>
  <c r="W20" i="26"/>
  <c r="AD20" i="26"/>
  <c r="Z20" i="26"/>
  <c r="V21" i="26"/>
  <c r="AC21" i="26"/>
  <c r="Y21" i="26"/>
  <c r="AB21" i="26"/>
  <c r="X21" i="26"/>
  <c r="AA21" i="26"/>
  <c r="W21" i="26"/>
  <c r="AD21" i="26"/>
  <c r="Z21" i="26"/>
  <c r="V19" i="26"/>
  <c r="X25" i="26" l="1"/>
  <c r="W25" i="26"/>
  <c r="Y25" i="26"/>
  <c r="V25" i="26"/>
  <c r="V27" i="26" s="1"/>
  <c r="N160" i="23" l="1"/>
  <c r="N161" i="23"/>
  <c r="N162" i="23"/>
  <c r="N163" i="23"/>
  <c r="N164" i="23"/>
  <c r="N165" i="23"/>
  <c r="N166" i="23"/>
  <c r="N167" i="23"/>
  <c r="N168" i="23"/>
  <c r="N169" i="23"/>
  <c r="N170" i="23"/>
  <c r="N171" i="23"/>
  <c r="N172" i="23"/>
  <c r="N173" i="23"/>
  <c r="N174" i="23"/>
  <c r="N175" i="23"/>
  <c r="N176" i="23"/>
  <c r="N177" i="23"/>
  <c r="N178" i="23"/>
  <c r="N179" i="23"/>
  <c r="N180" i="23"/>
  <c r="N181" i="23"/>
  <c r="N182" i="23"/>
  <c r="N183" i="23"/>
  <c r="N184" i="23"/>
  <c r="N185" i="23"/>
  <c r="N186" i="23"/>
  <c r="N187" i="23"/>
  <c r="N188" i="23"/>
  <c r="N189" i="23"/>
  <c r="N190" i="23"/>
  <c r="N191" i="23"/>
  <c r="N192" i="23"/>
  <c r="N193" i="23"/>
  <c r="N194" i="23"/>
  <c r="N195" i="23"/>
  <c r="N196" i="23"/>
  <c r="N197" i="23"/>
  <c r="N198" i="23"/>
  <c r="N199" i="23"/>
  <c r="N200" i="23"/>
  <c r="N201" i="23"/>
  <c r="N202" i="23"/>
  <c r="N203" i="23"/>
  <c r="N204" i="23"/>
  <c r="N205" i="23"/>
  <c r="N206" i="23"/>
  <c r="N207" i="23"/>
  <c r="N208" i="23"/>
  <c r="N209" i="23"/>
  <c r="N210" i="23"/>
  <c r="N211" i="23"/>
  <c r="N212" i="23"/>
  <c r="N213" i="23"/>
  <c r="N214" i="23"/>
  <c r="N215" i="23"/>
  <c r="N216" i="23"/>
  <c r="N217" i="23"/>
  <c r="N218" i="23"/>
  <c r="N219" i="23"/>
  <c r="N220" i="23"/>
  <c r="N221" i="23"/>
  <c r="N222" i="23"/>
  <c r="N223" i="23"/>
  <c r="N224" i="23"/>
  <c r="N225" i="23"/>
  <c r="N226" i="23"/>
  <c r="N227" i="23"/>
  <c r="N228" i="23"/>
  <c r="N229" i="23"/>
  <c r="N230" i="23"/>
  <c r="N231" i="23"/>
  <c r="N232" i="23"/>
  <c r="N233" i="23"/>
  <c r="N234" i="23"/>
  <c r="N235" i="23"/>
  <c r="N236" i="23"/>
  <c r="N237" i="23"/>
  <c r="N238" i="23"/>
  <c r="N239" i="23"/>
  <c r="N240" i="23"/>
  <c r="N241" i="23"/>
  <c r="N242" i="23"/>
  <c r="N243" i="23"/>
  <c r="N244" i="23"/>
  <c r="N245" i="23"/>
  <c r="N246" i="23"/>
  <c r="N247" i="23"/>
  <c r="N248" i="23"/>
  <c r="N249" i="23"/>
  <c r="N250" i="23"/>
  <c r="N251" i="23"/>
  <c r="N252" i="23"/>
  <c r="N253" i="23"/>
  <c r="N254" i="23"/>
  <c r="N255" i="23"/>
  <c r="N256" i="23"/>
  <c r="N257" i="23"/>
  <c r="N258" i="23"/>
  <c r="N259" i="23"/>
  <c r="N260" i="23"/>
  <c r="N261" i="23"/>
  <c r="N262" i="23"/>
  <c r="N263" i="23"/>
  <c r="N264" i="23"/>
  <c r="N265" i="23"/>
  <c r="N266" i="23"/>
  <c r="N267" i="23"/>
  <c r="N268" i="23"/>
  <c r="N269" i="23"/>
  <c r="N270" i="23"/>
  <c r="N271" i="23"/>
  <c r="N272" i="23"/>
  <c r="N273" i="23"/>
  <c r="N274" i="23"/>
  <c r="N275" i="23"/>
  <c r="N276" i="23"/>
  <c r="N277" i="23"/>
  <c r="N278" i="23"/>
  <c r="N279" i="23"/>
  <c r="N280" i="23"/>
  <c r="N281" i="23"/>
  <c r="N282" i="23"/>
  <c r="N283" i="23"/>
  <c r="N284" i="23"/>
  <c r="N285" i="23"/>
  <c r="N286" i="23"/>
  <c r="N287" i="23"/>
  <c r="N288" i="23"/>
  <c r="N289" i="23"/>
  <c r="N290" i="23"/>
  <c r="N291" i="23"/>
  <c r="N292" i="23"/>
  <c r="N293" i="23"/>
  <c r="N294" i="23"/>
  <c r="N295" i="23"/>
  <c r="N296" i="23"/>
  <c r="N297" i="23"/>
  <c r="N298" i="23"/>
  <c r="N299" i="23"/>
  <c r="N300" i="23"/>
  <c r="N301" i="23"/>
  <c r="N302" i="23"/>
  <c r="N303" i="23"/>
  <c r="N304" i="23"/>
  <c r="N305" i="23"/>
  <c r="N306" i="23"/>
  <c r="N307" i="23"/>
  <c r="N308" i="23"/>
  <c r="N309" i="23"/>
  <c r="N310" i="23"/>
  <c r="N311" i="23"/>
  <c r="N312" i="23"/>
  <c r="N313" i="23"/>
  <c r="N314" i="23"/>
  <c r="N315" i="23"/>
  <c r="N316" i="23"/>
  <c r="N317" i="23"/>
  <c r="N318" i="23"/>
  <c r="N319" i="23"/>
  <c r="N320" i="23"/>
  <c r="N321" i="23"/>
  <c r="N322" i="23"/>
  <c r="N323" i="23"/>
  <c r="N324" i="23"/>
  <c r="N325" i="23"/>
  <c r="N326" i="23"/>
  <c r="N327" i="23"/>
  <c r="N328" i="23"/>
  <c r="N329" i="23"/>
  <c r="N330" i="23"/>
  <c r="N331" i="23"/>
  <c r="N332" i="23"/>
  <c r="N333" i="23"/>
  <c r="N334" i="23"/>
  <c r="N335" i="23"/>
  <c r="N336" i="23"/>
  <c r="N337" i="23"/>
  <c r="N338" i="23"/>
  <c r="N339" i="23"/>
  <c r="N340" i="23"/>
  <c r="N341" i="23"/>
  <c r="N342" i="23"/>
  <c r="N343" i="23"/>
  <c r="N344" i="23"/>
  <c r="N345" i="23"/>
  <c r="N346" i="23"/>
  <c r="N347" i="23"/>
  <c r="N348" i="23"/>
  <c r="N349" i="23"/>
  <c r="N350" i="23"/>
  <c r="N351" i="23"/>
  <c r="N352" i="23"/>
  <c r="N353" i="23"/>
  <c r="N354" i="23"/>
  <c r="N355" i="23"/>
  <c r="N356" i="23"/>
  <c r="N357" i="23"/>
  <c r="N358" i="23"/>
  <c r="N359" i="23"/>
  <c r="N360" i="23"/>
  <c r="N361" i="23"/>
  <c r="N362" i="23"/>
  <c r="N363" i="23"/>
  <c r="N364" i="23"/>
  <c r="N365" i="23"/>
  <c r="N366" i="23"/>
  <c r="N367" i="23"/>
  <c r="N368" i="23"/>
  <c r="N369" i="23"/>
  <c r="N370" i="23"/>
  <c r="N371" i="23"/>
  <c r="N372" i="23"/>
  <c r="N373" i="23"/>
  <c r="N374" i="23"/>
  <c r="N375" i="23"/>
  <c r="N376" i="23"/>
  <c r="N377" i="23"/>
  <c r="N378" i="23"/>
  <c r="N379" i="23"/>
  <c r="N380" i="23"/>
  <c r="N381" i="23"/>
  <c r="N382" i="23"/>
  <c r="N383" i="23"/>
  <c r="N384" i="23"/>
  <c r="N385" i="23"/>
  <c r="N386" i="23"/>
  <c r="N387" i="23"/>
  <c r="N388" i="23"/>
  <c r="N389" i="23"/>
  <c r="N390" i="23"/>
  <c r="N391" i="23"/>
  <c r="N392" i="23"/>
  <c r="N393" i="23"/>
  <c r="N394" i="23"/>
  <c r="N395" i="23"/>
  <c r="N396" i="23"/>
  <c r="N397" i="23"/>
  <c r="N398" i="23"/>
  <c r="N399" i="23"/>
  <c r="N400" i="23"/>
  <c r="N401" i="23"/>
  <c r="N402" i="23"/>
  <c r="N403" i="23"/>
  <c r="N404" i="23"/>
  <c r="N405" i="23"/>
  <c r="N406" i="23"/>
  <c r="N407" i="23"/>
  <c r="N408" i="23"/>
  <c r="N409" i="23"/>
  <c r="N410" i="23"/>
  <c r="N411" i="23"/>
  <c r="N412" i="23"/>
  <c r="N413" i="23"/>
  <c r="N414" i="23"/>
  <c r="N415" i="23"/>
  <c r="N416" i="23"/>
  <c r="N417" i="23"/>
  <c r="N418" i="23"/>
  <c r="N419" i="23"/>
  <c r="N420" i="23"/>
  <c r="N421" i="23"/>
  <c r="N422" i="23"/>
  <c r="N423" i="23"/>
  <c r="N424" i="23"/>
  <c r="N425" i="23"/>
  <c r="N426" i="23"/>
  <c r="N427" i="23"/>
  <c r="N428" i="23"/>
  <c r="N429" i="23"/>
  <c r="N430" i="23"/>
  <c r="N431" i="23"/>
  <c r="N432" i="23"/>
  <c r="N433" i="23"/>
  <c r="N434" i="23"/>
  <c r="N435" i="23"/>
  <c r="N436" i="23"/>
  <c r="N437" i="23"/>
  <c r="N438" i="23"/>
  <c r="N439" i="23"/>
  <c r="N440" i="23"/>
  <c r="N441" i="23"/>
  <c r="N442" i="23"/>
  <c r="N443" i="23"/>
  <c r="N444" i="23"/>
  <c r="N445" i="23"/>
  <c r="N446" i="23"/>
  <c r="N447" i="23"/>
  <c r="N448" i="23"/>
  <c r="N449" i="23"/>
  <c r="N450" i="23"/>
  <c r="N451" i="23"/>
  <c r="N452" i="23"/>
  <c r="N453" i="23"/>
  <c r="N454" i="23"/>
  <c r="N455" i="23"/>
  <c r="N456" i="23"/>
  <c r="N457" i="23"/>
  <c r="N458" i="23"/>
  <c r="N459" i="23"/>
  <c r="N460" i="23"/>
  <c r="N461" i="23"/>
  <c r="N462" i="23"/>
  <c r="N463" i="23"/>
  <c r="N464" i="23"/>
  <c r="N465" i="23"/>
  <c r="N466" i="23"/>
  <c r="N467" i="23"/>
  <c r="N468" i="23"/>
  <c r="N469" i="23"/>
  <c r="N470" i="23"/>
  <c r="N471" i="23"/>
  <c r="N472" i="23"/>
  <c r="N473" i="23"/>
  <c r="N474" i="23"/>
  <c r="N475" i="23"/>
  <c r="N476" i="23"/>
  <c r="N477" i="23"/>
  <c r="N478" i="23"/>
  <c r="N479" i="23"/>
  <c r="N480" i="23"/>
  <c r="N481" i="23"/>
  <c r="N482" i="23"/>
  <c r="N483" i="23"/>
  <c r="N484" i="23"/>
  <c r="N485" i="23"/>
  <c r="N486" i="23"/>
  <c r="N487" i="23"/>
  <c r="N488" i="23"/>
  <c r="N489" i="23"/>
  <c r="N490" i="23"/>
  <c r="N491" i="23"/>
  <c r="N492" i="23"/>
  <c r="N493" i="23"/>
  <c r="N494" i="23"/>
  <c r="N495" i="23"/>
  <c r="N496" i="23"/>
  <c r="N497" i="23"/>
  <c r="N498" i="23"/>
  <c r="N499" i="23"/>
  <c r="N500" i="23"/>
  <c r="N501" i="23"/>
  <c r="N502" i="23"/>
  <c r="N503" i="23"/>
  <c r="N504" i="23"/>
  <c r="N505" i="23"/>
  <c r="N506" i="23"/>
  <c r="N507" i="23"/>
  <c r="N508" i="23"/>
  <c r="N509" i="23"/>
  <c r="N510" i="23"/>
  <c r="N511" i="23"/>
  <c r="N512" i="23"/>
  <c r="N513" i="23"/>
  <c r="N514" i="23"/>
  <c r="N515" i="23"/>
  <c r="N516" i="23"/>
  <c r="N517" i="23"/>
  <c r="N518" i="23"/>
  <c r="N519" i="23"/>
  <c r="N520" i="23"/>
  <c r="N521" i="23"/>
  <c r="N522" i="23"/>
  <c r="N523" i="23"/>
  <c r="N524" i="23"/>
  <c r="N525" i="23"/>
  <c r="N526" i="23"/>
  <c r="N527" i="23"/>
  <c r="N528" i="23"/>
  <c r="N529" i="23"/>
  <c r="N530" i="23"/>
  <c r="N531" i="23"/>
  <c r="N532" i="23"/>
  <c r="N533" i="23"/>
  <c r="N534" i="23"/>
  <c r="N535" i="23"/>
  <c r="N536" i="23"/>
  <c r="N537" i="23"/>
  <c r="N538" i="23"/>
  <c r="N539" i="23"/>
  <c r="N540" i="23"/>
  <c r="N541" i="23"/>
  <c r="N542" i="23"/>
  <c r="N543" i="23"/>
  <c r="N544" i="23"/>
  <c r="N545" i="23"/>
  <c r="N546" i="23"/>
  <c r="N547" i="23"/>
  <c r="N548" i="23"/>
  <c r="N549" i="23"/>
  <c r="N550" i="23"/>
  <c r="N551" i="23"/>
  <c r="N552" i="23"/>
  <c r="N553" i="23"/>
  <c r="N554" i="23"/>
  <c r="N555" i="23"/>
  <c r="N556" i="23"/>
  <c r="N557" i="23"/>
  <c r="N558" i="23"/>
  <c r="N559" i="23"/>
  <c r="N560" i="23"/>
  <c r="N561" i="23"/>
  <c r="A437" i="23"/>
  <c r="B437" i="23"/>
  <c r="D437" i="23"/>
  <c r="C437" i="23" s="1"/>
  <c r="E437" i="23"/>
  <c r="F437" i="23"/>
  <c r="A438" i="23"/>
  <c r="B438" i="23"/>
  <c r="D438" i="23"/>
  <c r="C438" i="23" s="1"/>
  <c r="E438" i="23"/>
  <c r="F438" i="23"/>
  <c r="A439" i="23"/>
  <c r="B439" i="23"/>
  <c r="D439" i="23"/>
  <c r="C439" i="23" s="1"/>
  <c r="E439" i="23"/>
  <c r="F439" i="23"/>
  <c r="A440" i="23"/>
  <c r="B440" i="23"/>
  <c r="D440" i="23"/>
  <c r="C440" i="23" s="1"/>
  <c r="E440" i="23"/>
  <c r="F440" i="23"/>
  <c r="A441" i="23"/>
  <c r="B441" i="23"/>
  <c r="D441" i="23"/>
  <c r="C441" i="23" s="1"/>
  <c r="E441" i="23"/>
  <c r="F441" i="23"/>
  <c r="A442" i="23"/>
  <c r="B442" i="23"/>
  <c r="D442" i="23"/>
  <c r="C442" i="23" s="1"/>
  <c r="E442" i="23"/>
  <c r="F442" i="23"/>
  <c r="A443" i="23"/>
  <c r="B443" i="23"/>
  <c r="D443" i="23"/>
  <c r="C443" i="23" s="1"/>
  <c r="E443" i="23"/>
  <c r="F443" i="23"/>
  <c r="A444" i="23"/>
  <c r="B444" i="23"/>
  <c r="D444" i="23"/>
  <c r="C444" i="23" s="1"/>
  <c r="E444" i="23"/>
  <c r="F444" i="23"/>
  <c r="A445" i="23"/>
  <c r="B445" i="23"/>
  <c r="D445" i="23"/>
  <c r="C445" i="23" s="1"/>
  <c r="E445" i="23"/>
  <c r="F445" i="23"/>
  <c r="A446" i="23"/>
  <c r="B446" i="23"/>
  <c r="D446" i="23"/>
  <c r="C446" i="23" s="1"/>
  <c r="E446" i="23"/>
  <c r="F446" i="23"/>
  <c r="A447" i="23"/>
  <c r="B447" i="23"/>
  <c r="D447" i="23"/>
  <c r="C447" i="23" s="1"/>
  <c r="E447" i="23"/>
  <c r="F447" i="23"/>
  <c r="A448" i="23"/>
  <c r="B448" i="23"/>
  <c r="D448" i="23"/>
  <c r="C448" i="23" s="1"/>
  <c r="E448" i="23"/>
  <c r="F448" i="23"/>
  <c r="A449" i="23"/>
  <c r="B449" i="23"/>
  <c r="D449" i="23"/>
  <c r="C449" i="23" s="1"/>
  <c r="E449" i="23"/>
  <c r="F449" i="23"/>
  <c r="A450" i="23"/>
  <c r="B450" i="23"/>
  <c r="D450" i="23"/>
  <c r="C450" i="23" s="1"/>
  <c r="E450" i="23"/>
  <c r="F450" i="23"/>
  <c r="A451" i="23"/>
  <c r="B451" i="23"/>
  <c r="D451" i="23"/>
  <c r="C451" i="23" s="1"/>
  <c r="E451" i="23"/>
  <c r="F451" i="23"/>
  <c r="A452" i="23"/>
  <c r="B452" i="23"/>
  <c r="D452" i="23"/>
  <c r="C452" i="23" s="1"/>
  <c r="E452" i="23"/>
  <c r="F452" i="23"/>
  <c r="A453" i="23"/>
  <c r="B453" i="23"/>
  <c r="D453" i="23"/>
  <c r="C453" i="23" s="1"/>
  <c r="E453" i="23"/>
  <c r="F453" i="23"/>
  <c r="A454" i="23"/>
  <c r="B454" i="23"/>
  <c r="D454" i="23"/>
  <c r="C454" i="23" s="1"/>
  <c r="E454" i="23"/>
  <c r="F454" i="23"/>
  <c r="A455" i="23"/>
  <c r="B455" i="23"/>
  <c r="D455" i="23"/>
  <c r="C455" i="23" s="1"/>
  <c r="E455" i="23"/>
  <c r="F455" i="23"/>
  <c r="A456" i="23"/>
  <c r="B456" i="23"/>
  <c r="D456" i="23"/>
  <c r="C456" i="23" s="1"/>
  <c r="E456" i="23"/>
  <c r="F456" i="23"/>
  <c r="A457" i="23"/>
  <c r="B457" i="23"/>
  <c r="D457" i="23"/>
  <c r="C457" i="23" s="1"/>
  <c r="E457" i="23"/>
  <c r="F457" i="23"/>
  <c r="A458" i="23"/>
  <c r="B458" i="23"/>
  <c r="D458" i="23"/>
  <c r="C458" i="23" s="1"/>
  <c r="E458" i="23"/>
  <c r="F458" i="23"/>
  <c r="A459" i="23"/>
  <c r="B459" i="23"/>
  <c r="D459" i="23"/>
  <c r="C459" i="23" s="1"/>
  <c r="E459" i="23"/>
  <c r="F459" i="23"/>
  <c r="A460" i="23"/>
  <c r="B460" i="23"/>
  <c r="D460" i="23"/>
  <c r="C460" i="23" s="1"/>
  <c r="E460" i="23"/>
  <c r="F460" i="23"/>
  <c r="A461" i="23"/>
  <c r="B461" i="23"/>
  <c r="D461" i="23"/>
  <c r="C461" i="23" s="1"/>
  <c r="E461" i="23"/>
  <c r="F461" i="23"/>
  <c r="A462" i="23"/>
  <c r="B462" i="23"/>
  <c r="D462" i="23"/>
  <c r="C462" i="23" s="1"/>
  <c r="E462" i="23"/>
  <c r="F462" i="23"/>
  <c r="A463" i="23"/>
  <c r="B463" i="23"/>
  <c r="D463" i="23"/>
  <c r="C463" i="23" s="1"/>
  <c r="E463" i="23"/>
  <c r="F463" i="23"/>
  <c r="A464" i="23"/>
  <c r="B464" i="23"/>
  <c r="D464" i="23"/>
  <c r="C464" i="23" s="1"/>
  <c r="E464" i="23"/>
  <c r="F464" i="23"/>
  <c r="A465" i="23"/>
  <c r="B465" i="23"/>
  <c r="D465" i="23"/>
  <c r="C465" i="23" s="1"/>
  <c r="E465" i="23"/>
  <c r="F465" i="23"/>
  <c r="A466" i="23"/>
  <c r="B466" i="23"/>
  <c r="D466" i="23"/>
  <c r="C466" i="23" s="1"/>
  <c r="E466" i="23"/>
  <c r="F466" i="23"/>
  <c r="A467" i="23"/>
  <c r="B467" i="23"/>
  <c r="D467" i="23"/>
  <c r="C467" i="23" s="1"/>
  <c r="E467" i="23"/>
  <c r="F467" i="23"/>
  <c r="A468" i="23"/>
  <c r="B468" i="23"/>
  <c r="D468" i="23"/>
  <c r="C468" i="23" s="1"/>
  <c r="E468" i="23"/>
  <c r="F468" i="23"/>
  <c r="A469" i="23"/>
  <c r="B469" i="23"/>
  <c r="D469" i="23"/>
  <c r="C469" i="23" s="1"/>
  <c r="E469" i="23"/>
  <c r="F469" i="23"/>
  <c r="A470" i="23"/>
  <c r="B470" i="23"/>
  <c r="D470" i="23"/>
  <c r="C470" i="23" s="1"/>
  <c r="E470" i="23"/>
  <c r="F470" i="23"/>
  <c r="A471" i="23"/>
  <c r="B471" i="23"/>
  <c r="D471" i="23"/>
  <c r="C471" i="23" s="1"/>
  <c r="E471" i="23"/>
  <c r="F471" i="23"/>
  <c r="A472" i="23"/>
  <c r="B472" i="23"/>
  <c r="D472" i="23"/>
  <c r="C472" i="23" s="1"/>
  <c r="E472" i="23"/>
  <c r="F472" i="23"/>
  <c r="A473" i="23"/>
  <c r="B473" i="23"/>
  <c r="D473" i="23"/>
  <c r="C473" i="23" s="1"/>
  <c r="E473" i="23"/>
  <c r="F473" i="23"/>
  <c r="A474" i="23"/>
  <c r="B474" i="23"/>
  <c r="D474" i="23"/>
  <c r="C474" i="23" s="1"/>
  <c r="E474" i="23"/>
  <c r="F474" i="23"/>
  <c r="A475" i="23"/>
  <c r="B475" i="23"/>
  <c r="D475" i="23"/>
  <c r="C475" i="23" s="1"/>
  <c r="E475" i="23"/>
  <c r="F475" i="23"/>
  <c r="A476" i="23"/>
  <c r="B476" i="23"/>
  <c r="D476" i="23"/>
  <c r="C476" i="23" s="1"/>
  <c r="E476" i="23"/>
  <c r="F476" i="23"/>
  <c r="A477" i="23"/>
  <c r="B477" i="23"/>
  <c r="D477" i="23"/>
  <c r="C477" i="23" s="1"/>
  <c r="E477" i="23"/>
  <c r="F477" i="23"/>
  <c r="A478" i="23"/>
  <c r="B478" i="23"/>
  <c r="D478" i="23"/>
  <c r="C478" i="23" s="1"/>
  <c r="E478" i="23"/>
  <c r="F478" i="23"/>
  <c r="A479" i="23"/>
  <c r="B479" i="23"/>
  <c r="D479" i="23"/>
  <c r="C479" i="23" s="1"/>
  <c r="E479" i="23"/>
  <c r="F479" i="23"/>
  <c r="A480" i="23"/>
  <c r="B480" i="23"/>
  <c r="D480" i="23"/>
  <c r="C480" i="23" s="1"/>
  <c r="E480" i="23"/>
  <c r="F480" i="23"/>
  <c r="A481" i="23"/>
  <c r="B481" i="23"/>
  <c r="D481" i="23"/>
  <c r="C481" i="23" s="1"/>
  <c r="E481" i="23"/>
  <c r="F481" i="23"/>
  <c r="A482" i="23"/>
  <c r="B482" i="23"/>
  <c r="D482" i="23"/>
  <c r="C482" i="23" s="1"/>
  <c r="E482" i="23"/>
  <c r="F482" i="23"/>
  <c r="A483" i="23"/>
  <c r="B483" i="23"/>
  <c r="D483" i="23"/>
  <c r="C483" i="23" s="1"/>
  <c r="E483" i="23"/>
  <c r="F483" i="23"/>
  <c r="A484" i="23"/>
  <c r="B484" i="23"/>
  <c r="D484" i="23"/>
  <c r="C484" i="23" s="1"/>
  <c r="E484" i="23"/>
  <c r="F484" i="23"/>
  <c r="A485" i="23"/>
  <c r="B485" i="23"/>
  <c r="D485" i="23"/>
  <c r="C485" i="23" s="1"/>
  <c r="E485" i="23"/>
  <c r="F485" i="23"/>
  <c r="A486" i="23"/>
  <c r="B486" i="23"/>
  <c r="D486" i="23"/>
  <c r="C486" i="23" s="1"/>
  <c r="E486" i="23"/>
  <c r="F486" i="23"/>
  <c r="A487" i="23"/>
  <c r="B487" i="23"/>
  <c r="D487" i="23"/>
  <c r="C487" i="23" s="1"/>
  <c r="E487" i="23"/>
  <c r="F487" i="23"/>
  <c r="A488" i="23"/>
  <c r="B488" i="23"/>
  <c r="D488" i="23"/>
  <c r="C488" i="23" s="1"/>
  <c r="E488" i="23"/>
  <c r="F488" i="23"/>
  <c r="A489" i="23"/>
  <c r="B489" i="23"/>
  <c r="D489" i="23"/>
  <c r="C489" i="23" s="1"/>
  <c r="E489" i="23"/>
  <c r="F489" i="23"/>
  <c r="A490" i="23"/>
  <c r="B490" i="23"/>
  <c r="D490" i="23"/>
  <c r="C490" i="23" s="1"/>
  <c r="E490" i="23"/>
  <c r="F490" i="23"/>
  <c r="A491" i="23"/>
  <c r="B491" i="23"/>
  <c r="D491" i="23"/>
  <c r="C491" i="23" s="1"/>
  <c r="E491" i="23"/>
  <c r="F491" i="23"/>
  <c r="A492" i="23"/>
  <c r="B492" i="23"/>
  <c r="D492" i="23"/>
  <c r="C492" i="23" s="1"/>
  <c r="E492" i="23"/>
  <c r="F492" i="23"/>
  <c r="A493" i="23"/>
  <c r="B493" i="23"/>
  <c r="D493" i="23"/>
  <c r="C493" i="23" s="1"/>
  <c r="E493" i="23"/>
  <c r="F493" i="23"/>
  <c r="A494" i="23"/>
  <c r="B494" i="23"/>
  <c r="D494" i="23"/>
  <c r="C494" i="23" s="1"/>
  <c r="E494" i="23"/>
  <c r="F494" i="23"/>
  <c r="A495" i="23"/>
  <c r="B495" i="23"/>
  <c r="D495" i="23"/>
  <c r="C495" i="23" s="1"/>
  <c r="E495" i="23"/>
  <c r="F495" i="23"/>
  <c r="A496" i="23"/>
  <c r="B496" i="23"/>
  <c r="D496" i="23"/>
  <c r="C496" i="23" s="1"/>
  <c r="E496" i="23"/>
  <c r="F496" i="23"/>
  <c r="A497" i="23"/>
  <c r="B497" i="23"/>
  <c r="D497" i="23"/>
  <c r="C497" i="23" s="1"/>
  <c r="E497" i="23"/>
  <c r="F497" i="23"/>
  <c r="A498" i="23"/>
  <c r="B498" i="23"/>
  <c r="D498" i="23"/>
  <c r="C498" i="23" s="1"/>
  <c r="E498" i="23"/>
  <c r="F498" i="23"/>
  <c r="A499" i="23"/>
  <c r="B499" i="23"/>
  <c r="D499" i="23"/>
  <c r="C499" i="23" s="1"/>
  <c r="E499" i="23"/>
  <c r="F499" i="23"/>
  <c r="A500" i="23"/>
  <c r="B500" i="23"/>
  <c r="D500" i="23"/>
  <c r="C500" i="23" s="1"/>
  <c r="E500" i="23"/>
  <c r="F500" i="23"/>
  <c r="A501" i="23"/>
  <c r="B501" i="23"/>
  <c r="D501" i="23"/>
  <c r="C501" i="23" s="1"/>
  <c r="E501" i="23"/>
  <c r="F501" i="23"/>
  <c r="A502" i="23"/>
  <c r="B502" i="23"/>
  <c r="D502" i="23"/>
  <c r="C502" i="23" s="1"/>
  <c r="E502" i="23"/>
  <c r="F502" i="23"/>
  <c r="A503" i="23"/>
  <c r="B503" i="23"/>
  <c r="D503" i="23"/>
  <c r="C503" i="23" s="1"/>
  <c r="E503" i="23"/>
  <c r="F503" i="23"/>
  <c r="A504" i="23"/>
  <c r="B504" i="23"/>
  <c r="D504" i="23"/>
  <c r="C504" i="23" s="1"/>
  <c r="E504" i="23"/>
  <c r="F504" i="23"/>
  <c r="A505" i="23"/>
  <c r="B505" i="23"/>
  <c r="D505" i="23"/>
  <c r="C505" i="23" s="1"/>
  <c r="E505" i="23"/>
  <c r="F505" i="23"/>
  <c r="A506" i="23"/>
  <c r="B506" i="23"/>
  <c r="D506" i="23"/>
  <c r="C506" i="23" s="1"/>
  <c r="E506" i="23"/>
  <c r="F506" i="23"/>
  <c r="A507" i="23"/>
  <c r="B507" i="23"/>
  <c r="D507" i="23"/>
  <c r="C507" i="23" s="1"/>
  <c r="E507" i="23"/>
  <c r="F507" i="23"/>
  <c r="A508" i="23"/>
  <c r="B508" i="23"/>
  <c r="D508" i="23"/>
  <c r="C508" i="23" s="1"/>
  <c r="E508" i="23"/>
  <c r="F508" i="23"/>
  <c r="A509" i="23"/>
  <c r="B509" i="23"/>
  <c r="D509" i="23"/>
  <c r="C509" i="23" s="1"/>
  <c r="E509" i="23"/>
  <c r="F509" i="23"/>
  <c r="A510" i="23"/>
  <c r="B510" i="23"/>
  <c r="D510" i="23"/>
  <c r="C510" i="23" s="1"/>
  <c r="E510" i="23"/>
  <c r="F510" i="23"/>
  <c r="A511" i="23"/>
  <c r="B511" i="23"/>
  <c r="D511" i="23"/>
  <c r="C511" i="23" s="1"/>
  <c r="E511" i="23"/>
  <c r="F511" i="23"/>
  <c r="A512" i="23"/>
  <c r="B512" i="23"/>
  <c r="D512" i="23"/>
  <c r="C512" i="23" s="1"/>
  <c r="E512" i="23"/>
  <c r="F512" i="23"/>
  <c r="A513" i="23"/>
  <c r="B513" i="23"/>
  <c r="D513" i="23"/>
  <c r="C513" i="23" s="1"/>
  <c r="E513" i="23"/>
  <c r="F513" i="23"/>
  <c r="A514" i="23"/>
  <c r="B514" i="23"/>
  <c r="D514" i="23"/>
  <c r="C514" i="23" s="1"/>
  <c r="E514" i="23"/>
  <c r="F514" i="23"/>
  <c r="A515" i="23"/>
  <c r="B515" i="23"/>
  <c r="D515" i="23"/>
  <c r="C515" i="23" s="1"/>
  <c r="E515" i="23"/>
  <c r="F515" i="23"/>
  <c r="A516" i="23"/>
  <c r="B516" i="23"/>
  <c r="D516" i="23"/>
  <c r="C516" i="23" s="1"/>
  <c r="E516" i="23"/>
  <c r="F516" i="23"/>
  <c r="A517" i="23"/>
  <c r="B517" i="23"/>
  <c r="D517" i="23"/>
  <c r="C517" i="23" s="1"/>
  <c r="E517" i="23"/>
  <c r="F517" i="23"/>
  <c r="A518" i="23"/>
  <c r="B518" i="23"/>
  <c r="D518" i="23"/>
  <c r="C518" i="23" s="1"/>
  <c r="E518" i="23"/>
  <c r="F518" i="23"/>
  <c r="A519" i="23"/>
  <c r="B519" i="23"/>
  <c r="D519" i="23"/>
  <c r="C519" i="23" s="1"/>
  <c r="E519" i="23"/>
  <c r="F519" i="23"/>
  <c r="A520" i="23"/>
  <c r="B520" i="23"/>
  <c r="D520" i="23"/>
  <c r="C520" i="23" s="1"/>
  <c r="E520" i="23"/>
  <c r="F520" i="23"/>
  <c r="A521" i="23"/>
  <c r="B521" i="23"/>
  <c r="D521" i="23"/>
  <c r="C521" i="23" s="1"/>
  <c r="E521" i="23"/>
  <c r="F521" i="23"/>
  <c r="A522" i="23"/>
  <c r="B522" i="23"/>
  <c r="D522" i="23"/>
  <c r="C522" i="23" s="1"/>
  <c r="E522" i="23"/>
  <c r="F522" i="23"/>
  <c r="A523" i="23"/>
  <c r="B523" i="23"/>
  <c r="D523" i="23"/>
  <c r="C523" i="23" s="1"/>
  <c r="E523" i="23"/>
  <c r="F523" i="23"/>
  <c r="A524" i="23"/>
  <c r="B524" i="23"/>
  <c r="D524" i="23"/>
  <c r="C524" i="23" s="1"/>
  <c r="E524" i="23"/>
  <c r="F524" i="23"/>
  <c r="A525" i="23"/>
  <c r="B525" i="23"/>
  <c r="D525" i="23"/>
  <c r="C525" i="23" s="1"/>
  <c r="E525" i="23"/>
  <c r="F525" i="23"/>
  <c r="A526" i="23"/>
  <c r="B526" i="23"/>
  <c r="D526" i="23"/>
  <c r="C526" i="23" s="1"/>
  <c r="E526" i="23"/>
  <c r="F526" i="23"/>
  <c r="A527" i="23"/>
  <c r="B527" i="23"/>
  <c r="D527" i="23"/>
  <c r="C527" i="23" s="1"/>
  <c r="E527" i="23"/>
  <c r="F527" i="23"/>
  <c r="A528" i="23"/>
  <c r="B528" i="23"/>
  <c r="D528" i="23"/>
  <c r="C528" i="23" s="1"/>
  <c r="E528" i="23"/>
  <c r="F528" i="23"/>
  <c r="A529" i="23"/>
  <c r="B529" i="23"/>
  <c r="D529" i="23"/>
  <c r="C529" i="23" s="1"/>
  <c r="E529" i="23"/>
  <c r="F529" i="23"/>
  <c r="A530" i="23"/>
  <c r="B530" i="23"/>
  <c r="D530" i="23"/>
  <c r="C530" i="23" s="1"/>
  <c r="E530" i="23"/>
  <c r="F530" i="23"/>
  <c r="A531" i="23"/>
  <c r="B531" i="23"/>
  <c r="D531" i="23"/>
  <c r="C531" i="23" s="1"/>
  <c r="E531" i="23"/>
  <c r="F531" i="23"/>
  <c r="A532" i="23"/>
  <c r="B532" i="23"/>
  <c r="D532" i="23"/>
  <c r="C532" i="23" s="1"/>
  <c r="E532" i="23"/>
  <c r="F532" i="23"/>
  <c r="A533" i="23"/>
  <c r="B533" i="23"/>
  <c r="D533" i="23"/>
  <c r="C533" i="23" s="1"/>
  <c r="E533" i="23"/>
  <c r="F533" i="23"/>
  <c r="A534" i="23"/>
  <c r="B534" i="23"/>
  <c r="D534" i="23"/>
  <c r="C534" i="23" s="1"/>
  <c r="E534" i="23"/>
  <c r="F534" i="23"/>
  <c r="A535" i="23"/>
  <c r="B535" i="23"/>
  <c r="D535" i="23"/>
  <c r="C535" i="23" s="1"/>
  <c r="E535" i="23"/>
  <c r="F535" i="23"/>
  <c r="A536" i="23"/>
  <c r="B536" i="23"/>
  <c r="D536" i="23"/>
  <c r="C536" i="23" s="1"/>
  <c r="E536" i="23"/>
  <c r="F536" i="23"/>
  <c r="A537" i="23"/>
  <c r="B537" i="23"/>
  <c r="D537" i="23"/>
  <c r="C537" i="23" s="1"/>
  <c r="E537" i="23"/>
  <c r="F537" i="23"/>
  <c r="A538" i="23"/>
  <c r="B538" i="23"/>
  <c r="D538" i="23"/>
  <c r="C538" i="23" s="1"/>
  <c r="E538" i="23"/>
  <c r="F538" i="23"/>
  <c r="A539" i="23"/>
  <c r="B539" i="23"/>
  <c r="D539" i="23"/>
  <c r="C539" i="23" s="1"/>
  <c r="E539" i="23"/>
  <c r="F539" i="23"/>
  <c r="A540" i="23"/>
  <c r="B540" i="23"/>
  <c r="D540" i="23"/>
  <c r="C540" i="23" s="1"/>
  <c r="E540" i="23"/>
  <c r="F540" i="23"/>
  <c r="A541" i="23"/>
  <c r="B541" i="23"/>
  <c r="D541" i="23"/>
  <c r="C541" i="23" s="1"/>
  <c r="E541" i="23"/>
  <c r="F541" i="23"/>
  <c r="A542" i="23"/>
  <c r="B542" i="23"/>
  <c r="D542" i="23"/>
  <c r="C542" i="23" s="1"/>
  <c r="E542" i="23"/>
  <c r="F542" i="23"/>
  <c r="A543" i="23"/>
  <c r="B543" i="23"/>
  <c r="D543" i="23"/>
  <c r="C543" i="23" s="1"/>
  <c r="E543" i="23"/>
  <c r="F543" i="23"/>
  <c r="A544" i="23"/>
  <c r="B544" i="23"/>
  <c r="D544" i="23"/>
  <c r="C544" i="23" s="1"/>
  <c r="E544" i="23"/>
  <c r="F544" i="23"/>
  <c r="A545" i="23"/>
  <c r="B545" i="23"/>
  <c r="D545" i="23"/>
  <c r="C545" i="23" s="1"/>
  <c r="E545" i="23"/>
  <c r="F545" i="23"/>
  <c r="A546" i="23"/>
  <c r="B546" i="23"/>
  <c r="D546" i="23"/>
  <c r="C546" i="23" s="1"/>
  <c r="E546" i="23"/>
  <c r="F546" i="23"/>
  <c r="A547" i="23"/>
  <c r="B547" i="23"/>
  <c r="D547" i="23"/>
  <c r="C547" i="23" s="1"/>
  <c r="E547" i="23"/>
  <c r="F547" i="23"/>
  <c r="A548" i="23"/>
  <c r="B548" i="23"/>
  <c r="D548" i="23"/>
  <c r="C548" i="23" s="1"/>
  <c r="E548" i="23"/>
  <c r="F548" i="23"/>
  <c r="A549" i="23"/>
  <c r="B549" i="23"/>
  <c r="D549" i="23"/>
  <c r="C549" i="23" s="1"/>
  <c r="E549" i="23"/>
  <c r="F549" i="23"/>
  <c r="A550" i="23"/>
  <c r="B550" i="23"/>
  <c r="D550" i="23"/>
  <c r="C550" i="23" s="1"/>
  <c r="E550" i="23"/>
  <c r="F550" i="23"/>
  <c r="A551" i="23"/>
  <c r="B551" i="23"/>
  <c r="D551" i="23"/>
  <c r="C551" i="23" s="1"/>
  <c r="E551" i="23"/>
  <c r="F551" i="23"/>
  <c r="A552" i="23"/>
  <c r="B552" i="23"/>
  <c r="D552" i="23"/>
  <c r="C552" i="23" s="1"/>
  <c r="E552" i="23"/>
  <c r="F552" i="23"/>
  <c r="A553" i="23"/>
  <c r="B553" i="23"/>
  <c r="D553" i="23"/>
  <c r="C553" i="23" s="1"/>
  <c r="E553" i="23"/>
  <c r="F553" i="23"/>
  <c r="A554" i="23"/>
  <c r="B554" i="23"/>
  <c r="D554" i="23"/>
  <c r="C554" i="23" s="1"/>
  <c r="E554" i="23"/>
  <c r="F554" i="23"/>
  <c r="A555" i="23"/>
  <c r="B555" i="23"/>
  <c r="D555" i="23"/>
  <c r="C555" i="23" s="1"/>
  <c r="E555" i="23"/>
  <c r="F555" i="23"/>
  <c r="A556" i="23"/>
  <c r="B556" i="23"/>
  <c r="D556" i="23"/>
  <c r="C556" i="23" s="1"/>
  <c r="E556" i="23"/>
  <c r="F556" i="23"/>
  <c r="A557" i="23"/>
  <c r="B557" i="23"/>
  <c r="D557" i="23"/>
  <c r="C557" i="23" s="1"/>
  <c r="E557" i="23"/>
  <c r="F557" i="23"/>
  <c r="A558" i="23"/>
  <c r="B558" i="23"/>
  <c r="D558" i="23"/>
  <c r="C558" i="23" s="1"/>
  <c r="E558" i="23"/>
  <c r="F558" i="23"/>
  <c r="A559" i="23"/>
  <c r="B559" i="23"/>
  <c r="D559" i="23"/>
  <c r="C559" i="23" s="1"/>
  <c r="E559" i="23"/>
  <c r="F559" i="23"/>
  <c r="A560" i="23"/>
  <c r="B560" i="23"/>
  <c r="D560" i="23"/>
  <c r="C560" i="23" s="1"/>
  <c r="E560" i="23"/>
  <c r="F560" i="23"/>
  <c r="A561" i="23"/>
  <c r="B561" i="23"/>
  <c r="D561" i="23"/>
  <c r="C561" i="23" s="1"/>
  <c r="E561" i="23"/>
  <c r="F561" i="23"/>
  <c r="J559" i="23" l="1"/>
  <c r="I559" i="23" s="1"/>
  <c r="K559" i="23"/>
  <c r="L555" i="23"/>
  <c r="J555" i="23"/>
  <c r="I555" i="23" s="1"/>
  <c r="K555" i="23"/>
  <c r="G551" i="23"/>
  <c r="J551" i="23"/>
  <c r="I551" i="23" s="1"/>
  <c r="K551" i="23"/>
  <c r="J547" i="23"/>
  <c r="I547" i="23" s="1"/>
  <c r="K547" i="23"/>
  <c r="G543" i="23"/>
  <c r="J543" i="23"/>
  <c r="I543" i="23" s="1"/>
  <c r="K543" i="23"/>
  <c r="J539" i="23"/>
  <c r="I539" i="23" s="1"/>
  <c r="K539" i="23"/>
  <c r="G535" i="23"/>
  <c r="J535" i="23"/>
  <c r="I535" i="23" s="1"/>
  <c r="K535" i="23"/>
  <c r="J531" i="23"/>
  <c r="I531" i="23" s="1"/>
  <c r="K531" i="23"/>
  <c r="G527" i="23"/>
  <c r="J527" i="23"/>
  <c r="I527" i="23" s="1"/>
  <c r="K527" i="23"/>
  <c r="J523" i="23"/>
  <c r="I523" i="23" s="1"/>
  <c r="K523" i="23"/>
  <c r="G519" i="23"/>
  <c r="J519" i="23"/>
  <c r="I519" i="23" s="1"/>
  <c r="K519" i="23"/>
  <c r="J515" i="23"/>
  <c r="I515" i="23" s="1"/>
  <c r="K515" i="23"/>
  <c r="G511" i="23"/>
  <c r="J511" i="23"/>
  <c r="I511" i="23" s="1"/>
  <c r="K511" i="23"/>
  <c r="J507" i="23"/>
  <c r="I507" i="23" s="1"/>
  <c r="K507" i="23"/>
  <c r="J503" i="23"/>
  <c r="I503" i="23" s="1"/>
  <c r="K503" i="23"/>
  <c r="J499" i="23"/>
  <c r="I499" i="23" s="1"/>
  <c r="K499" i="23"/>
  <c r="J495" i="23"/>
  <c r="I495" i="23" s="1"/>
  <c r="K495" i="23"/>
  <c r="J491" i="23"/>
  <c r="I491" i="23" s="1"/>
  <c r="K491" i="23"/>
  <c r="G487" i="23"/>
  <c r="J487" i="23"/>
  <c r="I487" i="23" s="1"/>
  <c r="K487" i="23"/>
  <c r="L483" i="23"/>
  <c r="K483" i="23"/>
  <c r="J483" i="23"/>
  <c r="I483" i="23" s="1"/>
  <c r="L479" i="23"/>
  <c r="J479" i="23"/>
  <c r="I479" i="23" s="1"/>
  <c r="K479" i="23"/>
  <c r="J475" i="23"/>
  <c r="I475" i="23" s="1"/>
  <c r="K475" i="23"/>
  <c r="G471" i="23"/>
  <c r="J471" i="23"/>
  <c r="I471" i="23" s="1"/>
  <c r="K471" i="23"/>
  <c r="J467" i="23"/>
  <c r="I467" i="23" s="1"/>
  <c r="K467" i="23"/>
  <c r="G463" i="23"/>
  <c r="J463" i="23"/>
  <c r="I463" i="23" s="1"/>
  <c r="K463" i="23"/>
  <c r="J459" i="23"/>
  <c r="I459" i="23" s="1"/>
  <c r="K459" i="23"/>
  <c r="J455" i="23"/>
  <c r="I455" i="23" s="1"/>
  <c r="K455" i="23"/>
  <c r="J451" i="23"/>
  <c r="I451" i="23" s="1"/>
  <c r="K451" i="23"/>
  <c r="G447" i="23"/>
  <c r="J447" i="23"/>
  <c r="I447" i="23" s="1"/>
  <c r="K447" i="23"/>
  <c r="J443" i="23"/>
  <c r="I443" i="23" s="1"/>
  <c r="K443" i="23"/>
  <c r="J439" i="23"/>
  <c r="I439" i="23" s="1"/>
  <c r="K439" i="23"/>
  <c r="G546" i="23"/>
  <c r="J546" i="23"/>
  <c r="I546" i="23" s="1"/>
  <c r="K546" i="23"/>
  <c r="J542" i="23"/>
  <c r="I542" i="23" s="1"/>
  <c r="K542" i="23"/>
  <c r="G538" i="23"/>
  <c r="J538" i="23"/>
  <c r="I538" i="23" s="1"/>
  <c r="K538" i="23"/>
  <c r="J534" i="23"/>
  <c r="I534" i="23" s="1"/>
  <c r="K534" i="23"/>
  <c r="G530" i="23"/>
  <c r="J530" i="23"/>
  <c r="I530" i="23" s="1"/>
  <c r="K530" i="23"/>
  <c r="J526" i="23"/>
  <c r="I526" i="23" s="1"/>
  <c r="K526" i="23"/>
  <c r="J522" i="23"/>
  <c r="I522" i="23" s="1"/>
  <c r="K522" i="23"/>
  <c r="J518" i="23"/>
  <c r="I518" i="23" s="1"/>
  <c r="K518" i="23"/>
  <c r="J514" i="23"/>
  <c r="I514" i="23" s="1"/>
  <c r="K514" i="23"/>
  <c r="J510" i="23"/>
  <c r="I510" i="23" s="1"/>
  <c r="K510" i="23"/>
  <c r="G506" i="23"/>
  <c r="J506" i="23"/>
  <c r="I506" i="23" s="1"/>
  <c r="K506" i="23"/>
  <c r="J502" i="23"/>
  <c r="I502" i="23" s="1"/>
  <c r="K502" i="23"/>
  <c r="G498" i="23"/>
  <c r="J498" i="23"/>
  <c r="I498" i="23" s="1"/>
  <c r="K498" i="23"/>
  <c r="J494" i="23"/>
  <c r="I494" i="23" s="1"/>
  <c r="K494" i="23"/>
  <c r="G490" i="23"/>
  <c r="J490" i="23"/>
  <c r="I490" i="23" s="1"/>
  <c r="K490" i="23"/>
  <c r="J486" i="23"/>
  <c r="I486" i="23" s="1"/>
  <c r="K486" i="23"/>
  <c r="G482" i="23"/>
  <c r="J482" i="23"/>
  <c r="I482" i="23" s="1"/>
  <c r="K482" i="23"/>
  <c r="J478" i="23"/>
  <c r="I478" i="23" s="1"/>
  <c r="K478" i="23"/>
  <c r="G474" i="23"/>
  <c r="J474" i="23"/>
  <c r="I474" i="23" s="1"/>
  <c r="K474" i="23"/>
  <c r="J470" i="23"/>
  <c r="I470" i="23" s="1"/>
  <c r="K470" i="23"/>
  <c r="J466" i="23"/>
  <c r="I466" i="23" s="1"/>
  <c r="K466" i="23"/>
  <c r="J462" i="23"/>
  <c r="I462" i="23" s="1"/>
  <c r="K462" i="23"/>
  <c r="G458" i="23"/>
  <c r="J458" i="23"/>
  <c r="I458" i="23" s="1"/>
  <c r="K458" i="23"/>
  <c r="J454" i="23"/>
  <c r="I454" i="23" s="1"/>
  <c r="K454" i="23"/>
  <c r="J450" i="23"/>
  <c r="I450" i="23" s="1"/>
  <c r="K450" i="23"/>
  <c r="J446" i="23"/>
  <c r="I446" i="23" s="1"/>
  <c r="K446" i="23"/>
  <c r="J442" i="23"/>
  <c r="I442" i="23" s="1"/>
  <c r="K442" i="23"/>
  <c r="J438" i="23"/>
  <c r="I438" i="23" s="1"/>
  <c r="K438" i="23"/>
  <c r="G554" i="23"/>
  <c r="J554" i="23"/>
  <c r="I554" i="23" s="1"/>
  <c r="K554" i="23"/>
  <c r="J553" i="23"/>
  <c r="I553" i="23" s="1"/>
  <c r="K553" i="23"/>
  <c r="M549" i="23"/>
  <c r="J549" i="23"/>
  <c r="I549" i="23" s="1"/>
  <c r="K549" i="23"/>
  <c r="J545" i="23"/>
  <c r="I545" i="23" s="1"/>
  <c r="K545" i="23"/>
  <c r="G541" i="23"/>
  <c r="J541" i="23"/>
  <c r="I541" i="23" s="1"/>
  <c r="K541" i="23"/>
  <c r="J537" i="23"/>
  <c r="I537" i="23" s="1"/>
  <c r="K537" i="23"/>
  <c r="J533" i="23"/>
  <c r="I533" i="23" s="1"/>
  <c r="K533" i="23"/>
  <c r="J529" i="23"/>
  <c r="I529" i="23" s="1"/>
  <c r="K529" i="23"/>
  <c r="J525" i="23"/>
  <c r="I525" i="23" s="1"/>
  <c r="K525" i="23"/>
  <c r="J521" i="23"/>
  <c r="I521" i="23" s="1"/>
  <c r="K521" i="23"/>
  <c r="G517" i="23"/>
  <c r="J517" i="23"/>
  <c r="I517" i="23" s="1"/>
  <c r="K517" i="23"/>
  <c r="J513" i="23"/>
  <c r="I513" i="23" s="1"/>
  <c r="K513" i="23"/>
  <c r="G509" i="23"/>
  <c r="J509" i="23"/>
  <c r="I509" i="23" s="1"/>
  <c r="K509" i="23"/>
  <c r="J505" i="23"/>
  <c r="I505" i="23" s="1"/>
  <c r="K505" i="23"/>
  <c r="G501" i="23"/>
  <c r="J501" i="23"/>
  <c r="I501" i="23" s="1"/>
  <c r="K501" i="23"/>
  <c r="J497" i="23"/>
  <c r="I497" i="23" s="1"/>
  <c r="K497" i="23"/>
  <c r="G493" i="23"/>
  <c r="J493" i="23"/>
  <c r="I493" i="23" s="1"/>
  <c r="K493" i="23"/>
  <c r="J489" i="23"/>
  <c r="I489" i="23" s="1"/>
  <c r="K489" i="23"/>
  <c r="G485" i="23"/>
  <c r="J485" i="23"/>
  <c r="I485" i="23" s="1"/>
  <c r="K485" i="23"/>
  <c r="J481" i="23"/>
  <c r="I481" i="23" s="1"/>
  <c r="K481" i="23"/>
  <c r="J477" i="23"/>
  <c r="I477" i="23" s="1"/>
  <c r="K477" i="23"/>
  <c r="J473" i="23"/>
  <c r="I473" i="23" s="1"/>
  <c r="K473" i="23"/>
  <c r="J469" i="23"/>
  <c r="I469" i="23" s="1"/>
  <c r="K469" i="23"/>
  <c r="J465" i="23"/>
  <c r="I465" i="23" s="1"/>
  <c r="K465" i="23"/>
  <c r="J461" i="23"/>
  <c r="I461" i="23" s="1"/>
  <c r="K461" i="23"/>
  <c r="J457" i="23"/>
  <c r="I457" i="23" s="1"/>
  <c r="K457" i="23"/>
  <c r="L453" i="23"/>
  <c r="J453" i="23"/>
  <c r="I453" i="23" s="1"/>
  <c r="K453" i="23"/>
  <c r="J449" i="23"/>
  <c r="I449" i="23" s="1"/>
  <c r="K449" i="23"/>
  <c r="G445" i="23"/>
  <c r="J445" i="23"/>
  <c r="I445" i="23" s="1"/>
  <c r="K445" i="23"/>
  <c r="J441" i="23"/>
  <c r="I441" i="23" s="1"/>
  <c r="K441" i="23"/>
  <c r="G437" i="23"/>
  <c r="J437" i="23"/>
  <c r="I437" i="23" s="1"/>
  <c r="K437" i="23"/>
  <c r="J558" i="23"/>
  <c r="I558" i="23" s="1"/>
  <c r="K558" i="23"/>
  <c r="J550" i="23"/>
  <c r="I550" i="23" s="1"/>
  <c r="K550" i="23"/>
  <c r="J561" i="23"/>
  <c r="I561" i="23" s="1"/>
  <c r="K561" i="23"/>
  <c r="G557" i="23"/>
  <c r="J557" i="23"/>
  <c r="I557" i="23" s="1"/>
  <c r="K557" i="23"/>
  <c r="G560" i="23"/>
  <c r="J560" i="23"/>
  <c r="I560" i="23" s="1"/>
  <c r="K560" i="23"/>
  <c r="J556" i="23"/>
  <c r="I556" i="23" s="1"/>
  <c r="K556" i="23"/>
  <c r="J552" i="23"/>
  <c r="I552" i="23" s="1"/>
  <c r="K552" i="23"/>
  <c r="J548" i="23"/>
  <c r="I548" i="23" s="1"/>
  <c r="K548" i="23"/>
  <c r="J544" i="23"/>
  <c r="I544" i="23" s="1"/>
  <c r="K544" i="23"/>
  <c r="J540" i="23"/>
  <c r="I540" i="23" s="1"/>
  <c r="K540" i="23"/>
  <c r="G536" i="23"/>
  <c r="J536" i="23"/>
  <c r="I536" i="23" s="1"/>
  <c r="K536" i="23"/>
  <c r="J532" i="23"/>
  <c r="I532" i="23" s="1"/>
  <c r="K532" i="23"/>
  <c r="J528" i="23"/>
  <c r="I528" i="23" s="1"/>
  <c r="K528" i="23"/>
  <c r="J524" i="23"/>
  <c r="I524" i="23" s="1"/>
  <c r="K524" i="23"/>
  <c r="G520" i="23"/>
  <c r="J520" i="23"/>
  <c r="I520" i="23" s="1"/>
  <c r="K520" i="23"/>
  <c r="J516" i="23"/>
  <c r="I516" i="23" s="1"/>
  <c r="K516" i="23"/>
  <c r="G512" i="23"/>
  <c r="J512" i="23"/>
  <c r="I512" i="23" s="1"/>
  <c r="K512" i="23"/>
  <c r="J508" i="23"/>
  <c r="I508" i="23" s="1"/>
  <c r="K508" i="23"/>
  <c r="G504" i="23"/>
  <c r="J504" i="23"/>
  <c r="I504" i="23" s="1"/>
  <c r="K504" i="23"/>
  <c r="J500" i="23"/>
  <c r="I500" i="23" s="1"/>
  <c r="K500" i="23"/>
  <c r="G496" i="23"/>
  <c r="J496" i="23"/>
  <c r="I496" i="23" s="1"/>
  <c r="K496" i="23"/>
  <c r="J492" i="23"/>
  <c r="I492" i="23" s="1"/>
  <c r="K492" i="23"/>
  <c r="J488" i="23"/>
  <c r="I488" i="23" s="1"/>
  <c r="K488" i="23"/>
  <c r="J484" i="23"/>
  <c r="I484" i="23" s="1"/>
  <c r="K484" i="23"/>
  <c r="J480" i="23"/>
  <c r="I480" i="23" s="1"/>
  <c r="K480" i="23"/>
  <c r="J476" i="23"/>
  <c r="I476" i="23" s="1"/>
  <c r="K476" i="23"/>
  <c r="G472" i="23"/>
  <c r="J472" i="23"/>
  <c r="I472" i="23" s="1"/>
  <c r="K472" i="23"/>
  <c r="J468" i="23"/>
  <c r="I468" i="23" s="1"/>
  <c r="K468" i="23"/>
  <c r="G464" i="23"/>
  <c r="J464" i="23"/>
  <c r="I464" i="23" s="1"/>
  <c r="K464" i="23"/>
  <c r="M460" i="23"/>
  <c r="J460" i="23"/>
  <c r="I460" i="23" s="1"/>
  <c r="K460" i="23"/>
  <c r="G456" i="23"/>
  <c r="J456" i="23"/>
  <c r="I456" i="23" s="1"/>
  <c r="K456" i="23"/>
  <c r="J452" i="23"/>
  <c r="I452" i="23" s="1"/>
  <c r="K452" i="23"/>
  <c r="G448" i="23"/>
  <c r="J448" i="23"/>
  <c r="I448" i="23" s="1"/>
  <c r="K448" i="23"/>
  <c r="J444" i="23"/>
  <c r="I444" i="23" s="1"/>
  <c r="K444" i="23"/>
  <c r="G440" i="23"/>
  <c r="J440" i="23"/>
  <c r="I440" i="23" s="1"/>
  <c r="K440" i="23"/>
  <c r="G528" i="23"/>
  <c r="M496" i="23"/>
  <c r="G479" i="23"/>
  <c r="L559" i="23"/>
  <c r="M559" i="23"/>
  <c r="L514" i="23"/>
  <c r="M514" i="23"/>
  <c r="G556" i="23"/>
  <c r="L556" i="23"/>
  <c r="M556" i="23"/>
  <c r="M552" i="23"/>
  <c r="L552" i="23"/>
  <c r="G549" i="23"/>
  <c r="G545" i="23"/>
  <c r="L545" i="23"/>
  <c r="M545" i="23"/>
  <c r="L533" i="23"/>
  <c r="M533" i="23"/>
  <c r="G526" i="23"/>
  <c r="L526" i="23"/>
  <c r="M526" i="23"/>
  <c r="L522" i="23"/>
  <c r="G507" i="23"/>
  <c r="M507" i="23"/>
  <c r="L503" i="23"/>
  <c r="M503" i="23"/>
  <c r="G492" i="23"/>
  <c r="L492" i="23"/>
  <c r="M492" i="23"/>
  <c r="M488" i="23"/>
  <c r="L488" i="23"/>
  <c r="G481" i="23"/>
  <c r="L481" i="23"/>
  <c r="M481" i="23"/>
  <c r="L477" i="23"/>
  <c r="M477" i="23"/>
  <c r="G470" i="23"/>
  <c r="L470" i="23"/>
  <c r="M470" i="23"/>
  <c r="L466" i="23"/>
  <c r="M466" i="23"/>
  <c r="G459" i="23"/>
  <c r="L459" i="23"/>
  <c r="M459" i="23"/>
  <c r="L455" i="23"/>
  <c r="M455" i="23"/>
  <c r="G452" i="23"/>
  <c r="L452" i="23"/>
  <c r="M452" i="23"/>
  <c r="L439" i="23"/>
  <c r="M439" i="23"/>
  <c r="M432" i="23"/>
  <c r="L432" i="23"/>
  <c r="L397" i="23"/>
  <c r="M397" i="23"/>
  <c r="L390" i="23"/>
  <c r="M390" i="23"/>
  <c r="L378" i="23"/>
  <c r="M378" i="23"/>
  <c r="M371" i="23"/>
  <c r="L371" i="23"/>
  <c r="L321" i="23"/>
  <c r="M321" i="23"/>
  <c r="L275" i="23"/>
  <c r="M275" i="23"/>
  <c r="L256" i="23"/>
  <c r="M256" i="23"/>
  <c r="L189" i="23"/>
  <c r="M189" i="23"/>
  <c r="M522" i="23"/>
  <c r="G484" i="23"/>
  <c r="L484" i="23"/>
  <c r="M484" i="23"/>
  <c r="L384" i="23"/>
  <c r="M384" i="23"/>
  <c r="L290" i="23"/>
  <c r="M290" i="23"/>
  <c r="G534" i="23"/>
  <c r="M534" i="23"/>
  <c r="L534" i="23"/>
  <c r="M530" i="23"/>
  <c r="L530" i="23"/>
  <c r="G515" i="23"/>
  <c r="L515" i="23"/>
  <c r="M515" i="23"/>
  <c r="L511" i="23"/>
  <c r="M511" i="23"/>
  <c r="G500" i="23"/>
  <c r="L500" i="23"/>
  <c r="M500" i="23"/>
  <c r="L496" i="23"/>
  <c r="G489" i="23"/>
  <c r="L489" i="23"/>
  <c r="M489" i="23"/>
  <c r="G478" i="23"/>
  <c r="L478" i="23"/>
  <c r="M478" i="23"/>
  <c r="L474" i="23"/>
  <c r="M474" i="23"/>
  <c r="G446" i="23"/>
  <c r="L446" i="23"/>
  <c r="M446" i="23"/>
  <c r="L436" i="23"/>
  <c r="M436" i="23"/>
  <c r="L429" i="23"/>
  <c r="M429" i="23"/>
  <c r="L417" i="23"/>
  <c r="M417" i="23"/>
  <c r="L394" i="23"/>
  <c r="M394" i="23"/>
  <c r="L375" i="23"/>
  <c r="M375" i="23"/>
  <c r="L353" i="23"/>
  <c r="M353" i="23"/>
  <c r="L278" i="23"/>
  <c r="M278" i="23"/>
  <c r="M244" i="23"/>
  <c r="L244" i="23"/>
  <c r="L241" i="23"/>
  <c r="M241" i="23"/>
  <c r="L211" i="23"/>
  <c r="M211" i="23"/>
  <c r="M544" i="23"/>
  <c r="L544" i="23"/>
  <c r="G537" i="23"/>
  <c r="L537" i="23"/>
  <c r="M537" i="23"/>
  <c r="G518" i="23"/>
  <c r="L518" i="23"/>
  <c r="M518" i="23"/>
  <c r="G499" i="23"/>
  <c r="L499" i="23"/>
  <c r="M499" i="23"/>
  <c r="L422" i="23"/>
  <c r="M422" i="23"/>
  <c r="G553" i="23"/>
  <c r="L553" i="23"/>
  <c r="M553" i="23"/>
  <c r="L538" i="23"/>
  <c r="M538" i="23"/>
  <c r="L519" i="23"/>
  <c r="M519" i="23"/>
  <c r="G508" i="23"/>
  <c r="L508" i="23"/>
  <c r="M508" i="23"/>
  <c r="M504" i="23"/>
  <c r="L504" i="23"/>
  <c r="G497" i="23"/>
  <c r="L497" i="23"/>
  <c r="M497" i="23"/>
  <c r="M485" i="23"/>
  <c r="L485" i="23"/>
  <c r="G467" i="23"/>
  <c r="L467" i="23"/>
  <c r="M467" i="23"/>
  <c r="L463" i="23"/>
  <c r="M463" i="23"/>
  <c r="G460" i="23"/>
  <c r="L460" i="23"/>
  <c r="L456" i="23"/>
  <c r="M456" i="23"/>
  <c r="M450" i="23"/>
  <c r="L450" i="23"/>
  <c r="G450" i="23"/>
  <c r="G443" i="23"/>
  <c r="L443" i="23"/>
  <c r="M443" i="23"/>
  <c r="L440" i="23"/>
  <c r="M440" i="23"/>
  <c r="M433" i="23"/>
  <c r="L433" i="23"/>
  <c r="L423" i="23"/>
  <c r="M423" i="23"/>
  <c r="L420" i="23"/>
  <c r="M420" i="23"/>
  <c r="L408" i="23"/>
  <c r="M408" i="23"/>
  <c r="L401" i="23"/>
  <c r="M401" i="23"/>
  <c r="L388" i="23"/>
  <c r="M388" i="23"/>
  <c r="L382" i="23"/>
  <c r="M382" i="23"/>
  <c r="L359" i="23"/>
  <c r="M359" i="23"/>
  <c r="L356" i="23"/>
  <c r="M356" i="23"/>
  <c r="L344" i="23"/>
  <c r="M344" i="23"/>
  <c r="L294" i="23"/>
  <c r="M294" i="23"/>
  <c r="L263" i="23"/>
  <c r="M263" i="23"/>
  <c r="L507" i="23"/>
  <c r="G548" i="23"/>
  <c r="L548" i="23"/>
  <c r="M548" i="23"/>
  <c r="L469" i="23"/>
  <c r="M469" i="23"/>
  <c r="L442" i="23"/>
  <c r="M442" i="23"/>
  <c r="G442" i="23"/>
  <c r="L435" i="23"/>
  <c r="M541" i="23"/>
  <c r="L541" i="23"/>
  <c r="G542" i="23"/>
  <c r="M542" i="23"/>
  <c r="L542" i="23"/>
  <c r="G523" i="23"/>
  <c r="L523" i="23"/>
  <c r="M523" i="23"/>
  <c r="L557" i="23"/>
  <c r="M557" i="23"/>
  <c r="G550" i="23"/>
  <c r="M550" i="23"/>
  <c r="L550" i="23"/>
  <c r="L546" i="23"/>
  <c r="M546" i="23"/>
  <c r="G531" i="23"/>
  <c r="L531" i="23"/>
  <c r="M531" i="23"/>
  <c r="M527" i="23"/>
  <c r="L527" i="23"/>
  <c r="G516" i="23"/>
  <c r="L516" i="23"/>
  <c r="M516" i="23"/>
  <c r="L512" i="23"/>
  <c r="M512" i="23"/>
  <c r="G505" i="23"/>
  <c r="L505" i="23"/>
  <c r="M505" i="23"/>
  <c r="L493" i="23"/>
  <c r="M493" i="23"/>
  <c r="G486" i="23"/>
  <c r="M486" i="23"/>
  <c r="L486" i="23"/>
  <c r="M482" i="23"/>
  <c r="L482" i="23"/>
  <c r="G475" i="23"/>
  <c r="L475" i="23"/>
  <c r="M475" i="23"/>
  <c r="L471" i="23"/>
  <c r="M471" i="23"/>
  <c r="M453" i="23"/>
  <c r="G453" i="23"/>
  <c r="M427" i="23"/>
  <c r="L427" i="23"/>
  <c r="L398" i="23"/>
  <c r="M398" i="23"/>
  <c r="L379" i="23"/>
  <c r="M379" i="23"/>
  <c r="L363" i="23"/>
  <c r="M363" i="23"/>
  <c r="L351" i="23"/>
  <c r="M351" i="23"/>
  <c r="L179" i="23"/>
  <c r="M179" i="23"/>
  <c r="M403" i="23"/>
  <c r="L403" i="23"/>
  <c r="M560" i="23"/>
  <c r="L560" i="23"/>
  <c r="L549" i="23"/>
  <c r="L520" i="23"/>
  <c r="M520" i="23"/>
  <c r="G513" i="23"/>
  <c r="L513" i="23"/>
  <c r="M513" i="23"/>
  <c r="M501" i="23"/>
  <c r="L501" i="23"/>
  <c r="G494" i="23"/>
  <c r="L494" i="23"/>
  <c r="M494" i="23"/>
  <c r="L490" i="23"/>
  <c r="M490" i="23"/>
  <c r="M447" i="23"/>
  <c r="L447" i="23"/>
  <c r="G441" i="23"/>
  <c r="L441" i="23"/>
  <c r="M441" i="23"/>
  <c r="L418" i="23"/>
  <c r="M418" i="23"/>
  <c r="L412" i="23"/>
  <c r="M412" i="23"/>
  <c r="L405" i="23"/>
  <c r="M405" i="23"/>
  <c r="L386" i="23"/>
  <c r="M386" i="23"/>
  <c r="L332" i="23"/>
  <c r="M332" i="23"/>
  <c r="L329" i="23"/>
  <c r="M329" i="23"/>
  <c r="M298" i="23"/>
  <c r="L298" i="23"/>
  <c r="M525" i="23"/>
  <c r="L525" i="23"/>
  <c r="L495" i="23"/>
  <c r="M495" i="23"/>
  <c r="G462" i="23"/>
  <c r="L462" i="23"/>
  <c r="M462" i="23"/>
  <c r="L186" i="23"/>
  <c r="M186" i="23"/>
  <c r="G539" i="23"/>
  <c r="L539" i="23"/>
  <c r="M539" i="23"/>
  <c r="M535" i="23"/>
  <c r="L535" i="23"/>
  <c r="G524" i="23"/>
  <c r="L524" i="23"/>
  <c r="M524" i="23"/>
  <c r="G559" i="23"/>
  <c r="G547" i="23"/>
  <c r="M547" i="23"/>
  <c r="L547" i="23"/>
  <c r="G544" i="23"/>
  <c r="M543" i="23"/>
  <c r="L543" i="23"/>
  <c r="G532" i="23"/>
  <c r="M532" i="23"/>
  <c r="L532" i="23"/>
  <c r="L528" i="23"/>
  <c r="M528" i="23"/>
  <c r="G525" i="23"/>
  <c r="G521" i="23"/>
  <c r="L521" i="23"/>
  <c r="M521" i="23"/>
  <c r="G514" i="23"/>
  <c r="L509" i="23"/>
  <c r="M509" i="23"/>
  <c r="G502" i="23"/>
  <c r="M502" i="23"/>
  <c r="L502" i="23"/>
  <c r="L498" i="23"/>
  <c r="M498" i="23"/>
  <c r="G495" i="23"/>
  <c r="G476" i="23"/>
  <c r="M476" i="23"/>
  <c r="L472" i="23"/>
  <c r="M472" i="23"/>
  <c r="G469" i="23"/>
  <c r="G465" i="23"/>
  <c r="L465" i="23"/>
  <c r="M465" i="23"/>
  <c r="L461" i="23"/>
  <c r="M461" i="23"/>
  <c r="G461" i="23"/>
  <c r="G454" i="23"/>
  <c r="M454" i="23"/>
  <c r="L454" i="23"/>
  <c r="G451" i="23"/>
  <c r="M451" i="23"/>
  <c r="L451" i="23"/>
  <c r="G444" i="23"/>
  <c r="M444" i="23"/>
  <c r="L444" i="23"/>
  <c r="L431" i="23"/>
  <c r="M431" i="23"/>
  <c r="M424" i="23"/>
  <c r="L424" i="23"/>
  <c r="M409" i="23"/>
  <c r="L409" i="23"/>
  <c r="L389" i="23"/>
  <c r="M389" i="23"/>
  <c r="L360" i="23"/>
  <c r="M360" i="23"/>
  <c r="L301" i="23"/>
  <c r="M301" i="23"/>
  <c r="L286" i="23"/>
  <c r="M286" i="23"/>
  <c r="L252" i="23"/>
  <c r="M252" i="23"/>
  <c r="M218" i="23"/>
  <c r="L218" i="23"/>
  <c r="M435" i="23"/>
  <c r="G561" i="23"/>
  <c r="M561" i="23"/>
  <c r="L561" i="23"/>
  <c r="G558" i="23"/>
  <c r="L558" i="23"/>
  <c r="M558" i="23"/>
  <c r="M554" i="23"/>
  <c r="L554" i="23"/>
  <c r="G555" i="23"/>
  <c r="M555" i="23"/>
  <c r="G552" i="23"/>
  <c r="L551" i="23"/>
  <c r="M551" i="23"/>
  <c r="G540" i="23"/>
  <c r="M540" i="23"/>
  <c r="L540" i="23"/>
  <c r="L536" i="23"/>
  <c r="M536" i="23"/>
  <c r="G533" i="23"/>
  <c r="G529" i="23"/>
  <c r="L529" i="23"/>
  <c r="M529" i="23"/>
  <c r="G522" i="23"/>
  <c r="M517" i="23"/>
  <c r="L517" i="23"/>
  <c r="G510" i="23"/>
  <c r="L510" i="23"/>
  <c r="M510" i="23"/>
  <c r="L506" i="23"/>
  <c r="M506" i="23"/>
  <c r="G503" i="23"/>
  <c r="G491" i="23"/>
  <c r="M491" i="23"/>
  <c r="L491" i="23"/>
  <c r="G488" i="23"/>
  <c r="L487" i="23"/>
  <c r="M487" i="23"/>
  <c r="M480" i="23"/>
  <c r="G480" i="23"/>
  <c r="L480" i="23"/>
  <c r="G477" i="23"/>
  <c r="G473" i="23"/>
  <c r="L473" i="23"/>
  <c r="M473" i="23"/>
  <c r="G466" i="23"/>
  <c r="L458" i="23"/>
  <c r="M458" i="23"/>
  <c r="G455" i="23"/>
  <c r="M448" i="23"/>
  <c r="L448" i="23"/>
  <c r="G439" i="23"/>
  <c r="L428" i="23"/>
  <c r="M428" i="23"/>
  <c r="L425" i="23"/>
  <c r="M425" i="23"/>
  <c r="L416" i="23"/>
  <c r="M416" i="23"/>
  <c r="L399" i="23"/>
  <c r="M399" i="23"/>
  <c r="L367" i="23"/>
  <c r="M367" i="23"/>
  <c r="L364" i="23"/>
  <c r="M364" i="23"/>
  <c r="L352" i="23"/>
  <c r="M352" i="23"/>
  <c r="L271" i="23"/>
  <c r="M271" i="23"/>
  <c r="L221" i="23"/>
  <c r="M221" i="23"/>
  <c r="L476" i="23"/>
  <c r="L317" i="23"/>
  <c r="M317" i="23"/>
  <c r="L309" i="23"/>
  <c r="M309" i="23"/>
  <c r="M306" i="23"/>
  <c r="L306" i="23"/>
  <c r="L291" i="23"/>
  <c r="M291" i="23"/>
  <c r="L283" i="23"/>
  <c r="M283" i="23"/>
  <c r="L272" i="23"/>
  <c r="M272" i="23"/>
  <c r="L264" i="23"/>
  <c r="M264" i="23"/>
  <c r="L260" i="23"/>
  <c r="M260" i="23"/>
  <c r="L249" i="23"/>
  <c r="M249" i="23"/>
  <c r="L229" i="23"/>
  <c r="M229" i="23"/>
  <c r="L226" i="23"/>
  <c r="M226" i="23"/>
  <c r="L222" i="23"/>
  <c r="M222" i="23"/>
  <c r="L215" i="23"/>
  <c r="M215" i="23"/>
  <c r="L208" i="23"/>
  <c r="M208" i="23"/>
  <c r="L204" i="23"/>
  <c r="M204" i="23"/>
  <c r="L201" i="23"/>
  <c r="M201" i="23"/>
  <c r="M190" i="23"/>
  <c r="L190" i="23"/>
  <c r="L183" i="23"/>
  <c r="M183" i="23"/>
  <c r="L176" i="23"/>
  <c r="M176" i="23"/>
  <c r="M172" i="23"/>
  <c r="L172" i="23"/>
  <c r="L169" i="23"/>
  <c r="M169" i="23"/>
  <c r="L348" i="23"/>
  <c r="L340" i="23"/>
  <c r="M340" i="23"/>
  <c r="L337" i="23"/>
  <c r="M337" i="23"/>
  <c r="L333" i="23"/>
  <c r="M333" i="23"/>
  <c r="L325" i="23"/>
  <c r="M325" i="23"/>
  <c r="L322" i="23"/>
  <c r="M322" i="23"/>
  <c r="L314" i="23"/>
  <c r="M314" i="23"/>
  <c r="L310" i="23"/>
  <c r="M310" i="23"/>
  <c r="L302" i="23"/>
  <c r="M302" i="23"/>
  <c r="L299" i="23"/>
  <c r="M299" i="23"/>
  <c r="M295" i="23"/>
  <c r="L295" i="23"/>
  <c r="L287" i="23"/>
  <c r="M287" i="23"/>
  <c r="L279" i="23"/>
  <c r="M279" i="23"/>
  <c r="L268" i="23"/>
  <c r="M268" i="23"/>
  <c r="L257" i="23"/>
  <c r="M257" i="23"/>
  <c r="L237" i="23"/>
  <c r="M237" i="23"/>
  <c r="L234" i="23"/>
  <c r="M234" i="23"/>
  <c r="L230" i="23"/>
  <c r="M230" i="23"/>
  <c r="L219" i="23"/>
  <c r="M219" i="23"/>
  <c r="L197" i="23"/>
  <c r="M197" i="23"/>
  <c r="M194" i="23"/>
  <c r="L194" i="23"/>
  <c r="M187" i="23"/>
  <c r="L187" i="23"/>
  <c r="L165" i="23"/>
  <c r="M165" i="23"/>
  <c r="M162" i="23"/>
  <c r="L162" i="23"/>
  <c r="L413" i="23"/>
  <c r="M413" i="23"/>
  <c r="M406" i="23"/>
  <c r="L402" i="23"/>
  <c r="M402" i="23"/>
  <c r="L387" i="23"/>
  <c r="M387" i="23"/>
  <c r="L383" i="23"/>
  <c r="M383" i="23"/>
  <c r="L372" i="23"/>
  <c r="M372" i="23"/>
  <c r="M368" i="23"/>
  <c r="L368" i="23"/>
  <c r="L361" i="23"/>
  <c r="M361" i="23"/>
  <c r="L345" i="23"/>
  <c r="M345" i="23"/>
  <c r="L318" i="23"/>
  <c r="M318" i="23"/>
  <c r="M315" i="23"/>
  <c r="L315" i="23"/>
  <c r="L307" i="23"/>
  <c r="M307" i="23"/>
  <c r="L296" i="23"/>
  <c r="M296" i="23"/>
  <c r="L288" i="23"/>
  <c r="M288" i="23"/>
  <c r="L280" i="23"/>
  <c r="M280" i="23"/>
  <c r="L276" i="23"/>
  <c r="M276" i="23"/>
  <c r="M273" i="23"/>
  <c r="L273" i="23"/>
  <c r="M265" i="23"/>
  <c r="L265" i="23"/>
  <c r="M253" i="23"/>
  <c r="L253" i="23"/>
  <c r="L245" i="23"/>
  <c r="M245" i="23"/>
  <c r="L242" i="23"/>
  <c r="M242" i="23"/>
  <c r="M238" i="23"/>
  <c r="L238" i="23"/>
  <c r="M227" i="23"/>
  <c r="L227" i="23"/>
  <c r="M223" i="23"/>
  <c r="L223" i="23"/>
  <c r="L216" i="23"/>
  <c r="M216" i="23"/>
  <c r="L212" i="23"/>
  <c r="M212" i="23"/>
  <c r="L209" i="23"/>
  <c r="M209" i="23"/>
  <c r="L198" i="23"/>
  <c r="M198" i="23"/>
  <c r="L191" i="23"/>
  <c r="M191" i="23"/>
  <c r="M184" i="23"/>
  <c r="L184" i="23"/>
  <c r="L180" i="23"/>
  <c r="M180" i="23"/>
  <c r="L177" i="23"/>
  <c r="M177" i="23"/>
  <c r="L166" i="23"/>
  <c r="M166" i="23"/>
  <c r="L421" i="23"/>
  <c r="M421" i="23"/>
  <c r="L414" i="23"/>
  <c r="M414" i="23"/>
  <c r="L410" i="23"/>
  <c r="M410" i="23"/>
  <c r="L395" i="23"/>
  <c r="M395" i="23"/>
  <c r="L391" i="23"/>
  <c r="M391" i="23"/>
  <c r="L380" i="23"/>
  <c r="M380" i="23"/>
  <c r="L376" i="23"/>
  <c r="M376" i="23"/>
  <c r="L369" i="23"/>
  <c r="M369" i="23"/>
  <c r="L357" i="23"/>
  <c r="M357" i="23"/>
  <c r="L349" i="23"/>
  <c r="M349" i="23"/>
  <c r="L346" i="23"/>
  <c r="M346" i="23"/>
  <c r="L341" i="23"/>
  <c r="M341" i="23"/>
  <c r="L338" i="23"/>
  <c r="M338" i="23"/>
  <c r="M334" i="23"/>
  <c r="L334" i="23"/>
  <c r="L330" i="23"/>
  <c r="M330" i="23"/>
  <c r="L326" i="23"/>
  <c r="M326" i="23"/>
  <c r="L323" i="23"/>
  <c r="M323" i="23"/>
  <c r="L311" i="23"/>
  <c r="M311" i="23"/>
  <c r="L303" i="23"/>
  <c r="M303" i="23"/>
  <c r="M292" i="23"/>
  <c r="L292" i="23"/>
  <c r="M284" i="23"/>
  <c r="L284" i="23"/>
  <c r="L261" i="23"/>
  <c r="M261" i="23"/>
  <c r="L258" i="23"/>
  <c r="M258" i="23"/>
  <c r="L250" i="23"/>
  <c r="M250" i="23"/>
  <c r="L246" i="23"/>
  <c r="M246" i="23"/>
  <c r="L235" i="23"/>
  <c r="M235" i="23"/>
  <c r="L231" i="23"/>
  <c r="M231" i="23"/>
  <c r="L224" i="23"/>
  <c r="M224" i="23"/>
  <c r="M205" i="23"/>
  <c r="L205" i="23"/>
  <c r="M202" i="23"/>
  <c r="L202" i="23"/>
  <c r="L195" i="23"/>
  <c r="M195" i="23"/>
  <c r="L173" i="23"/>
  <c r="M173" i="23"/>
  <c r="L170" i="23"/>
  <c r="M170" i="23"/>
  <c r="M163" i="23"/>
  <c r="L163" i="23"/>
  <c r="M348" i="23"/>
  <c r="M377" i="23"/>
  <c r="L377" i="23"/>
  <c r="L365" i="23"/>
  <c r="M365" i="23"/>
  <c r="L358" i="23"/>
  <c r="M358" i="23"/>
  <c r="L354" i="23"/>
  <c r="M354" i="23"/>
  <c r="M342" i="23"/>
  <c r="L342" i="23"/>
  <c r="L331" i="23"/>
  <c r="M331" i="23"/>
  <c r="L319" i="23"/>
  <c r="M319" i="23"/>
  <c r="L312" i="23"/>
  <c r="M312" i="23"/>
  <c r="L304" i="23"/>
  <c r="M304" i="23"/>
  <c r="L300" i="23"/>
  <c r="M300" i="23"/>
  <c r="L297" i="23"/>
  <c r="M297" i="23"/>
  <c r="L289" i="23"/>
  <c r="M289" i="23"/>
  <c r="L281" i="23"/>
  <c r="M281" i="23"/>
  <c r="L269" i="23"/>
  <c r="M269" i="23"/>
  <c r="L254" i="23"/>
  <c r="M254" i="23"/>
  <c r="L251" i="23"/>
  <c r="M251" i="23"/>
  <c r="M243" i="23"/>
  <c r="L243" i="23"/>
  <c r="L239" i="23"/>
  <c r="M239" i="23"/>
  <c r="L232" i="23"/>
  <c r="M232" i="23"/>
  <c r="L220" i="23"/>
  <c r="M220" i="23"/>
  <c r="M217" i="23"/>
  <c r="L217" i="23"/>
  <c r="L206" i="23"/>
  <c r="M206" i="23"/>
  <c r="M199" i="23"/>
  <c r="L199" i="23"/>
  <c r="L192" i="23"/>
  <c r="M192" i="23"/>
  <c r="M188" i="23"/>
  <c r="L188" i="23"/>
  <c r="M185" i="23"/>
  <c r="L185" i="23"/>
  <c r="L174" i="23"/>
  <c r="M174" i="23"/>
  <c r="L167" i="23"/>
  <c r="M167" i="23"/>
  <c r="L160" i="23"/>
  <c r="M160" i="23"/>
  <c r="G449" i="23"/>
  <c r="L449" i="23"/>
  <c r="M449" i="23"/>
  <c r="L437" i="23"/>
  <c r="M437" i="23"/>
  <c r="M430" i="23"/>
  <c r="L430" i="23"/>
  <c r="L426" i="23"/>
  <c r="M426" i="23"/>
  <c r="L411" i="23"/>
  <c r="M411" i="23"/>
  <c r="L407" i="23"/>
  <c r="M407" i="23"/>
  <c r="L396" i="23"/>
  <c r="M396" i="23"/>
  <c r="L392" i="23"/>
  <c r="M392" i="23"/>
  <c r="L385" i="23"/>
  <c r="M385" i="23"/>
  <c r="L373" i="23"/>
  <c r="M373" i="23"/>
  <c r="L366" i="23"/>
  <c r="M366" i="23"/>
  <c r="L362" i="23"/>
  <c r="M362" i="23"/>
  <c r="L350" i="23"/>
  <c r="M350" i="23"/>
  <c r="L335" i="23"/>
  <c r="M335" i="23"/>
  <c r="L327" i="23"/>
  <c r="M327" i="23"/>
  <c r="M320" i="23"/>
  <c r="L320" i="23"/>
  <c r="L316" i="23"/>
  <c r="M316" i="23"/>
  <c r="L308" i="23"/>
  <c r="M308" i="23"/>
  <c r="L277" i="23"/>
  <c r="M277" i="23"/>
  <c r="L274" i="23"/>
  <c r="M274" i="23"/>
  <c r="M270" i="23"/>
  <c r="L270" i="23"/>
  <c r="L266" i="23"/>
  <c r="M266" i="23"/>
  <c r="L262" i="23"/>
  <c r="M262" i="23"/>
  <c r="L259" i="23"/>
  <c r="M259" i="23"/>
  <c r="L247" i="23"/>
  <c r="M247" i="23"/>
  <c r="L240" i="23"/>
  <c r="M240" i="23"/>
  <c r="L228" i="23"/>
  <c r="M228" i="23"/>
  <c r="L225" i="23"/>
  <c r="M225" i="23"/>
  <c r="L213" i="23"/>
  <c r="M213" i="23"/>
  <c r="L210" i="23"/>
  <c r="M210" i="23"/>
  <c r="L203" i="23"/>
  <c r="M203" i="23"/>
  <c r="M181" i="23"/>
  <c r="L181" i="23"/>
  <c r="M178" i="23"/>
  <c r="L178" i="23"/>
  <c r="L171" i="23"/>
  <c r="M171" i="23"/>
  <c r="G483" i="23"/>
  <c r="M483" i="23"/>
  <c r="M479" i="23"/>
  <c r="G468" i="23"/>
  <c r="L468" i="23"/>
  <c r="M468" i="23"/>
  <c r="L464" i="23"/>
  <c r="M464" i="23"/>
  <c r="G457" i="23"/>
  <c r="M457" i="23"/>
  <c r="L445" i="23"/>
  <c r="M445" i="23"/>
  <c r="G438" i="23"/>
  <c r="L438" i="23"/>
  <c r="M438" i="23"/>
  <c r="L434" i="23"/>
  <c r="M434" i="23"/>
  <c r="L419" i="23"/>
  <c r="M419" i="23"/>
  <c r="L415" i="23"/>
  <c r="M415" i="23"/>
  <c r="L404" i="23"/>
  <c r="M404" i="23"/>
  <c r="M400" i="23"/>
  <c r="L400" i="23"/>
  <c r="L393" i="23"/>
  <c r="M393" i="23"/>
  <c r="L381" i="23"/>
  <c r="M381" i="23"/>
  <c r="M374" i="23"/>
  <c r="L374" i="23"/>
  <c r="L370" i="23"/>
  <c r="M370" i="23"/>
  <c r="L355" i="23"/>
  <c r="M355" i="23"/>
  <c r="L347" i="23"/>
  <c r="M347" i="23"/>
  <c r="L343" i="23"/>
  <c r="M343" i="23"/>
  <c r="L339" i="23"/>
  <c r="M339" i="23"/>
  <c r="L336" i="23"/>
  <c r="M336" i="23"/>
  <c r="L328" i="23"/>
  <c r="M328" i="23"/>
  <c r="L324" i="23"/>
  <c r="M324" i="23"/>
  <c r="L313" i="23"/>
  <c r="M313" i="23"/>
  <c r="L305" i="23"/>
  <c r="M305" i="23"/>
  <c r="L293" i="23"/>
  <c r="M293" i="23"/>
  <c r="L285" i="23"/>
  <c r="M285" i="23"/>
  <c r="L282" i="23"/>
  <c r="M282" i="23"/>
  <c r="L267" i="23"/>
  <c r="M267" i="23"/>
  <c r="L255" i="23"/>
  <c r="M255" i="23"/>
  <c r="M248" i="23"/>
  <c r="L248" i="23"/>
  <c r="M236" i="23"/>
  <c r="L236" i="23"/>
  <c r="M233" i="23"/>
  <c r="L233" i="23"/>
  <c r="M214" i="23"/>
  <c r="L214" i="23"/>
  <c r="L207" i="23"/>
  <c r="M207" i="23"/>
  <c r="L200" i="23"/>
  <c r="M200" i="23"/>
  <c r="L196" i="23"/>
  <c r="M196" i="23"/>
  <c r="M193" i="23"/>
  <c r="L193" i="23"/>
  <c r="L182" i="23"/>
  <c r="M182" i="23"/>
  <c r="M175" i="23"/>
  <c r="L175" i="23"/>
  <c r="L168" i="23"/>
  <c r="M168" i="23"/>
  <c r="M164" i="23"/>
  <c r="L164" i="23"/>
  <c r="M161" i="23"/>
  <c r="L161" i="23"/>
  <c r="L457" i="23"/>
  <c r="L406" i="23"/>
  <c r="X99" i="1" l="1"/>
  <c r="X92" i="1"/>
  <c r="X56" i="1" l="1"/>
  <c r="X57" i="1"/>
  <c r="X58" i="1"/>
  <c r="X59" i="1"/>
  <c r="X60" i="1"/>
  <c r="X61" i="1"/>
  <c r="X62" i="1"/>
  <c r="X63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4" i="1"/>
  <c r="X85" i="1"/>
  <c r="X89" i="1"/>
  <c r="X90" i="1"/>
  <c r="X91" i="1"/>
  <c r="X93" i="1"/>
  <c r="X94" i="1"/>
  <c r="X95" i="1"/>
  <c r="X96" i="1"/>
  <c r="X97" i="1"/>
  <c r="X98" i="1"/>
  <c r="X100" i="1"/>
  <c r="X102" i="1"/>
  <c r="X103" i="1"/>
  <c r="X3" i="1"/>
  <c r="X104" i="1"/>
  <c r="X105" i="1"/>
  <c r="X110" i="1"/>
  <c r="X109" i="1"/>
  <c r="X111" i="1"/>
  <c r="X115" i="1"/>
  <c r="X113" i="1"/>
  <c r="X51" i="1"/>
  <c r="X114" i="1"/>
  <c r="X116" i="1"/>
  <c r="X117" i="1"/>
  <c r="X52" i="1"/>
  <c r="X4" i="1"/>
  <c r="X118" i="1"/>
  <c r="X119" i="1"/>
  <c r="X83" i="1"/>
  <c r="X120" i="1"/>
  <c r="X121" i="1"/>
  <c r="X122" i="1"/>
  <c r="X101" i="1"/>
  <c r="X124" i="1"/>
  <c r="X123" i="1"/>
  <c r="X53" i="1"/>
  <c r="X125" i="1"/>
  <c r="X127" i="1"/>
  <c r="X129" i="1"/>
  <c r="X54" i="1"/>
  <c r="X126" i="1"/>
  <c r="X128" i="1"/>
  <c r="X130" i="1"/>
  <c r="X131" i="1"/>
  <c r="X6" i="1"/>
  <c r="X86" i="1"/>
  <c r="X87" i="1"/>
  <c r="X88" i="1"/>
  <c r="X132" i="1"/>
  <c r="X133" i="1"/>
  <c r="X7" i="1"/>
  <c r="X8" i="1"/>
  <c r="X112" i="1"/>
  <c r="X106" i="1"/>
  <c r="X9" i="1"/>
  <c r="X10" i="1"/>
  <c r="X11" i="1"/>
  <c r="X12" i="1"/>
  <c r="X107" i="1"/>
  <c r="X108" i="1"/>
  <c r="X14" i="1"/>
  <c r="X15" i="1"/>
  <c r="X22" i="1"/>
  <c r="X16" i="1"/>
  <c r="X18" i="1"/>
  <c r="X17" i="1"/>
  <c r="X13" i="1"/>
  <c r="X5" i="1"/>
  <c r="X19" i="1"/>
  <c r="X20" i="1"/>
  <c r="X21" i="1"/>
  <c r="X23" i="1"/>
  <c r="X24" i="1"/>
  <c r="X25" i="1"/>
  <c r="X26" i="1"/>
  <c r="X27" i="1"/>
  <c r="X28" i="1"/>
  <c r="X29" i="1"/>
  <c r="X30" i="1"/>
  <c r="X31" i="1"/>
  <c r="X32" i="1"/>
  <c r="X34" i="1"/>
  <c r="X35" i="1"/>
  <c r="X36" i="1"/>
  <c r="X37" i="1"/>
  <c r="X33" i="1"/>
  <c r="X38" i="1"/>
  <c r="X39" i="1"/>
  <c r="X40" i="1"/>
  <c r="X41" i="1"/>
  <c r="X42" i="1"/>
  <c r="X43" i="1"/>
  <c r="X44" i="1"/>
  <c r="X45" i="1"/>
  <c r="X46" i="1"/>
  <c r="X48" i="1"/>
  <c r="X47" i="1"/>
  <c r="X49" i="1"/>
  <c r="X50" i="1"/>
  <c r="X55" i="1"/>
  <c r="C109" i="1"/>
  <c r="C111" i="1"/>
  <c r="C115" i="1"/>
  <c r="C113" i="1"/>
  <c r="C114" i="1"/>
  <c r="C116" i="1"/>
  <c r="C117" i="1"/>
  <c r="C118" i="1"/>
  <c r="C119" i="1"/>
  <c r="C120" i="1"/>
  <c r="C121" i="1"/>
  <c r="C122" i="1"/>
  <c r="C124" i="1"/>
  <c r="C123" i="1"/>
  <c r="C125" i="1"/>
  <c r="C127" i="1"/>
  <c r="C129" i="1"/>
  <c r="C126" i="1"/>
  <c r="C128" i="1"/>
  <c r="C130" i="1"/>
  <c r="C131" i="1"/>
  <c r="C132" i="1"/>
  <c r="C133" i="1"/>
  <c r="C112" i="1"/>
  <c r="C110" i="1"/>
  <c r="N51" i="1"/>
  <c r="N52" i="1"/>
  <c r="N4" i="1"/>
  <c r="N83" i="1"/>
  <c r="N53" i="1"/>
  <c r="N54" i="1"/>
  <c r="N6" i="1"/>
  <c r="N8" i="1"/>
  <c r="N9" i="1"/>
  <c r="N22" i="1"/>
  <c r="N16" i="1"/>
  <c r="N18" i="1"/>
  <c r="N17" i="1"/>
  <c r="N13" i="1"/>
  <c r="N19" i="1"/>
  <c r="N20" i="1"/>
  <c r="N21" i="1"/>
  <c r="N23" i="1"/>
  <c r="N24" i="1"/>
  <c r="N26" i="1"/>
  <c r="N27" i="1"/>
  <c r="N28" i="1"/>
  <c r="N29" i="1"/>
  <c r="N32" i="1"/>
  <c r="N35" i="1"/>
  <c r="N36" i="1"/>
  <c r="N37" i="1"/>
  <c r="N33" i="1"/>
  <c r="N39" i="1"/>
  <c r="N40" i="1"/>
  <c r="N41" i="1"/>
  <c r="N43" i="1"/>
  <c r="N45" i="1"/>
  <c r="N48" i="1"/>
  <c r="N47" i="1"/>
  <c r="N49" i="1"/>
  <c r="N50" i="1"/>
  <c r="N55" i="1"/>
  <c r="N56" i="1"/>
  <c r="N57" i="1"/>
  <c r="N59" i="1"/>
  <c r="N60" i="1"/>
  <c r="N61" i="1"/>
  <c r="N62" i="1"/>
  <c r="N63" i="1"/>
  <c r="N65" i="1"/>
  <c r="N66" i="1"/>
  <c r="N67" i="1"/>
  <c r="N68" i="1"/>
  <c r="N69" i="1"/>
  <c r="N70" i="1"/>
  <c r="N71" i="1"/>
  <c r="N72" i="1"/>
  <c r="N73" i="1"/>
  <c r="N74" i="1"/>
  <c r="N75" i="1"/>
  <c r="N77" i="1"/>
  <c r="N78" i="1"/>
  <c r="N80" i="1"/>
  <c r="N81" i="1"/>
  <c r="N82" i="1"/>
  <c r="N84" i="1"/>
  <c r="I4" i="6" l="1"/>
  <c r="M4" i="6"/>
  <c r="J4" i="6"/>
  <c r="N4" i="6"/>
  <c r="O4" i="6"/>
  <c r="K4" i="6"/>
  <c r="H4" i="6"/>
  <c r="L4" i="6"/>
  <c r="BA25" i="6"/>
  <c r="AW25" i="6"/>
  <c r="AS25" i="6"/>
  <c r="AO25" i="6"/>
  <c r="AK25" i="6"/>
  <c r="AG25" i="6"/>
  <c r="AC25" i="6"/>
  <c r="Y25" i="6"/>
  <c r="U25" i="6"/>
  <c r="Q25" i="6"/>
  <c r="M25" i="6"/>
  <c r="I25" i="6"/>
  <c r="E25" i="6"/>
  <c r="AY25" i="6"/>
  <c r="N25" i="6"/>
  <c r="F25" i="6"/>
  <c r="AZ25" i="6"/>
  <c r="AV25" i="6"/>
  <c r="AR25" i="6"/>
  <c r="AN25" i="6"/>
  <c r="AJ25" i="6"/>
  <c r="AF25" i="6"/>
  <c r="AB25" i="6"/>
  <c r="X25" i="6"/>
  <c r="T25" i="6"/>
  <c r="P25" i="6"/>
  <c r="L25" i="6"/>
  <c r="H25" i="6"/>
  <c r="D25" i="6"/>
  <c r="AU25" i="6"/>
  <c r="AM25" i="6"/>
  <c r="AI25" i="6"/>
  <c r="AE25" i="6"/>
  <c r="AA25" i="6"/>
  <c r="W25" i="6"/>
  <c r="S25" i="6"/>
  <c r="O25" i="6"/>
  <c r="K25" i="6"/>
  <c r="G25" i="6"/>
  <c r="C25" i="6"/>
  <c r="C29" i="6" s="1"/>
  <c r="BB25" i="6"/>
  <c r="AX25" i="6"/>
  <c r="AT25" i="6"/>
  <c r="AP25" i="6"/>
  <c r="AL25" i="6"/>
  <c r="AH25" i="6"/>
  <c r="AD25" i="6"/>
  <c r="Z25" i="6"/>
  <c r="V25" i="6"/>
  <c r="R25" i="6"/>
  <c r="J25" i="6"/>
  <c r="F4" i="6"/>
  <c r="E4" i="6"/>
  <c r="D4" i="6"/>
  <c r="G4" i="6"/>
  <c r="BB26" i="6"/>
  <c r="AX26" i="6"/>
  <c r="AT26" i="6"/>
  <c r="AP26" i="6"/>
  <c r="AL26" i="6"/>
  <c r="AH26" i="6"/>
  <c r="AD26" i="6"/>
  <c r="Z26" i="6"/>
  <c r="V26" i="6"/>
  <c r="R26" i="6"/>
  <c r="N26" i="6"/>
  <c r="J26" i="6"/>
  <c r="F26" i="6"/>
  <c r="BB27" i="6"/>
  <c r="AX27" i="6"/>
  <c r="AT27" i="6"/>
  <c r="AO27" i="6"/>
  <c r="AK27" i="6"/>
  <c r="AG27" i="6"/>
  <c r="AC27" i="6"/>
  <c r="Y27" i="6"/>
  <c r="U27" i="6"/>
  <c r="Q27" i="6"/>
  <c r="M27" i="6"/>
  <c r="I27" i="6"/>
  <c r="E27" i="6"/>
  <c r="BA26" i="6"/>
  <c r="AW26" i="6"/>
  <c r="AS26" i="6"/>
  <c r="AO26" i="6"/>
  <c r="AK26" i="6"/>
  <c r="AG26" i="6"/>
  <c r="AC26" i="6"/>
  <c r="Y26" i="6"/>
  <c r="U26" i="6"/>
  <c r="Q26" i="6"/>
  <c r="M26" i="6"/>
  <c r="I26" i="6"/>
  <c r="E26" i="6"/>
  <c r="BA27" i="6"/>
  <c r="AW27" i="6"/>
  <c r="AS27" i="6"/>
  <c r="AN27" i="6"/>
  <c r="AJ27" i="6"/>
  <c r="AF27" i="6"/>
  <c r="AB27" i="6"/>
  <c r="X27" i="6"/>
  <c r="T27" i="6"/>
  <c r="P27" i="6"/>
  <c r="L27" i="6"/>
  <c r="H27" i="6"/>
  <c r="AY26" i="6"/>
  <c r="AU26" i="6"/>
  <c r="AM26" i="6"/>
  <c r="AI26" i="6"/>
  <c r="AE26" i="6"/>
  <c r="AA26" i="6"/>
  <c r="W26" i="6"/>
  <c r="S26" i="6"/>
  <c r="O26" i="6"/>
  <c r="K26" i="6"/>
  <c r="G26" i="6"/>
  <c r="C26" i="6"/>
  <c r="C30" i="6" s="1"/>
  <c r="AY27" i="6"/>
  <c r="AU27" i="6"/>
  <c r="AP27" i="6"/>
  <c r="AL27" i="6"/>
  <c r="AH27" i="6"/>
  <c r="AD27" i="6"/>
  <c r="Z27" i="6"/>
  <c r="V27" i="6"/>
  <c r="R27" i="6"/>
  <c r="N27" i="6"/>
  <c r="J27" i="6"/>
  <c r="F27" i="6"/>
  <c r="AZ26" i="6"/>
  <c r="AV26" i="6"/>
  <c r="AJ26" i="6"/>
  <c r="T26" i="6"/>
  <c r="D26" i="6"/>
  <c r="AM27" i="6"/>
  <c r="W27" i="6"/>
  <c r="G27" i="6"/>
  <c r="AR26" i="6"/>
  <c r="AF26" i="6"/>
  <c r="P26" i="6"/>
  <c r="AZ27" i="6"/>
  <c r="AI27" i="6"/>
  <c r="S27" i="6"/>
  <c r="AB26" i="6"/>
  <c r="L26" i="6"/>
  <c r="AV27" i="6"/>
  <c r="AE27" i="6"/>
  <c r="O27" i="6"/>
  <c r="AN26" i="6"/>
  <c r="X26" i="6"/>
  <c r="H26" i="6"/>
  <c r="AR27" i="6"/>
  <c r="AA27" i="6"/>
  <c r="K27" i="6"/>
  <c r="BB25" i="7"/>
  <c r="AX25" i="7"/>
  <c r="AT25" i="7"/>
  <c r="AT29" i="7" s="1"/>
  <c r="BA25" i="7"/>
  <c r="AW25" i="7"/>
  <c r="BA28" i="6"/>
  <c r="AW28" i="6"/>
  <c r="AS28" i="6"/>
  <c r="AO28" i="6"/>
  <c r="AK28" i="6"/>
  <c r="AG28" i="6"/>
  <c r="AC28" i="6"/>
  <c r="Y28" i="6"/>
  <c r="U28" i="6"/>
  <c r="Q28" i="6"/>
  <c r="M28" i="6"/>
  <c r="I28" i="6"/>
  <c r="E28" i="6"/>
  <c r="BA3" i="6"/>
  <c r="AW3" i="6"/>
  <c r="AS3" i="6"/>
  <c r="AO3" i="6"/>
  <c r="AK3" i="6"/>
  <c r="AG3" i="6"/>
  <c r="AC3" i="6"/>
  <c r="Y3" i="6"/>
  <c r="U3" i="6"/>
  <c r="Q3" i="6"/>
  <c r="M3" i="6"/>
  <c r="I3" i="6"/>
  <c r="E3" i="6"/>
  <c r="AU25" i="7"/>
  <c r="AZ28" i="6"/>
  <c r="AU28" i="6"/>
  <c r="AP28" i="6"/>
  <c r="AJ28" i="6"/>
  <c r="AE28" i="6"/>
  <c r="Z28" i="6"/>
  <c r="T28" i="6"/>
  <c r="O28" i="6"/>
  <c r="J28" i="6"/>
  <c r="D28" i="6"/>
  <c r="AX3" i="6"/>
  <c r="AR3" i="6"/>
  <c r="AM3" i="6"/>
  <c r="AH3" i="6"/>
  <c r="AB3" i="6"/>
  <c r="W3" i="6"/>
  <c r="R3" i="6"/>
  <c r="L3" i="6"/>
  <c r="G3" i="6"/>
  <c r="AZ25" i="7"/>
  <c r="BA24" i="7"/>
  <c r="BA28" i="7" s="1"/>
  <c r="BB28" i="7" s="1"/>
  <c r="AY28" i="6"/>
  <c r="AT28" i="6"/>
  <c r="AN28" i="6"/>
  <c r="AI28" i="6"/>
  <c r="AD28" i="6"/>
  <c r="X28" i="6"/>
  <c r="S28" i="6"/>
  <c r="N28" i="6"/>
  <c r="H28" i="6"/>
  <c r="C28" i="6"/>
  <c r="C32" i="6" s="1"/>
  <c r="BB3" i="6"/>
  <c r="AV3" i="6"/>
  <c r="AQ3" i="6"/>
  <c r="AL3" i="6"/>
  <c r="AF3" i="6"/>
  <c r="AA3" i="6"/>
  <c r="V3" i="6"/>
  <c r="P3" i="6"/>
  <c r="K3" i="6"/>
  <c r="F3" i="6"/>
  <c r="AY25" i="7"/>
  <c r="BA23" i="7"/>
  <c r="BA27" i="7" s="1"/>
  <c r="BB27" i="7" s="1"/>
  <c r="AX28" i="6"/>
  <c r="AR28" i="6"/>
  <c r="AM28" i="6"/>
  <c r="AH28" i="6"/>
  <c r="AB28" i="6"/>
  <c r="W28" i="6"/>
  <c r="R28" i="6"/>
  <c r="L28" i="6"/>
  <c r="G28" i="6"/>
  <c r="AZ3" i="6"/>
  <c r="AU3" i="6"/>
  <c r="AP3" i="6"/>
  <c r="AJ3" i="6"/>
  <c r="AE3" i="6"/>
  <c r="Z3" i="6"/>
  <c r="T3" i="6"/>
  <c r="O3" i="6"/>
  <c r="J3" i="6"/>
  <c r="D3" i="6"/>
  <c r="AV25" i="7"/>
  <c r="AV28" i="6"/>
  <c r="AA28" i="6"/>
  <c r="F28" i="6"/>
  <c r="AT3" i="6"/>
  <c r="X3" i="6"/>
  <c r="C3" i="6"/>
  <c r="AQ28" i="6"/>
  <c r="V28" i="6"/>
  <c r="AN3" i="6"/>
  <c r="S3" i="6"/>
  <c r="AL28" i="6"/>
  <c r="P28" i="6"/>
  <c r="AI3" i="6"/>
  <c r="N3" i="6"/>
  <c r="BA22" i="7"/>
  <c r="BA26" i="7" s="1"/>
  <c r="BB26" i="7" s="1"/>
  <c r="BB28" i="6"/>
  <c r="AF28" i="6"/>
  <c r="K28" i="6"/>
  <c r="AY3" i="6"/>
  <c r="AD3" i="6"/>
  <c r="H3" i="6"/>
  <c r="BB36" i="7"/>
  <c r="AX36" i="7"/>
  <c r="AT36" i="7"/>
  <c r="AT40" i="7" s="1"/>
  <c r="AY35" i="7"/>
  <c r="AU35" i="7"/>
  <c r="AZ34" i="7"/>
  <c r="AV34" i="7"/>
  <c r="BA33" i="7"/>
  <c r="AW33" i="7"/>
  <c r="BA36" i="7"/>
  <c r="AW36" i="7"/>
  <c r="BB35" i="7"/>
  <c r="AX35" i="7"/>
  <c r="AT35" i="7"/>
  <c r="AT39" i="7" s="1"/>
  <c r="AY34" i="7"/>
  <c r="AU34" i="7"/>
  <c r="AZ33" i="7"/>
  <c r="AV33" i="7"/>
  <c r="BA39" i="6"/>
  <c r="AW39" i="6"/>
  <c r="AS39" i="6"/>
  <c r="AO39" i="6"/>
  <c r="AK39" i="6"/>
  <c r="AG39" i="6"/>
  <c r="AC39" i="6"/>
  <c r="Y39" i="6"/>
  <c r="U39" i="6"/>
  <c r="Q39" i="6"/>
  <c r="M39" i="6"/>
  <c r="I39" i="6"/>
  <c r="E39" i="6"/>
  <c r="BA38" i="6"/>
  <c r="AW38" i="6"/>
  <c r="AS38" i="6"/>
  <c r="AO38" i="6"/>
  <c r="AK38" i="6"/>
  <c r="AG38" i="6"/>
  <c r="AC38" i="6"/>
  <c r="Y38" i="6"/>
  <c r="U38" i="6"/>
  <c r="Q38" i="6"/>
  <c r="AY36" i="7"/>
  <c r="AZ35" i="7"/>
  <c r="BA34" i="7"/>
  <c r="BB33" i="7"/>
  <c r="AT33" i="7"/>
  <c r="AT37" i="7" s="1"/>
  <c r="AY39" i="6"/>
  <c r="AT39" i="6"/>
  <c r="AN39" i="6"/>
  <c r="AI39" i="6"/>
  <c r="AD39" i="6"/>
  <c r="X39" i="6"/>
  <c r="S39" i="6"/>
  <c r="N39" i="6"/>
  <c r="H39" i="6"/>
  <c r="C39" i="6"/>
  <c r="C43" i="6" s="1"/>
  <c r="BB38" i="6"/>
  <c r="AV38" i="6"/>
  <c r="AQ38" i="6"/>
  <c r="AL38" i="6"/>
  <c r="AF38" i="6"/>
  <c r="AA38" i="6"/>
  <c r="V38" i="6"/>
  <c r="P38" i="6"/>
  <c r="L38" i="6"/>
  <c r="H38" i="6"/>
  <c r="D38" i="6"/>
  <c r="AY37" i="6"/>
  <c r="AU37" i="6"/>
  <c r="AQ37" i="6"/>
  <c r="AM37" i="6"/>
  <c r="AI37" i="6"/>
  <c r="AE37" i="6"/>
  <c r="AA37" i="6"/>
  <c r="W37" i="6"/>
  <c r="S37" i="6"/>
  <c r="O37" i="6"/>
  <c r="K37" i="6"/>
  <c r="G37" i="6"/>
  <c r="BB36" i="6"/>
  <c r="AX36" i="6"/>
  <c r="AT36" i="6"/>
  <c r="AP36" i="6"/>
  <c r="AL36" i="6"/>
  <c r="AH36" i="6"/>
  <c r="AD36" i="6"/>
  <c r="Z36" i="6"/>
  <c r="V36" i="6"/>
  <c r="R36" i="6"/>
  <c r="N36" i="6"/>
  <c r="J36" i="6"/>
  <c r="F36" i="6"/>
  <c r="AV36" i="7"/>
  <c r="AW35" i="7"/>
  <c r="AX34" i="7"/>
  <c r="AY33" i="7"/>
  <c r="AX39" i="6"/>
  <c r="AR39" i="6"/>
  <c r="AM39" i="6"/>
  <c r="AH39" i="6"/>
  <c r="AB39" i="6"/>
  <c r="W39" i="6"/>
  <c r="R39" i="6"/>
  <c r="L39" i="6"/>
  <c r="G39" i="6"/>
  <c r="AZ38" i="6"/>
  <c r="AU38" i="6"/>
  <c r="AP38" i="6"/>
  <c r="AJ38" i="6"/>
  <c r="AE38" i="6"/>
  <c r="Z38" i="6"/>
  <c r="T38" i="6"/>
  <c r="O38" i="6"/>
  <c r="K38" i="6"/>
  <c r="G38" i="6"/>
  <c r="BB37" i="6"/>
  <c r="AX37" i="6"/>
  <c r="AT37" i="6"/>
  <c r="AP37" i="6"/>
  <c r="AL37" i="6"/>
  <c r="AH37" i="6"/>
  <c r="AD37" i="6"/>
  <c r="Z37" i="6"/>
  <c r="V37" i="6"/>
  <c r="R37" i="6"/>
  <c r="N37" i="6"/>
  <c r="J37" i="6"/>
  <c r="F37" i="6"/>
  <c r="BA36" i="6"/>
  <c r="AW36" i="6"/>
  <c r="AS36" i="6"/>
  <c r="AO36" i="6"/>
  <c r="AK36" i="6"/>
  <c r="AG36" i="6"/>
  <c r="AC36" i="6"/>
  <c r="Y36" i="6"/>
  <c r="U36" i="6"/>
  <c r="Q36" i="6"/>
  <c r="M36" i="6"/>
  <c r="I36" i="6"/>
  <c r="E36" i="6"/>
  <c r="AU36" i="7"/>
  <c r="AV35" i="7"/>
  <c r="AW34" i="7"/>
  <c r="AX33" i="7"/>
  <c r="BB39" i="6"/>
  <c r="AV39" i="6"/>
  <c r="AQ39" i="6"/>
  <c r="AL39" i="6"/>
  <c r="AF39" i="6"/>
  <c r="AA39" i="6"/>
  <c r="V39" i="6"/>
  <c r="P39" i="6"/>
  <c r="K39" i="6"/>
  <c r="F39" i="6"/>
  <c r="AY38" i="6"/>
  <c r="AT38" i="6"/>
  <c r="AN38" i="6"/>
  <c r="AI38" i="6"/>
  <c r="AD38" i="6"/>
  <c r="X38" i="6"/>
  <c r="S38" i="6"/>
  <c r="N38" i="6"/>
  <c r="J38" i="6"/>
  <c r="F38" i="6"/>
  <c r="BA37" i="6"/>
  <c r="AW37" i="6"/>
  <c r="AS37" i="6"/>
  <c r="AO37" i="6"/>
  <c r="AK37" i="6"/>
  <c r="AG37" i="6"/>
  <c r="AC37" i="6"/>
  <c r="Y37" i="6"/>
  <c r="U37" i="6"/>
  <c r="Q37" i="6"/>
  <c r="M37" i="6"/>
  <c r="I37" i="6"/>
  <c r="E37" i="6"/>
  <c r="AZ36" i="6"/>
  <c r="AV36" i="6"/>
  <c r="AR36" i="6"/>
  <c r="AN36" i="6"/>
  <c r="AJ36" i="6"/>
  <c r="AF36" i="6"/>
  <c r="AB36" i="6"/>
  <c r="X36" i="6"/>
  <c r="T36" i="6"/>
  <c r="P36" i="6"/>
  <c r="L36" i="6"/>
  <c r="H36" i="6"/>
  <c r="D36" i="6"/>
  <c r="BA35" i="7"/>
  <c r="AJ39" i="6"/>
  <c r="O39" i="6"/>
  <c r="AH38" i="6"/>
  <c r="M38" i="6"/>
  <c r="AV37" i="6"/>
  <c r="AF37" i="6"/>
  <c r="P37" i="6"/>
  <c r="AY36" i="6"/>
  <c r="AI36" i="6"/>
  <c r="S36" i="6"/>
  <c r="BB34" i="7"/>
  <c r="AZ39" i="6"/>
  <c r="AE39" i="6"/>
  <c r="J39" i="6"/>
  <c r="AX38" i="6"/>
  <c r="AB38" i="6"/>
  <c r="I38" i="6"/>
  <c r="AR37" i="6"/>
  <c r="AB37" i="6"/>
  <c r="L37" i="6"/>
  <c r="AU36" i="6"/>
  <c r="AE36" i="6"/>
  <c r="O36" i="6"/>
  <c r="AT34" i="7"/>
  <c r="AT38" i="7" s="1"/>
  <c r="AU38" i="7" s="1"/>
  <c r="AU39" i="6"/>
  <c r="Z39" i="6"/>
  <c r="D39" i="6"/>
  <c r="AR38" i="6"/>
  <c r="W38" i="6"/>
  <c r="E38" i="6"/>
  <c r="AN37" i="6"/>
  <c r="X37" i="6"/>
  <c r="H37" i="6"/>
  <c r="AQ36" i="6"/>
  <c r="AA36" i="6"/>
  <c r="K36" i="6"/>
  <c r="AZ36" i="7"/>
  <c r="AU33" i="7"/>
  <c r="AP39" i="6"/>
  <c r="T39" i="6"/>
  <c r="AM38" i="6"/>
  <c r="R38" i="6"/>
  <c r="AZ37" i="6"/>
  <c r="AJ37" i="6"/>
  <c r="T37" i="6"/>
  <c r="D37" i="6"/>
  <c r="AM36" i="6"/>
  <c r="W36" i="6"/>
  <c r="G36" i="6"/>
  <c r="C38" i="6"/>
  <c r="C42" i="6" s="1"/>
  <c r="C37" i="6"/>
  <c r="C41" i="6" s="1"/>
  <c r="C36" i="6"/>
  <c r="C40" i="6" s="1"/>
  <c r="D27" i="6"/>
  <c r="C27" i="6"/>
  <c r="C31" i="6" s="1"/>
  <c r="BB79" i="6"/>
  <c r="AX79" i="6"/>
  <c r="AT79" i="6"/>
  <c r="AP79" i="6"/>
  <c r="AL79" i="6"/>
  <c r="AH79" i="6"/>
  <c r="AD79" i="6"/>
  <c r="Z79" i="6"/>
  <c r="V79" i="6"/>
  <c r="R79" i="6"/>
  <c r="N79" i="6"/>
  <c r="J79" i="6"/>
  <c r="F79" i="6"/>
  <c r="BB78" i="6"/>
  <c r="AX78" i="6"/>
  <c r="AT78" i="6"/>
  <c r="AP78" i="6"/>
  <c r="AL78" i="6"/>
  <c r="AH78" i="6"/>
  <c r="AD78" i="6"/>
  <c r="Z78" i="6"/>
  <c r="V78" i="6"/>
  <c r="R78" i="6"/>
  <c r="N78" i="6"/>
  <c r="J78" i="6"/>
  <c r="F78" i="6"/>
  <c r="BB77" i="6"/>
  <c r="AX77" i="6"/>
  <c r="AT77" i="6"/>
  <c r="AP77" i="6"/>
  <c r="AL77" i="6"/>
  <c r="AH77" i="6"/>
  <c r="AD77" i="6"/>
  <c r="Z77" i="6"/>
  <c r="V77" i="6"/>
  <c r="R77" i="6"/>
  <c r="N77" i="6"/>
  <c r="J77" i="6"/>
  <c r="F77" i="6"/>
  <c r="BB76" i="6"/>
  <c r="AX76" i="6"/>
  <c r="AT76" i="6"/>
  <c r="AP76" i="6"/>
  <c r="AL76" i="6"/>
  <c r="AH76" i="6"/>
  <c r="AD76" i="6"/>
  <c r="Z76" i="6"/>
  <c r="V76" i="6"/>
  <c r="R76" i="6"/>
  <c r="N76" i="6"/>
  <c r="J76" i="6"/>
  <c r="F76" i="6"/>
  <c r="BB75" i="6"/>
  <c r="AX75" i="6"/>
  <c r="AT75" i="6"/>
  <c r="AP75" i="6"/>
  <c r="AL75" i="6"/>
  <c r="AH75" i="6"/>
  <c r="AD75" i="6"/>
  <c r="Z75" i="6"/>
  <c r="V75" i="6"/>
  <c r="R75" i="6"/>
  <c r="N75" i="6"/>
  <c r="J75" i="6"/>
  <c r="F75" i="6"/>
  <c r="BB74" i="6"/>
  <c r="AX74" i="6"/>
  <c r="AT74" i="6"/>
  <c r="AP74" i="6"/>
  <c r="AL74" i="6"/>
  <c r="AH74" i="6"/>
  <c r="AD74" i="6"/>
  <c r="Z74" i="6"/>
  <c r="V74" i="6"/>
  <c r="R74" i="6"/>
  <c r="N74" i="6"/>
  <c r="J74" i="6"/>
  <c r="F74" i="6"/>
  <c r="BB73" i="6"/>
  <c r="AX73" i="6"/>
  <c r="AT73" i="6"/>
  <c r="BA79" i="6"/>
  <c r="AW79" i="6"/>
  <c r="AS79" i="6"/>
  <c r="AO79" i="6"/>
  <c r="AK79" i="6"/>
  <c r="AG79" i="6"/>
  <c r="AC79" i="6"/>
  <c r="Y79" i="6"/>
  <c r="U79" i="6"/>
  <c r="Q79" i="6"/>
  <c r="M79" i="6"/>
  <c r="I79" i="6"/>
  <c r="E79" i="6"/>
  <c r="BA78" i="6"/>
  <c r="AW78" i="6"/>
  <c r="AS78" i="6"/>
  <c r="AO78" i="6"/>
  <c r="AK78" i="6"/>
  <c r="AG78" i="6"/>
  <c r="AC78" i="6"/>
  <c r="Y78" i="6"/>
  <c r="U78" i="6"/>
  <c r="Q78" i="6"/>
  <c r="M78" i="6"/>
  <c r="I78" i="6"/>
  <c r="E78" i="6"/>
  <c r="BA77" i="6"/>
  <c r="AW77" i="6"/>
  <c r="AS77" i="6"/>
  <c r="AO77" i="6"/>
  <c r="AK77" i="6"/>
  <c r="AG77" i="6"/>
  <c r="AC77" i="6"/>
  <c r="Y77" i="6"/>
  <c r="U77" i="6"/>
  <c r="Q77" i="6"/>
  <c r="M77" i="6"/>
  <c r="I77" i="6"/>
  <c r="E77" i="6"/>
  <c r="BA76" i="6"/>
  <c r="AW76" i="6"/>
  <c r="AS76" i="6"/>
  <c r="AO76" i="6"/>
  <c r="AK76" i="6"/>
  <c r="AG76" i="6"/>
  <c r="AC76" i="6"/>
  <c r="Y76" i="6"/>
  <c r="U76" i="6"/>
  <c r="Q76" i="6"/>
  <c r="M76" i="6"/>
  <c r="I76" i="6"/>
  <c r="E76" i="6"/>
  <c r="BA75" i="6"/>
  <c r="AW75" i="6"/>
  <c r="AS75" i="6"/>
  <c r="AO75" i="6"/>
  <c r="AK75" i="6"/>
  <c r="AG75" i="6"/>
  <c r="AC75" i="6"/>
  <c r="Y75" i="6"/>
  <c r="U75" i="6"/>
  <c r="Q75" i="6"/>
  <c r="M75" i="6"/>
  <c r="I75" i="6"/>
  <c r="E75" i="6"/>
  <c r="BA74" i="6"/>
  <c r="AW74" i="6"/>
  <c r="AS74" i="6"/>
  <c r="AO74" i="6"/>
  <c r="AK74" i="6"/>
  <c r="AG74" i="6"/>
  <c r="AC74" i="6"/>
  <c r="Y74" i="6"/>
  <c r="U74" i="6"/>
  <c r="Q74" i="6"/>
  <c r="M74" i="6"/>
  <c r="I74" i="6"/>
  <c r="E74" i="6"/>
  <c r="BA73" i="6"/>
  <c r="AW73" i="6"/>
  <c r="AS73" i="6"/>
  <c r="AO73" i="6"/>
  <c r="AK73" i="6"/>
  <c r="AG73" i="6"/>
  <c r="AC73" i="6"/>
  <c r="AZ79" i="6"/>
  <c r="AV79" i="6"/>
  <c r="AR79" i="6"/>
  <c r="AN79" i="6"/>
  <c r="AJ79" i="6"/>
  <c r="AF79" i="6"/>
  <c r="AB79" i="6"/>
  <c r="X79" i="6"/>
  <c r="T79" i="6"/>
  <c r="P79" i="6"/>
  <c r="L79" i="6"/>
  <c r="H79" i="6"/>
  <c r="D79" i="6"/>
  <c r="AZ78" i="6"/>
  <c r="AV78" i="6"/>
  <c r="AR78" i="6"/>
  <c r="AN78" i="6"/>
  <c r="AJ78" i="6"/>
  <c r="AF78" i="6"/>
  <c r="AB78" i="6"/>
  <c r="X78" i="6"/>
  <c r="T78" i="6"/>
  <c r="P78" i="6"/>
  <c r="L78" i="6"/>
  <c r="H78" i="6"/>
  <c r="D78" i="6"/>
  <c r="AZ77" i="6"/>
  <c r="AV77" i="6"/>
  <c r="AR77" i="6"/>
  <c r="AN77" i="6"/>
  <c r="AJ77" i="6"/>
  <c r="AF77" i="6"/>
  <c r="AB77" i="6"/>
  <c r="X77" i="6"/>
  <c r="T77" i="6"/>
  <c r="P77" i="6"/>
  <c r="L77" i="6"/>
  <c r="H77" i="6"/>
  <c r="D77" i="6"/>
  <c r="AZ76" i="6"/>
  <c r="AV76" i="6"/>
  <c r="AR76" i="6"/>
  <c r="AN76" i="6"/>
  <c r="AJ76" i="6"/>
  <c r="AF76" i="6"/>
  <c r="AY79" i="6"/>
  <c r="AI79" i="6"/>
  <c r="S79" i="6"/>
  <c r="C79" i="6"/>
  <c r="C89" i="6" s="1"/>
  <c r="AM78" i="6"/>
  <c r="W78" i="6"/>
  <c r="G78" i="6"/>
  <c r="AQ77" i="6"/>
  <c r="AA77" i="6"/>
  <c r="K77" i="6"/>
  <c r="AU76" i="6"/>
  <c r="AE76" i="6"/>
  <c r="W76" i="6"/>
  <c r="O76" i="6"/>
  <c r="G76" i="6"/>
  <c r="AY75" i="6"/>
  <c r="AQ75" i="6"/>
  <c r="AI75" i="6"/>
  <c r="AA75" i="6"/>
  <c r="S75" i="6"/>
  <c r="K75" i="6"/>
  <c r="C75" i="6"/>
  <c r="AU74" i="6"/>
  <c r="AM74" i="6"/>
  <c r="AE74" i="6"/>
  <c r="W74" i="6"/>
  <c r="O74" i="6"/>
  <c r="G74" i="6"/>
  <c r="AY73" i="6"/>
  <c r="AQ73" i="6"/>
  <c r="AL73" i="6"/>
  <c r="AF73" i="6"/>
  <c r="AA73" i="6"/>
  <c r="W73" i="6"/>
  <c r="S73" i="6"/>
  <c r="O73" i="6"/>
  <c r="K73" i="6"/>
  <c r="G73" i="6"/>
  <c r="C73" i="6"/>
  <c r="C83" i="6" s="1"/>
  <c r="AY72" i="6"/>
  <c r="AU72" i="6"/>
  <c r="AQ72" i="6"/>
  <c r="AM72" i="6"/>
  <c r="AI72" i="6"/>
  <c r="AE72" i="6"/>
  <c r="AA72" i="6"/>
  <c r="W72" i="6"/>
  <c r="S72" i="6"/>
  <c r="O72" i="6"/>
  <c r="K72" i="6"/>
  <c r="G72" i="6"/>
  <c r="C72" i="6"/>
  <c r="C82" i="6" s="1"/>
  <c r="AY71" i="6"/>
  <c r="AU71" i="6"/>
  <c r="AQ71" i="6"/>
  <c r="AM71" i="6"/>
  <c r="AI71" i="6"/>
  <c r="AE71" i="6"/>
  <c r="AA71" i="6"/>
  <c r="W71" i="6"/>
  <c r="S71" i="6"/>
  <c r="O71" i="6"/>
  <c r="K71" i="6"/>
  <c r="G71" i="6"/>
  <c r="C71" i="6"/>
  <c r="AY70" i="6"/>
  <c r="AU70" i="6"/>
  <c r="AU79" i="6"/>
  <c r="AE79" i="6"/>
  <c r="O79" i="6"/>
  <c r="AY78" i="6"/>
  <c r="AI78" i="6"/>
  <c r="S78" i="6"/>
  <c r="C78" i="6"/>
  <c r="C88" i="6" s="1"/>
  <c r="AM77" i="6"/>
  <c r="W77" i="6"/>
  <c r="G77" i="6"/>
  <c r="AQ76" i="6"/>
  <c r="AB76" i="6"/>
  <c r="T76" i="6"/>
  <c r="L76" i="6"/>
  <c r="D76" i="6"/>
  <c r="AV75" i="6"/>
  <c r="AN75" i="6"/>
  <c r="AF75" i="6"/>
  <c r="X75" i="6"/>
  <c r="P75" i="6"/>
  <c r="H75" i="6"/>
  <c r="AZ74" i="6"/>
  <c r="AR74" i="6"/>
  <c r="AJ74" i="6"/>
  <c r="AB74" i="6"/>
  <c r="T74" i="6"/>
  <c r="L74" i="6"/>
  <c r="D74" i="6"/>
  <c r="AV73" i="6"/>
  <c r="AP73" i="6"/>
  <c r="AJ73" i="6"/>
  <c r="AE73" i="6"/>
  <c r="Z73" i="6"/>
  <c r="V73" i="6"/>
  <c r="R73" i="6"/>
  <c r="N73" i="6"/>
  <c r="J73" i="6"/>
  <c r="F73" i="6"/>
  <c r="BB72" i="6"/>
  <c r="AX72" i="6"/>
  <c r="AT72" i="6"/>
  <c r="AP72" i="6"/>
  <c r="AL72" i="6"/>
  <c r="AH72" i="6"/>
  <c r="AD72" i="6"/>
  <c r="Z72" i="6"/>
  <c r="V72" i="6"/>
  <c r="R72" i="6"/>
  <c r="N72" i="6"/>
  <c r="J72" i="6"/>
  <c r="F72" i="6"/>
  <c r="BB71" i="6"/>
  <c r="AX71" i="6"/>
  <c r="AT71" i="6"/>
  <c r="AP71" i="6"/>
  <c r="AL71" i="6"/>
  <c r="AH71" i="6"/>
  <c r="AD71" i="6"/>
  <c r="Z71" i="6"/>
  <c r="V71" i="6"/>
  <c r="R71" i="6"/>
  <c r="N71" i="6"/>
  <c r="J71" i="6"/>
  <c r="F71" i="6"/>
  <c r="BB70" i="6"/>
  <c r="AX70" i="6"/>
  <c r="AT70" i="6"/>
  <c r="AQ79" i="6"/>
  <c r="AA79" i="6"/>
  <c r="K79" i="6"/>
  <c r="AU78" i="6"/>
  <c r="AE78" i="6"/>
  <c r="O78" i="6"/>
  <c r="AY77" i="6"/>
  <c r="AI77" i="6"/>
  <c r="S77" i="6"/>
  <c r="C77" i="6"/>
  <c r="C87" i="6" s="1"/>
  <c r="AM76" i="6"/>
  <c r="AA76" i="6"/>
  <c r="S76" i="6"/>
  <c r="K76" i="6"/>
  <c r="C76" i="6"/>
  <c r="C86" i="6" s="1"/>
  <c r="AU75" i="6"/>
  <c r="AM75" i="6"/>
  <c r="AE75" i="6"/>
  <c r="W75" i="6"/>
  <c r="O75" i="6"/>
  <c r="G75" i="6"/>
  <c r="AY74" i="6"/>
  <c r="AQ74" i="6"/>
  <c r="AI74" i="6"/>
  <c r="AA74" i="6"/>
  <c r="S74" i="6"/>
  <c r="K74" i="6"/>
  <c r="C74" i="6"/>
  <c r="C84" i="6" s="1"/>
  <c r="AU73" i="6"/>
  <c r="AN73" i="6"/>
  <c r="AI73" i="6"/>
  <c r="AD73" i="6"/>
  <c r="Y73" i="6"/>
  <c r="U73" i="6"/>
  <c r="Q73" i="6"/>
  <c r="M73" i="6"/>
  <c r="I73" i="6"/>
  <c r="E73" i="6"/>
  <c r="BA72" i="6"/>
  <c r="AW72" i="6"/>
  <c r="AS72" i="6"/>
  <c r="AO72" i="6"/>
  <c r="AK72" i="6"/>
  <c r="AG72" i="6"/>
  <c r="AC72" i="6"/>
  <c r="Y72" i="6"/>
  <c r="U72" i="6"/>
  <c r="Q72" i="6"/>
  <c r="M72" i="6"/>
  <c r="I72" i="6"/>
  <c r="E72" i="6"/>
  <c r="BA71" i="6"/>
  <c r="AW71" i="6"/>
  <c r="AS71" i="6"/>
  <c r="AO71" i="6"/>
  <c r="AK71" i="6"/>
  <c r="AG71" i="6"/>
  <c r="AC71" i="6"/>
  <c r="Y71" i="6"/>
  <c r="U71" i="6"/>
  <c r="Q71" i="6"/>
  <c r="M71" i="6"/>
  <c r="I71" i="6"/>
  <c r="E71" i="6"/>
  <c r="BA70" i="6"/>
  <c r="AW70" i="6"/>
  <c r="AS70" i="6"/>
  <c r="AO70" i="6"/>
  <c r="AK70" i="6"/>
  <c r="AG70" i="6"/>
  <c r="AC70" i="6"/>
  <c r="Y70" i="6"/>
  <c r="U70" i="6"/>
  <c r="Q70" i="6"/>
  <c r="M70" i="6"/>
  <c r="I70" i="6"/>
  <c r="E70" i="6"/>
  <c r="AM79" i="6"/>
  <c r="W79" i="6"/>
  <c r="G79" i="6"/>
  <c r="AQ78" i="6"/>
  <c r="AA78" i="6"/>
  <c r="K78" i="6"/>
  <c r="AU77" i="6"/>
  <c r="AE77" i="6"/>
  <c r="O77" i="6"/>
  <c r="AY76" i="6"/>
  <c r="AI76" i="6"/>
  <c r="X76" i="6"/>
  <c r="P76" i="6"/>
  <c r="H76" i="6"/>
  <c r="AZ75" i="6"/>
  <c r="AR75" i="6"/>
  <c r="AJ75" i="6"/>
  <c r="AB75" i="6"/>
  <c r="T75" i="6"/>
  <c r="L75" i="6"/>
  <c r="D75" i="6"/>
  <c r="AV74" i="6"/>
  <c r="AN74" i="6"/>
  <c r="AF74" i="6"/>
  <c r="X74" i="6"/>
  <c r="P74" i="6"/>
  <c r="H74" i="6"/>
  <c r="AZ73" i="6"/>
  <c r="AR73" i="6"/>
  <c r="AM73" i="6"/>
  <c r="AH73" i="6"/>
  <c r="AB73" i="6"/>
  <c r="X73" i="6"/>
  <c r="T73" i="6"/>
  <c r="P73" i="6"/>
  <c r="L73" i="6"/>
  <c r="H73" i="6"/>
  <c r="D73" i="6"/>
  <c r="AZ72" i="6"/>
  <c r="AV72" i="6"/>
  <c r="AR72" i="6"/>
  <c r="AN72" i="6"/>
  <c r="AJ72" i="6"/>
  <c r="AF72" i="6"/>
  <c r="AB72" i="6"/>
  <c r="X72" i="6"/>
  <c r="T72" i="6"/>
  <c r="P72" i="6"/>
  <c r="L72" i="6"/>
  <c r="H72" i="6"/>
  <c r="D72" i="6"/>
  <c r="AZ71" i="6"/>
  <c r="AV71" i="6"/>
  <c r="AR71" i="6"/>
  <c r="AN71" i="6"/>
  <c r="AJ71" i="6"/>
  <c r="AF71" i="6"/>
  <c r="AB71" i="6"/>
  <c r="X71" i="6"/>
  <c r="T71" i="6"/>
  <c r="P71" i="6"/>
  <c r="L71" i="6"/>
  <c r="H71" i="6"/>
  <c r="D71" i="6"/>
  <c r="AZ70" i="6"/>
  <c r="AV70" i="6"/>
  <c r="AR70" i="6"/>
  <c r="AN70" i="6"/>
  <c r="AJ70" i="6"/>
  <c r="AF70" i="6"/>
  <c r="AB70" i="6"/>
  <c r="X70" i="6"/>
  <c r="T70" i="6"/>
  <c r="P70" i="6"/>
  <c r="L70" i="6"/>
  <c r="H70" i="6"/>
  <c r="D70" i="6"/>
  <c r="AQ70" i="6"/>
  <c r="AI70" i="6"/>
  <c r="AA70" i="6"/>
  <c r="S70" i="6"/>
  <c r="K70" i="6"/>
  <c r="C70" i="6"/>
  <c r="C80" i="6" s="1"/>
  <c r="AP70" i="6"/>
  <c r="AH70" i="6"/>
  <c r="Z70" i="6"/>
  <c r="R70" i="6"/>
  <c r="J70" i="6"/>
  <c r="AM70" i="6"/>
  <c r="AE70" i="6"/>
  <c r="W70" i="6"/>
  <c r="O70" i="6"/>
  <c r="G70" i="6"/>
  <c r="AL70" i="6"/>
  <c r="AD70" i="6"/>
  <c r="V70" i="6"/>
  <c r="N70" i="6"/>
  <c r="F70" i="6"/>
  <c r="BA56" i="6"/>
  <c r="AW56" i="6"/>
  <c r="AS56" i="6"/>
  <c r="AO56" i="6"/>
  <c r="AK56" i="6"/>
  <c r="AG56" i="6"/>
  <c r="AC56" i="6"/>
  <c r="Y56" i="6"/>
  <c r="AZ56" i="6"/>
  <c r="AV56" i="6"/>
  <c r="AR56" i="6"/>
  <c r="AN56" i="6"/>
  <c r="AJ56" i="6"/>
  <c r="AF56" i="6"/>
  <c r="AB56" i="6"/>
  <c r="X56" i="6"/>
  <c r="AU56" i="6"/>
  <c r="AM56" i="6"/>
  <c r="AE56" i="6"/>
  <c r="W56" i="6"/>
  <c r="S56" i="6"/>
  <c r="O56" i="6"/>
  <c r="K56" i="6"/>
  <c r="G56" i="6"/>
  <c r="C56" i="6"/>
  <c r="C66" i="6" s="1"/>
  <c r="AY55" i="6"/>
  <c r="AU55" i="6"/>
  <c r="AQ55" i="6"/>
  <c r="AM55" i="6"/>
  <c r="AI55" i="6"/>
  <c r="AE55" i="6"/>
  <c r="AA55" i="6"/>
  <c r="W55" i="6"/>
  <c r="S55" i="6"/>
  <c r="O55" i="6"/>
  <c r="K55" i="6"/>
  <c r="G55" i="6"/>
  <c r="C55" i="6"/>
  <c r="C65" i="6" s="1"/>
  <c r="AY54" i="6"/>
  <c r="AU54" i="6"/>
  <c r="AQ54" i="6"/>
  <c r="AM54" i="6"/>
  <c r="AI54" i="6"/>
  <c r="AE54" i="6"/>
  <c r="AA54" i="6"/>
  <c r="W54" i="6"/>
  <c r="S54" i="6"/>
  <c r="O54" i="6"/>
  <c r="K54" i="6"/>
  <c r="G54" i="6"/>
  <c r="C54" i="6"/>
  <c r="C64" i="6" s="1"/>
  <c r="AY53" i="6"/>
  <c r="AU53" i="6"/>
  <c r="AQ53" i="6"/>
  <c r="AM53" i="6"/>
  <c r="AI53" i="6"/>
  <c r="AE53" i="6"/>
  <c r="AA53" i="6"/>
  <c r="BB56" i="6"/>
  <c r="AT56" i="6"/>
  <c r="AL56" i="6"/>
  <c r="AD56" i="6"/>
  <c r="V56" i="6"/>
  <c r="R56" i="6"/>
  <c r="N56" i="6"/>
  <c r="J56" i="6"/>
  <c r="F56" i="6"/>
  <c r="BB55" i="6"/>
  <c r="AX55" i="6"/>
  <c r="AT55" i="6"/>
  <c r="AP55" i="6"/>
  <c r="AL55" i="6"/>
  <c r="AH55" i="6"/>
  <c r="AD55" i="6"/>
  <c r="Z55" i="6"/>
  <c r="V55" i="6"/>
  <c r="R55" i="6"/>
  <c r="N55" i="6"/>
  <c r="J55" i="6"/>
  <c r="F55" i="6"/>
  <c r="BB54" i="6"/>
  <c r="AX54" i="6"/>
  <c r="AT54" i="6"/>
  <c r="AP54" i="6"/>
  <c r="AL54" i="6"/>
  <c r="AH54" i="6"/>
  <c r="AD54" i="6"/>
  <c r="Z54" i="6"/>
  <c r="V54" i="6"/>
  <c r="R54" i="6"/>
  <c r="N54" i="6"/>
  <c r="J54" i="6"/>
  <c r="F54" i="6"/>
  <c r="BB53" i="6"/>
  <c r="AX53" i="6"/>
  <c r="AT53" i="6"/>
  <c r="AP53" i="6"/>
  <c r="AL53" i="6"/>
  <c r="AH53" i="6"/>
  <c r="AD53" i="6"/>
  <c r="Z53" i="6"/>
  <c r="V53" i="6"/>
  <c r="R53" i="6"/>
  <c r="N53" i="6"/>
  <c r="J53" i="6"/>
  <c r="F53" i="6"/>
  <c r="BB52" i="6"/>
  <c r="AX52" i="6"/>
  <c r="AT52" i="6"/>
  <c r="AP52" i="6"/>
  <c r="AL52" i="6"/>
  <c r="AH52" i="6"/>
  <c r="AD52" i="6"/>
  <c r="Z52" i="6"/>
  <c r="V52" i="6"/>
  <c r="R52" i="6"/>
  <c r="N52" i="6"/>
  <c r="J52" i="6"/>
  <c r="F52" i="6"/>
  <c r="BB51" i="6"/>
  <c r="AX51" i="6"/>
  <c r="AT51" i="6"/>
  <c r="AP51" i="6"/>
  <c r="AL51" i="6"/>
  <c r="AH51" i="6"/>
  <c r="AD51" i="6"/>
  <c r="Z51" i="6"/>
  <c r="V51" i="6"/>
  <c r="R51" i="6"/>
  <c r="N51" i="6"/>
  <c r="J51" i="6"/>
  <c r="F51" i="6"/>
  <c r="BB50" i="6"/>
  <c r="AX50" i="6"/>
  <c r="AT50" i="6"/>
  <c r="AP50" i="6"/>
  <c r="AL50" i="6"/>
  <c r="AH50" i="6"/>
  <c r="AD50" i="6"/>
  <c r="Z50" i="6"/>
  <c r="V50" i="6"/>
  <c r="AY56" i="6"/>
  <c r="AQ56" i="6"/>
  <c r="AI56" i="6"/>
  <c r="AA56" i="6"/>
  <c r="U56" i="6"/>
  <c r="Q56" i="6"/>
  <c r="M56" i="6"/>
  <c r="I56" i="6"/>
  <c r="E56" i="6"/>
  <c r="BA55" i="6"/>
  <c r="AW55" i="6"/>
  <c r="AS55" i="6"/>
  <c r="AO55" i="6"/>
  <c r="AK55" i="6"/>
  <c r="AG55" i="6"/>
  <c r="AC55" i="6"/>
  <c r="Y55" i="6"/>
  <c r="U55" i="6"/>
  <c r="Q55" i="6"/>
  <c r="M55" i="6"/>
  <c r="I55" i="6"/>
  <c r="E55" i="6"/>
  <c r="BA54" i="6"/>
  <c r="AW54" i="6"/>
  <c r="AS54" i="6"/>
  <c r="AO54" i="6"/>
  <c r="AK54" i="6"/>
  <c r="AG54" i="6"/>
  <c r="AC54" i="6"/>
  <c r="Y54" i="6"/>
  <c r="U54" i="6"/>
  <c r="Q54" i="6"/>
  <c r="M54" i="6"/>
  <c r="I54" i="6"/>
  <c r="E54" i="6"/>
  <c r="BA53" i="6"/>
  <c r="AW53" i="6"/>
  <c r="AS53" i="6"/>
  <c r="AO53" i="6"/>
  <c r="AK53" i="6"/>
  <c r="AG53" i="6"/>
  <c r="AC53" i="6"/>
  <c r="Y53" i="6"/>
  <c r="U53" i="6"/>
  <c r="Q53" i="6"/>
  <c r="M53" i="6"/>
  <c r="I53" i="6"/>
  <c r="E53" i="6"/>
  <c r="BA52" i="6"/>
  <c r="AW52" i="6"/>
  <c r="AS52" i="6"/>
  <c r="AO52" i="6"/>
  <c r="AK52" i="6"/>
  <c r="AG52" i="6"/>
  <c r="AC52" i="6"/>
  <c r="Y52" i="6"/>
  <c r="U52" i="6"/>
  <c r="Q52" i="6"/>
  <c r="M52" i="6"/>
  <c r="I52" i="6"/>
  <c r="E52" i="6"/>
  <c r="BA51" i="6"/>
  <c r="AW51" i="6"/>
  <c r="AS51" i="6"/>
  <c r="AO51" i="6"/>
  <c r="AK51" i="6"/>
  <c r="AG51" i="6"/>
  <c r="AC51" i="6"/>
  <c r="Y51" i="6"/>
  <c r="U51" i="6"/>
  <c r="Q51" i="6"/>
  <c r="M51" i="6"/>
  <c r="I51" i="6"/>
  <c r="E51" i="6"/>
  <c r="BA50" i="6"/>
  <c r="AW50" i="6"/>
  <c r="AS50" i="6"/>
  <c r="AO50" i="6"/>
  <c r="AK50" i="6"/>
  <c r="AG50" i="6"/>
  <c r="AX56" i="6"/>
  <c r="AP56" i="6"/>
  <c r="AH56" i="6"/>
  <c r="Z56" i="6"/>
  <c r="T56" i="6"/>
  <c r="P56" i="6"/>
  <c r="L56" i="6"/>
  <c r="H56" i="6"/>
  <c r="D56" i="6"/>
  <c r="AZ55" i="6"/>
  <c r="AV55" i="6"/>
  <c r="AR55" i="6"/>
  <c r="AN55" i="6"/>
  <c r="AJ55" i="6"/>
  <c r="AF55" i="6"/>
  <c r="AB55" i="6"/>
  <c r="X55" i="6"/>
  <c r="T55" i="6"/>
  <c r="P55" i="6"/>
  <c r="L55" i="6"/>
  <c r="H55" i="6"/>
  <c r="D55" i="6"/>
  <c r="AZ54" i="6"/>
  <c r="AV54" i="6"/>
  <c r="AR54" i="6"/>
  <c r="AN54" i="6"/>
  <c r="AJ54" i="6"/>
  <c r="AF54" i="6"/>
  <c r="AB54" i="6"/>
  <c r="X54" i="6"/>
  <c r="T54" i="6"/>
  <c r="P54" i="6"/>
  <c r="L54" i="6"/>
  <c r="H54" i="6"/>
  <c r="D54" i="6"/>
  <c r="AZ53" i="6"/>
  <c r="AV53" i="6"/>
  <c r="AR53" i="6"/>
  <c r="AN53" i="6"/>
  <c r="AJ53" i="6"/>
  <c r="AF53" i="6"/>
  <c r="AB53" i="6"/>
  <c r="X53" i="6"/>
  <c r="P53" i="6"/>
  <c r="H53" i="6"/>
  <c r="AZ52" i="6"/>
  <c r="AR52" i="6"/>
  <c r="AJ52" i="6"/>
  <c r="AB52" i="6"/>
  <c r="T52" i="6"/>
  <c r="L52" i="6"/>
  <c r="D52" i="6"/>
  <c r="AV51" i="6"/>
  <c r="AN51" i="6"/>
  <c r="AF51" i="6"/>
  <c r="X51" i="6"/>
  <c r="P51" i="6"/>
  <c r="H51" i="6"/>
  <c r="AZ50" i="6"/>
  <c r="AR50" i="6"/>
  <c r="AJ50" i="6"/>
  <c r="AC50" i="6"/>
  <c r="X50" i="6"/>
  <c r="S50" i="6"/>
  <c r="O50" i="6"/>
  <c r="K50" i="6"/>
  <c r="G50" i="6"/>
  <c r="C50" i="6"/>
  <c r="C60" i="6" s="1"/>
  <c r="AY49" i="6"/>
  <c r="AU49" i="6"/>
  <c r="AQ49" i="6"/>
  <c r="AM49" i="6"/>
  <c r="AI49" i="6"/>
  <c r="AE49" i="6"/>
  <c r="AA49" i="6"/>
  <c r="W49" i="6"/>
  <c r="S49" i="6"/>
  <c r="O49" i="6"/>
  <c r="K49" i="6"/>
  <c r="G49" i="6"/>
  <c r="C49" i="6"/>
  <c r="C59" i="6" s="1"/>
  <c r="AY48" i="6"/>
  <c r="AU48" i="6"/>
  <c r="AQ48" i="6"/>
  <c r="AM48" i="6"/>
  <c r="AI48" i="6"/>
  <c r="AE48" i="6"/>
  <c r="AA48" i="6"/>
  <c r="W48" i="6"/>
  <c r="S48" i="6"/>
  <c r="O48" i="6"/>
  <c r="K48" i="6"/>
  <c r="G48" i="6"/>
  <c r="C48" i="6"/>
  <c r="C58" i="6" s="1"/>
  <c r="AY47" i="6"/>
  <c r="AU47" i="6"/>
  <c r="AQ47" i="6"/>
  <c r="AM47" i="6"/>
  <c r="AI47" i="6"/>
  <c r="AE47" i="6"/>
  <c r="AA47" i="6"/>
  <c r="W47" i="6"/>
  <c r="S47" i="6"/>
  <c r="O47" i="6"/>
  <c r="K47" i="6"/>
  <c r="G47" i="6"/>
  <c r="C47" i="6"/>
  <c r="C57" i="6" s="1"/>
  <c r="W53" i="6"/>
  <c r="O53" i="6"/>
  <c r="G53" i="6"/>
  <c r="AY52" i="6"/>
  <c r="AQ52" i="6"/>
  <c r="AI52" i="6"/>
  <c r="AA52" i="6"/>
  <c r="S52" i="6"/>
  <c r="K52" i="6"/>
  <c r="C52" i="6"/>
  <c r="C62" i="6" s="1"/>
  <c r="AU51" i="6"/>
  <c r="AM51" i="6"/>
  <c r="AE51" i="6"/>
  <c r="W51" i="6"/>
  <c r="O51" i="6"/>
  <c r="G51" i="6"/>
  <c r="AY50" i="6"/>
  <c r="AQ50" i="6"/>
  <c r="AI50" i="6"/>
  <c r="AB50" i="6"/>
  <c r="W50" i="6"/>
  <c r="R50" i="6"/>
  <c r="N50" i="6"/>
  <c r="J50" i="6"/>
  <c r="F50" i="6"/>
  <c r="BB49" i="6"/>
  <c r="AX49" i="6"/>
  <c r="AT49" i="6"/>
  <c r="AP49" i="6"/>
  <c r="AL49" i="6"/>
  <c r="AH49" i="6"/>
  <c r="AD49" i="6"/>
  <c r="Z49" i="6"/>
  <c r="V49" i="6"/>
  <c r="R49" i="6"/>
  <c r="N49" i="6"/>
  <c r="J49" i="6"/>
  <c r="F49" i="6"/>
  <c r="BB48" i="6"/>
  <c r="AX48" i="6"/>
  <c r="AT48" i="6"/>
  <c r="AP48" i="6"/>
  <c r="AL48" i="6"/>
  <c r="AH48" i="6"/>
  <c r="AD48" i="6"/>
  <c r="Z48" i="6"/>
  <c r="V48" i="6"/>
  <c r="R48" i="6"/>
  <c r="N48" i="6"/>
  <c r="J48" i="6"/>
  <c r="F48" i="6"/>
  <c r="BB47" i="6"/>
  <c r="AX47" i="6"/>
  <c r="AT47" i="6"/>
  <c r="AP47" i="6"/>
  <c r="AL47" i="6"/>
  <c r="AH47" i="6"/>
  <c r="AD47" i="6"/>
  <c r="Z47" i="6"/>
  <c r="V47" i="6"/>
  <c r="R47" i="6"/>
  <c r="N47" i="6"/>
  <c r="J47" i="6"/>
  <c r="F47" i="6"/>
  <c r="T53" i="6"/>
  <c r="L53" i="6"/>
  <c r="D53" i="6"/>
  <c r="AV52" i="6"/>
  <c r="AN52" i="6"/>
  <c r="AF52" i="6"/>
  <c r="X52" i="6"/>
  <c r="P52" i="6"/>
  <c r="H52" i="6"/>
  <c r="AZ51" i="6"/>
  <c r="AR51" i="6"/>
  <c r="AJ51" i="6"/>
  <c r="AB51" i="6"/>
  <c r="T51" i="6"/>
  <c r="L51" i="6"/>
  <c r="D51" i="6"/>
  <c r="AV50" i="6"/>
  <c r="AN50" i="6"/>
  <c r="AF50" i="6"/>
  <c r="AA50" i="6"/>
  <c r="U50" i="6"/>
  <c r="Q50" i="6"/>
  <c r="M50" i="6"/>
  <c r="I50" i="6"/>
  <c r="E50" i="6"/>
  <c r="BA49" i="6"/>
  <c r="AW49" i="6"/>
  <c r="AS49" i="6"/>
  <c r="AO49" i="6"/>
  <c r="AK49" i="6"/>
  <c r="AG49" i="6"/>
  <c r="AC49" i="6"/>
  <c r="Y49" i="6"/>
  <c r="U49" i="6"/>
  <c r="Q49" i="6"/>
  <c r="M49" i="6"/>
  <c r="I49" i="6"/>
  <c r="E49" i="6"/>
  <c r="BA48" i="6"/>
  <c r="AW48" i="6"/>
  <c r="AS48" i="6"/>
  <c r="AO48" i="6"/>
  <c r="AK48" i="6"/>
  <c r="AG48" i="6"/>
  <c r="AC48" i="6"/>
  <c r="Y48" i="6"/>
  <c r="U48" i="6"/>
  <c r="Q48" i="6"/>
  <c r="M48" i="6"/>
  <c r="I48" i="6"/>
  <c r="E48" i="6"/>
  <c r="BA47" i="6"/>
  <c r="AW47" i="6"/>
  <c r="AS47" i="6"/>
  <c r="AO47" i="6"/>
  <c r="AK47" i="6"/>
  <c r="AG47" i="6"/>
  <c r="AC47" i="6"/>
  <c r="Y47" i="6"/>
  <c r="U47" i="6"/>
  <c r="Q47" i="6"/>
  <c r="M47" i="6"/>
  <c r="I47" i="6"/>
  <c r="E47" i="6"/>
  <c r="S53" i="6"/>
  <c r="K53" i="6"/>
  <c r="C53" i="6"/>
  <c r="C63" i="6" s="1"/>
  <c r="AU52" i="6"/>
  <c r="AM52" i="6"/>
  <c r="AE52" i="6"/>
  <c r="W52" i="6"/>
  <c r="O52" i="6"/>
  <c r="G52" i="6"/>
  <c r="AY51" i="6"/>
  <c r="AQ51" i="6"/>
  <c r="AI51" i="6"/>
  <c r="AA51" i="6"/>
  <c r="S51" i="6"/>
  <c r="K51" i="6"/>
  <c r="C51" i="6"/>
  <c r="C61" i="6" s="1"/>
  <c r="AU50" i="6"/>
  <c r="AM50" i="6"/>
  <c r="AE50" i="6"/>
  <c r="Y50" i="6"/>
  <c r="T50" i="6"/>
  <c r="P50" i="6"/>
  <c r="L50" i="6"/>
  <c r="H50" i="6"/>
  <c r="D50" i="6"/>
  <c r="AZ49" i="6"/>
  <c r="AV49" i="6"/>
  <c r="AR49" i="6"/>
  <c r="AN49" i="6"/>
  <c r="AJ49" i="6"/>
  <c r="AF49" i="6"/>
  <c r="AB49" i="6"/>
  <c r="X49" i="6"/>
  <c r="T49" i="6"/>
  <c r="P49" i="6"/>
  <c r="L49" i="6"/>
  <c r="H49" i="6"/>
  <c r="D49" i="6"/>
  <c r="AZ48" i="6"/>
  <c r="AV48" i="6"/>
  <c r="AR48" i="6"/>
  <c r="AN48" i="6"/>
  <c r="AJ48" i="6"/>
  <c r="AF48" i="6"/>
  <c r="AB48" i="6"/>
  <c r="X48" i="6"/>
  <c r="T48" i="6"/>
  <c r="P48" i="6"/>
  <c r="L48" i="6"/>
  <c r="H48" i="6"/>
  <c r="D48" i="6"/>
  <c r="AZ47" i="6"/>
  <c r="AV47" i="6"/>
  <c r="AR47" i="6"/>
  <c r="AN47" i="6"/>
  <c r="AJ47" i="6"/>
  <c r="AF47" i="6"/>
  <c r="AB47" i="6"/>
  <c r="X47" i="6"/>
  <c r="T47" i="6"/>
  <c r="P47" i="6"/>
  <c r="L47" i="6"/>
  <c r="H47" i="6"/>
  <c r="D47" i="6"/>
  <c r="AZ4" i="6"/>
  <c r="AX4" i="6"/>
  <c r="AY2" i="6" a="1"/>
  <c r="AY2" i="6" s="1"/>
  <c r="AU2" i="6" a="1"/>
  <c r="AU2" i="6" s="1"/>
  <c r="AQ2" i="6" a="1"/>
  <c r="AQ2" i="6" s="1"/>
  <c r="AI2" i="6" a="1"/>
  <c r="AI2" i="6" s="1"/>
  <c r="AG2" i="6" a="1"/>
  <c r="AG2" i="6" s="1"/>
  <c r="AE2" i="6" a="1"/>
  <c r="AE2" i="6" s="1"/>
  <c r="AA2" i="6" a="1"/>
  <c r="AA2" i="6" s="1"/>
  <c r="W2" i="6" a="1"/>
  <c r="W2" i="6" s="1"/>
  <c r="U2" i="6" a="1"/>
  <c r="U2" i="6" s="1"/>
  <c r="S2" i="6" a="1"/>
  <c r="S2" i="6" s="1"/>
  <c r="L2" i="6" a="1"/>
  <c r="L2" i="6" s="1"/>
  <c r="H2" i="6" a="1"/>
  <c r="H2" i="6" s="1"/>
  <c r="D2" i="6" a="1"/>
  <c r="D2" i="6" s="1"/>
  <c r="BA2" i="6" a="1"/>
  <c r="BA2" i="6" s="1"/>
  <c r="AV2" i="6" a="1"/>
  <c r="AV2" i="6" s="1"/>
  <c r="AN2" i="6" a="1"/>
  <c r="AN2" i="6" s="1"/>
  <c r="AF2" i="6" a="1"/>
  <c r="AF2" i="6" s="1"/>
  <c r="AD2" i="6" a="1"/>
  <c r="AD2" i="6" s="1"/>
  <c r="AB2" i="6" a="1"/>
  <c r="AB2" i="6" s="1"/>
  <c r="Z2" i="6" a="1"/>
  <c r="Z2" i="6" s="1"/>
  <c r="X2" i="6" a="1"/>
  <c r="X2" i="6" s="1"/>
  <c r="R2" i="6" a="1"/>
  <c r="R2" i="6" s="1"/>
  <c r="K2" i="6" a="1"/>
  <c r="K2" i="6" s="1"/>
  <c r="G2" i="6" a="1"/>
  <c r="G2" i="6" s="1"/>
  <c r="BB2" i="6" a="1"/>
  <c r="BB2" i="6" s="1"/>
  <c r="AW2" i="6" a="1"/>
  <c r="AW2" i="6" s="1"/>
  <c r="AS2" i="6" a="1"/>
  <c r="AS2" i="6" s="1"/>
  <c r="AO2" i="6" a="1"/>
  <c r="AO2" i="6" s="1"/>
  <c r="AM2" i="6" a="1"/>
  <c r="AM2" i="6" s="1"/>
  <c r="AK2" i="6" a="1"/>
  <c r="AK2" i="6" s="1"/>
  <c r="AC2" i="6" a="1"/>
  <c r="AC2" i="6" s="1"/>
  <c r="Y2" i="6" a="1"/>
  <c r="Y2" i="6" s="1"/>
  <c r="T2" i="6" a="1"/>
  <c r="T2" i="6" s="1"/>
  <c r="J2" i="6" a="1"/>
  <c r="J2" i="6" s="1"/>
  <c r="F2" i="6" a="1"/>
  <c r="F2" i="6" s="1"/>
  <c r="Q2" i="6" a="1"/>
  <c r="Q2" i="6" s="1"/>
  <c r="O2" i="6" a="1"/>
  <c r="O2" i="6" s="1"/>
  <c r="C2" i="6" a="1"/>
  <c r="C2" i="6" s="1"/>
  <c r="AX2" i="6" a="1"/>
  <c r="AX2" i="6" s="1"/>
  <c r="AT2" i="6" a="1"/>
  <c r="AT2" i="6" s="1"/>
  <c r="AR2" i="6" a="1"/>
  <c r="AR2" i="6" s="1"/>
  <c r="AP2" i="6" a="1"/>
  <c r="AP2" i="6" s="1"/>
  <c r="AL2" i="6" a="1"/>
  <c r="AL2" i="6" s="1"/>
  <c r="AJ2" i="6" a="1"/>
  <c r="AJ2" i="6" s="1"/>
  <c r="AH2" i="6" a="1"/>
  <c r="AH2" i="6" s="1"/>
  <c r="V2" i="6" a="1"/>
  <c r="V2" i="6" s="1"/>
  <c r="M2" i="6" a="1"/>
  <c r="M2" i="6" s="1"/>
  <c r="I2" i="6" a="1"/>
  <c r="I2" i="6" s="1"/>
  <c r="E2" i="6" a="1"/>
  <c r="E2" i="6" s="1"/>
  <c r="P2" i="6" a="1"/>
  <c r="P2" i="6" s="1"/>
  <c r="N2" i="6" a="1"/>
  <c r="N2" i="6" s="1"/>
  <c r="BB4" i="6"/>
  <c r="AW4" i="6"/>
  <c r="AV4" i="6"/>
  <c r="AN4" i="6"/>
  <c r="AM4" i="6"/>
  <c r="AC4" i="6"/>
  <c r="AB4" i="6"/>
  <c r="Y4" i="6"/>
  <c r="X4" i="6"/>
  <c r="T4" i="6"/>
  <c r="P4" i="6"/>
  <c r="AS4" i="6"/>
  <c r="AR4" i="6"/>
  <c r="AO4" i="6"/>
  <c r="AL4" i="6"/>
  <c r="AK4" i="6"/>
  <c r="AJ4" i="6"/>
  <c r="Q4" i="6"/>
  <c r="C4" i="6"/>
  <c r="AY4" i="6"/>
  <c r="AT4" i="6"/>
  <c r="AQ4" i="6"/>
  <c r="AP4" i="6"/>
  <c r="AI4" i="6"/>
  <c r="AH4" i="6"/>
  <c r="AG4" i="6"/>
  <c r="V4" i="6"/>
  <c r="U4" i="6"/>
  <c r="R4" i="6"/>
  <c r="BA4" i="6"/>
  <c r="AU4" i="6"/>
  <c r="AF4" i="6"/>
  <c r="AE4" i="6"/>
  <c r="AD4" i="6"/>
  <c r="AA4" i="6"/>
  <c r="Z4" i="6"/>
  <c r="W4" i="6"/>
  <c r="S4" i="6"/>
  <c r="C81" i="6"/>
  <c r="C85" i="6"/>
  <c r="AZ2" i="6"/>
  <c r="AV5" i="17"/>
  <c r="A4" i="6" l="1"/>
  <c r="C13" i="6"/>
  <c r="D13" i="6" s="1"/>
  <c r="AV38" i="7"/>
  <c r="AW38" i="7" s="1"/>
  <c r="AX38" i="7" s="1"/>
  <c r="AY38" i="7" s="1"/>
  <c r="AZ38" i="7" s="1"/>
  <c r="BA38" i="7" s="1"/>
  <c r="BB38" i="7" s="1"/>
  <c r="D40" i="6"/>
  <c r="E40" i="6" s="1"/>
  <c r="F40" i="6" s="1"/>
  <c r="G40" i="6" s="1"/>
  <c r="H40" i="6" s="1"/>
  <c r="I40" i="6" s="1"/>
  <c r="J40" i="6" s="1"/>
  <c r="K40" i="6" s="1"/>
  <c r="L40" i="6" s="1"/>
  <c r="M40" i="6" s="1"/>
  <c r="N40" i="6" s="1"/>
  <c r="O40" i="6" s="1"/>
  <c r="P40" i="6" s="1"/>
  <c r="Q40" i="6" s="1"/>
  <c r="R40" i="6" s="1"/>
  <c r="S40" i="6" s="1"/>
  <c r="T40" i="6" s="1"/>
  <c r="U40" i="6" s="1"/>
  <c r="V40" i="6" s="1"/>
  <c r="W40" i="6" s="1"/>
  <c r="X40" i="6" s="1"/>
  <c r="Y40" i="6" s="1"/>
  <c r="Z40" i="6" s="1"/>
  <c r="AA40" i="6" s="1"/>
  <c r="AB40" i="6" s="1"/>
  <c r="AC40" i="6" s="1"/>
  <c r="AD40" i="6" s="1"/>
  <c r="AE40" i="6" s="1"/>
  <c r="AF40" i="6" s="1"/>
  <c r="AG40" i="6" s="1"/>
  <c r="AH40" i="6" s="1"/>
  <c r="AI40" i="6" s="1"/>
  <c r="AJ40" i="6" s="1"/>
  <c r="AK40" i="6" s="1"/>
  <c r="AL40" i="6" s="1"/>
  <c r="AM40" i="6" s="1"/>
  <c r="AN40" i="6" s="1"/>
  <c r="AO40" i="6" s="1"/>
  <c r="AP40" i="6" s="1"/>
  <c r="AQ40" i="6" s="1"/>
  <c r="AR40" i="6" s="1"/>
  <c r="AS40" i="6" s="1"/>
  <c r="AT40" i="6" s="1"/>
  <c r="AU40" i="6" s="1"/>
  <c r="AV40" i="6" s="1"/>
  <c r="AW40" i="6" s="1"/>
  <c r="AX40" i="6" s="1"/>
  <c r="AY40" i="6" s="1"/>
  <c r="AZ40" i="6" s="1"/>
  <c r="BA40" i="6" s="1"/>
  <c r="BB40" i="6" s="1"/>
  <c r="D42" i="6"/>
  <c r="E42" i="6" s="1"/>
  <c r="F42" i="6" s="1"/>
  <c r="G42" i="6" s="1"/>
  <c r="H42" i="6" s="1"/>
  <c r="I42" i="6" s="1"/>
  <c r="J42" i="6" s="1"/>
  <c r="K42" i="6" s="1"/>
  <c r="L42" i="6" s="1"/>
  <c r="M42" i="6" s="1"/>
  <c r="N42" i="6" s="1"/>
  <c r="O42" i="6" s="1"/>
  <c r="P42" i="6" s="1"/>
  <c r="Q42" i="6" s="1"/>
  <c r="R42" i="6" s="1"/>
  <c r="S42" i="6" s="1"/>
  <c r="T42" i="6" s="1"/>
  <c r="U42" i="6" s="1"/>
  <c r="V42" i="6" s="1"/>
  <c r="W42" i="6" s="1"/>
  <c r="X42" i="6" s="1"/>
  <c r="Y42" i="6" s="1"/>
  <c r="Z42" i="6" s="1"/>
  <c r="AA42" i="6" s="1"/>
  <c r="AB42" i="6" s="1"/>
  <c r="AC42" i="6" s="1"/>
  <c r="AD42" i="6" s="1"/>
  <c r="AE42" i="6" s="1"/>
  <c r="AF42" i="6" s="1"/>
  <c r="AG42" i="6" s="1"/>
  <c r="AH42" i="6" s="1"/>
  <c r="AI42" i="6" s="1"/>
  <c r="AJ42" i="6" s="1"/>
  <c r="AK42" i="6" s="1"/>
  <c r="AL42" i="6" s="1"/>
  <c r="AM42" i="6" s="1"/>
  <c r="AN42" i="6" s="1"/>
  <c r="AO42" i="6" s="1"/>
  <c r="AP42" i="6" s="1"/>
  <c r="AQ42" i="6" s="1"/>
  <c r="AR42" i="6" s="1"/>
  <c r="AS42" i="6" s="1"/>
  <c r="AT42" i="6" s="1"/>
  <c r="AU42" i="6" s="1"/>
  <c r="AV42" i="6" s="1"/>
  <c r="AW42" i="6" s="1"/>
  <c r="AX42" i="6" s="1"/>
  <c r="AY42" i="6" s="1"/>
  <c r="AZ42" i="6" s="1"/>
  <c r="BA42" i="6" s="1"/>
  <c r="BB42" i="6" s="1"/>
  <c r="AU39" i="7"/>
  <c r="AV39" i="7" s="1"/>
  <c r="AW39" i="7" s="1"/>
  <c r="AX39" i="7" s="1"/>
  <c r="AY39" i="7" s="1"/>
  <c r="AZ39" i="7" s="1"/>
  <c r="BA39" i="7" s="1"/>
  <c r="BB39" i="7" s="1"/>
  <c r="D43" i="6"/>
  <c r="E43" i="6" s="1"/>
  <c r="F43" i="6" s="1"/>
  <c r="G43" i="6" s="1"/>
  <c r="H43" i="6" s="1"/>
  <c r="I43" i="6" s="1"/>
  <c r="J43" i="6" s="1"/>
  <c r="K43" i="6" s="1"/>
  <c r="L43" i="6" s="1"/>
  <c r="M43" i="6" s="1"/>
  <c r="N43" i="6" s="1"/>
  <c r="O43" i="6" s="1"/>
  <c r="P43" i="6" s="1"/>
  <c r="Q43" i="6" s="1"/>
  <c r="R43" i="6" s="1"/>
  <c r="S43" i="6" s="1"/>
  <c r="T43" i="6" s="1"/>
  <c r="U43" i="6" s="1"/>
  <c r="V43" i="6" s="1"/>
  <c r="W43" i="6" s="1"/>
  <c r="X43" i="6" s="1"/>
  <c r="Y43" i="6" s="1"/>
  <c r="Z43" i="6" s="1"/>
  <c r="AA43" i="6" s="1"/>
  <c r="AB43" i="6" s="1"/>
  <c r="AC43" i="6" s="1"/>
  <c r="AD43" i="6" s="1"/>
  <c r="AE43" i="6" s="1"/>
  <c r="AF43" i="6" s="1"/>
  <c r="AG43" i="6" s="1"/>
  <c r="AH43" i="6" s="1"/>
  <c r="AI43" i="6" s="1"/>
  <c r="AJ43" i="6" s="1"/>
  <c r="AK43" i="6" s="1"/>
  <c r="AL43" i="6" s="1"/>
  <c r="AM43" i="6" s="1"/>
  <c r="AN43" i="6" s="1"/>
  <c r="AO43" i="6" s="1"/>
  <c r="AP43" i="6" s="1"/>
  <c r="AQ43" i="6" s="1"/>
  <c r="AR43" i="6" s="1"/>
  <c r="AS43" i="6" s="1"/>
  <c r="AT43" i="6" s="1"/>
  <c r="AU43" i="6" s="1"/>
  <c r="AV43" i="6" s="1"/>
  <c r="AW43" i="6" s="1"/>
  <c r="AX43" i="6" s="1"/>
  <c r="AY43" i="6" s="1"/>
  <c r="AZ43" i="6" s="1"/>
  <c r="BA43" i="6" s="1"/>
  <c r="BB43" i="6" s="1"/>
  <c r="D41" i="6"/>
  <c r="E41" i="6" s="1"/>
  <c r="F41" i="6" s="1"/>
  <c r="G41" i="6" s="1"/>
  <c r="H41" i="6" s="1"/>
  <c r="I41" i="6" s="1"/>
  <c r="J41" i="6" s="1"/>
  <c r="K41" i="6" s="1"/>
  <c r="L41" i="6" s="1"/>
  <c r="M41" i="6" s="1"/>
  <c r="N41" i="6" s="1"/>
  <c r="O41" i="6" s="1"/>
  <c r="P41" i="6" s="1"/>
  <c r="Q41" i="6" s="1"/>
  <c r="R41" i="6" s="1"/>
  <c r="S41" i="6" s="1"/>
  <c r="T41" i="6" s="1"/>
  <c r="U41" i="6" s="1"/>
  <c r="V41" i="6" s="1"/>
  <c r="W41" i="6" s="1"/>
  <c r="X41" i="6" s="1"/>
  <c r="Y41" i="6" s="1"/>
  <c r="Z41" i="6" s="1"/>
  <c r="AA41" i="6" s="1"/>
  <c r="AB41" i="6" s="1"/>
  <c r="AC41" i="6" s="1"/>
  <c r="AD41" i="6" s="1"/>
  <c r="AE41" i="6" s="1"/>
  <c r="AF41" i="6" s="1"/>
  <c r="AG41" i="6" s="1"/>
  <c r="AH41" i="6" s="1"/>
  <c r="AI41" i="6" s="1"/>
  <c r="AJ41" i="6" s="1"/>
  <c r="AK41" i="6" s="1"/>
  <c r="AL41" i="6" s="1"/>
  <c r="AM41" i="6" s="1"/>
  <c r="AN41" i="6" s="1"/>
  <c r="AO41" i="6" s="1"/>
  <c r="AP41" i="6" s="1"/>
  <c r="AQ41" i="6" s="1"/>
  <c r="AR41" i="6" s="1"/>
  <c r="AS41" i="6" s="1"/>
  <c r="AT41" i="6" s="1"/>
  <c r="AU41" i="6" s="1"/>
  <c r="AV41" i="6" s="1"/>
  <c r="AW41" i="6" s="1"/>
  <c r="AX41" i="6" s="1"/>
  <c r="AY41" i="6" s="1"/>
  <c r="AZ41" i="6" s="1"/>
  <c r="BA41" i="6" s="1"/>
  <c r="BB41" i="6" s="1"/>
  <c r="AU40" i="7"/>
  <c r="AV40" i="7" s="1"/>
  <c r="AW40" i="7" s="1"/>
  <c r="AX40" i="7" s="1"/>
  <c r="AY40" i="7" s="1"/>
  <c r="AZ40" i="7" s="1"/>
  <c r="BA40" i="7" s="1"/>
  <c r="BB40" i="7" s="1"/>
  <c r="D32" i="6"/>
  <c r="E32" i="6" s="1"/>
  <c r="F32" i="6" s="1"/>
  <c r="G32" i="6" s="1"/>
  <c r="H32" i="6" s="1"/>
  <c r="I32" i="6" s="1"/>
  <c r="J32" i="6" s="1"/>
  <c r="K32" i="6" s="1"/>
  <c r="L32" i="6" s="1"/>
  <c r="M32" i="6" s="1"/>
  <c r="N32" i="6" s="1"/>
  <c r="O32" i="6" s="1"/>
  <c r="P32" i="6" s="1"/>
  <c r="Q32" i="6" s="1"/>
  <c r="R32" i="6" s="1"/>
  <c r="S32" i="6" s="1"/>
  <c r="T32" i="6" s="1"/>
  <c r="U32" i="6" s="1"/>
  <c r="V32" i="6" s="1"/>
  <c r="W32" i="6" s="1"/>
  <c r="X32" i="6" s="1"/>
  <c r="Y32" i="6" s="1"/>
  <c r="Z32" i="6" s="1"/>
  <c r="AA32" i="6" s="1"/>
  <c r="AB32" i="6" s="1"/>
  <c r="AC32" i="6" s="1"/>
  <c r="AD32" i="6" s="1"/>
  <c r="AE32" i="6" s="1"/>
  <c r="AF32" i="6" s="1"/>
  <c r="AG32" i="6" s="1"/>
  <c r="AH32" i="6" s="1"/>
  <c r="AI32" i="6" s="1"/>
  <c r="AJ32" i="6" s="1"/>
  <c r="AK32" i="6" s="1"/>
  <c r="AL32" i="6" s="1"/>
  <c r="AM32" i="6" s="1"/>
  <c r="AN32" i="6" s="1"/>
  <c r="AO32" i="6" s="1"/>
  <c r="AP32" i="6" s="1"/>
  <c r="AQ32" i="6" s="1"/>
  <c r="AR32" i="6" s="1"/>
  <c r="AS32" i="6" s="1"/>
  <c r="AT32" i="6" s="1"/>
  <c r="AU32" i="6" s="1"/>
  <c r="AV32" i="6" s="1"/>
  <c r="AW32" i="6" s="1"/>
  <c r="AX32" i="6" s="1"/>
  <c r="AY32" i="6" s="1"/>
  <c r="AZ32" i="6" s="1"/>
  <c r="BA32" i="6" s="1"/>
  <c r="BB32" i="6" s="1"/>
  <c r="AU29" i="7"/>
  <c r="AV29" i="7" s="1"/>
  <c r="AW29" i="7" s="1"/>
  <c r="AX29" i="7" s="1"/>
  <c r="AY29" i="7" s="1"/>
  <c r="AZ29" i="7" s="1"/>
  <c r="BA29" i="7" s="1"/>
  <c r="BB29" i="7" s="1"/>
  <c r="AU37" i="7"/>
  <c r="AV37" i="7" s="1"/>
  <c r="AW37" i="7" s="1"/>
  <c r="AX37" i="7" s="1"/>
  <c r="AY37" i="7" s="1"/>
  <c r="AZ37" i="7" s="1"/>
  <c r="BA37" i="7" s="1"/>
  <c r="BB37" i="7" s="1"/>
  <c r="D87" i="6"/>
  <c r="E87" i="6" s="1"/>
  <c r="F87" i="6" s="1"/>
  <c r="G87" i="6" s="1"/>
  <c r="H87" i="6" s="1"/>
  <c r="I87" i="6" s="1"/>
  <c r="J87" i="6" s="1"/>
  <c r="K87" i="6" s="1"/>
  <c r="L87" i="6" s="1"/>
  <c r="M87" i="6" s="1"/>
  <c r="N87" i="6" s="1"/>
  <c r="O87" i="6" s="1"/>
  <c r="P87" i="6" s="1"/>
  <c r="Q87" i="6" s="1"/>
  <c r="R87" i="6" s="1"/>
  <c r="S87" i="6" s="1"/>
  <c r="T87" i="6" s="1"/>
  <c r="U87" i="6" s="1"/>
  <c r="V87" i="6" s="1"/>
  <c r="W87" i="6" s="1"/>
  <c r="X87" i="6" s="1"/>
  <c r="Y87" i="6" s="1"/>
  <c r="Z87" i="6" s="1"/>
  <c r="AA87" i="6" s="1"/>
  <c r="AB87" i="6" s="1"/>
  <c r="AC87" i="6" s="1"/>
  <c r="AD87" i="6" s="1"/>
  <c r="AE87" i="6" s="1"/>
  <c r="AF87" i="6" s="1"/>
  <c r="AG87" i="6" s="1"/>
  <c r="AH87" i="6" s="1"/>
  <c r="AI87" i="6" s="1"/>
  <c r="AJ87" i="6" s="1"/>
  <c r="AK87" i="6" s="1"/>
  <c r="AL87" i="6" s="1"/>
  <c r="AM87" i="6" s="1"/>
  <c r="AN87" i="6" s="1"/>
  <c r="AO87" i="6" s="1"/>
  <c r="AP87" i="6" s="1"/>
  <c r="AQ87" i="6" s="1"/>
  <c r="AR87" i="6" s="1"/>
  <c r="AS87" i="6" s="1"/>
  <c r="AT87" i="6" s="1"/>
  <c r="AU87" i="6" s="1"/>
  <c r="AV87" i="6" s="1"/>
  <c r="AW87" i="6" s="1"/>
  <c r="AX87" i="6" s="1"/>
  <c r="AY87" i="6" s="1"/>
  <c r="AZ87" i="6" s="1"/>
  <c r="BA87" i="6" s="1"/>
  <c r="BB87" i="6" s="1"/>
  <c r="D29" i="6"/>
  <c r="E29" i="6" s="1"/>
  <c r="F29" i="6" s="1"/>
  <c r="G29" i="6" s="1"/>
  <c r="H29" i="6" s="1"/>
  <c r="I29" i="6" s="1"/>
  <c r="J29" i="6" s="1"/>
  <c r="K29" i="6" s="1"/>
  <c r="L29" i="6" s="1"/>
  <c r="M29" i="6" s="1"/>
  <c r="N29" i="6" s="1"/>
  <c r="O29" i="6" s="1"/>
  <c r="P29" i="6" s="1"/>
  <c r="Q29" i="6" s="1"/>
  <c r="R29" i="6" s="1"/>
  <c r="S29" i="6" s="1"/>
  <c r="T29" i="6" s="1"/>
  <c r="U29" i="6" s="1"/>
  <c r="V29" i="6" s="1"/>
  <c r="W29" i="6" s="1"/>
  <c r="X29" i="6" s="1"/>
  <c r="Y29" i="6" s="1"/>
  <c r="Z29" i="6" s="1"/>
  <c r="AA29" i="6" s="1"/>
  <c r="AB29" i="6" s="1"/>
  <c r="AC29" i="6" s="1"/>
  <c r="AD29" i="6" s="1"/>
  <c r="AE29" i="6" s="1"/>
  <c r="AF29" i="6" s="1"/>
  <c r="AG29" i="6" s="1"/>
  <c r="AH29" i="6" s="1"/>
  <c r="AI29" i="6" s="1"/>
  <c r="AJ29" i="6" s="1"/>
  <c r="AK29" i="6" s="1"/>
  <c r="AL29" i="6" s="1"/>
  <c r="AM29" i="6" s="1"/>
  <c r="AN29" i="6" s="1"/>
  <c r="AO29" i="6" s="1"/>
  <c r="AP29" i="6" s="1"/>
  <c r="AQ29" i="6" s="1"/>
  <c r="AR29" i="6" s="1"/>
  <c r="AS29" i="6" s="1"/>
  <c r="AT29" i="6" s="1"/>
  <c r="AU29" i="6" s="1"/>
  <c r="AV29" i="6" s="1"/>
  <c r="AW29" i="6" s="1"/>
  <c r="AX29" i="6" s="1"/>
  <c r="AY29" i="6" s="1"/>
  <c r="AZ29" i="6" s="1"/>
  <c r="BA29" i="6" s="1"/>
  <c r="BB29" i="6" s="1"/>
  <c r="D30" i="6"/>
  <c r="E30" i="6" s="1"/>
  <c r="F30" i="6" s="1"/>
  <c r="G30" i="6" s="1"/>
  <c r="H30" i="6" s="1"/>
  <c r="I30" i="6" s="1"/>
  <c r="J30" i="6" s="1"/>
  <c r="K30" i="6" s="1"/>
  <c r="L30" i="6" s="1"/>
  <c r="M30" i="6" s="1"/>
  <c r="N30" i="6" s="1"/>
  <c r="O30" i="6" s="1"/>
  <c r="P30" i="6" s="1"/>
  <c r="Q30" i="6" s="1"/>
  <c r="R30" i="6" s="1"/>
  <c r="S30" i="6" s="1"/>
  <c r="T30" i="6" s="1"/>
  <c r="U30" i="6" s="1"/>
  <c r="V30" i="6" s="1"/>
  <c r="W30" i="6" s="1"/>
  <c r="X30" i="6" s="1"/>
  <c r="Y30" i="6" s="1"/>
  <c r="Z30" i="6" s="1"/>
  <c r="AA30" i="6" s="1"/>
  <c r="AB30" i="6" s="1"/>
  <c r="AC30" i="6" s="1"/>
  <c r="AD30" i="6" s="1"/>
  <c r="AE30" i="6" s="1"/>
  <c r="AF30" i="6" s="1"/>
  <c r="AG30" i="6" s="1"/>
  <c r="AH30" i="6" s="1"/>
  <c r="AI30" i="6" s="1"/>
  <c r="AJ30" i="6" s="1"/>
  <c r="AK30" i="6" s="1"/>
  <c r="AL30" i="6" s="1"/>
  <c r="AM30" i="6" s="1"/>
  <c r="AN30" i="6" s="1"/>
  <c r="AO30" i="6" s="1"/>
  <c r="AP30" i="6" s="1"/>
  <c r="AQ30" i="6" s="1"/>
  <c r="AR30" i="6" s="1"/>
  <c r="AS30" i="6" s="1"/>
  <c r="AT30" i="6" s="1"/>
  <c r="AU30" i="6" s="1"/>
  <c r="AV30" i="6" s="1"/>
  <c r="AW30" i="6" s="1"/>
  <c r="AX30" i="6" s="1"/>
  <c r="AY30" i="6" s="1"/>
  <c r="AZ30" i="6" s="1"/>
  <c r="BA30" i="6" s="1"/>
  <c r="BB30" i="6" s="1"/>
  <c r="D31" i="6"/>
  <c r="E31" i="6" s="1"/>
  <c r="F31" i="6" s="1"/>
  <c r="G31" i="6" s="1"/>
  <c r="H31" i="6" s="1"/>
  <c r="I31" i="6" s="1"/>
  <c r="J31" i="6" s="1"/>
  <c r="K31" i="6" s="1"/>
  <c r="L31" i="6" s="1"/>
  <c r="M31" i="6" s="1"/>
  <c r="N31" i="6" s="1"/>
  <c r="O31" i="6" s="1"/>
  <c r="P31" i="6" s="1"/>
  <c r="Q31" i="6" s="1"/>
  <c r="R31" i="6" s="1"/>
  <c r="S31" i="6" s="1"/>
  <c r="T31" i="6" s="1"/>
  <c r="U31" i="6" s="1"/>
  <c r="V31" i="6" s="1"/>
  <c r="W31" i="6" s="1"/>
  <c r="X31" i="6" s="1"/>
  <c r="Y31" i="6" s="1"/>
  <c r="Z31" i="6" s="1"/>
  <c r="AA31" i="6" s="1"/>
  <c r="AB31" i="6" s="1"/>
  <c r="AC31" i="6" s="1"/>
  <c r="AD31" i="6" s="1"/>
  <c r="AE31" i="6" s="1"/>
  <c r="AF31" i="6" s="1"/>
  <c r="AG31" i="6" s="1"/>
  <c r="AH31" i="6" s="1"/>
  <c r="AI31" i="6" s="1"/>
  <c r="AJ31" i="6" s="1"/>
  <c r="AK31" i="6" s="1"/>
  <c r="AL31" i="6" s="1"/>
  <c r="AM31" i="6" s="1"/>
  <c r="AN31" i="6" s="1"/>
  <c r="AO31" i="6" s="1"/>
  <c r="AP31" i="6" s="1"/>
  <c r="AQ31" i="6" s="1"/>
  <c r="AR31" i="6" s="1"/>
  <c r="AS31" i="6" s="1"/>
  <c r="AT31" i="6" s="1"/>
  <c r="AU31" i="6" s="1"/>
  <c r="AV31" i="6" s="1"/>
  <c r="AW31" i="6" s="1"/>
  <c r="AX31" i="6" s="1"/>
  <c r="AY31" i="6" s="1"/>
  <c r="AZ31" i="6" s="1"/>
  <c r="BA31" i="6" s="1"/>
  <c r="BB31" i="6" s="1"/>
  <c r="D57" i="6"/>
  <c r="E57" i="6" s="1"/>
  <c r="F57" i="6" s="1"/>
  <c r="G57" i="6" s="1"/>
  <c r="H57" i="6" s="1"/>
  <c r="I57" i="6" s="1"/>
  <c r="J57" i="6" s="1"/>
  <c r="K57" i="6" s="1"/>
  <c r="L57" i="6" s="1"/>
  <c r="M57" i="6" s="1"/>
  <c r="N57" i="6" s="1"/>
  <c r="O57" i="6" s="1"/>
  <c r="P57" i="6" s="1"/>
  <c r="Q57" i="6" s="1"/>
  <c r="R57" i="6" s="1"/>
  <c r="S57" i="6" s="1"/>
  <c r="T57" i="6" s="1"/>
  <c r="U57" i="6" s="1"/>
  <c r="V57" i="6" s="1"/>
  <c r="W57" i="6" s="1"/>
  <c r="X57" i="6" s="1"/>
  <c r="Y57" i="6" s="1"/>
  <c r="Z57" i="6" s="1"/>
  <c r="AA57" i="6" s="1"/>
  <c r="AB57" i="6" s="1"/>
  <c r="AC57" i="6" s="1"/>
  <c r="AD57" i="6" s="1"/>
  <c r="AE57" i="6" s="1"/>
  <c r="AF57" i="6" s="1"/>
  <c r="AG57" i="6" s="1"/>
  <c r="AH57" i="6" s="1"/>
  <c r="AI57" i="6" s="1"/>
  <c r="AJ57" i="6" s="1"/>
  <c r="AK57" i="6" s="1"/>
  <c r="AL57" i="6" s="1"/>
  <c r="AM57" i="6" s="1"/>
  <c r="AN57" i="6" s="1"/>
  <c r="AO57" i="6" s="1"/>
  <c r="AP57" i="6" s="1"/>
  <c r="AQ57" i="6" s="1"/>
  <c r="AR57" i="6" s="1"/>
  <c r="AS57" i="6" s="1"/>
  <c r="AT57" i="6" s="1"/>
  <c r="AU57" i="6" s="1"/>
  <c r="AV57" i="6" s="1"/>
  <c r="AW57" i="6" s="1"/>
  <c r="AX57" i="6" s="1"/>
  <c r="AY57" i="6" s="1"/>
  <c r="AZ57" i="6" s="1"/>
  <c r="BA57" i="6" s="1"/>
  <c r="BB57" i="6" s="1"/>
  <c r="A3" i="6"/>
  <c r="D61" i="6"/>
  <c r="E61" i="6" s="1"/>
  <c r="F61" i="6" s="1"/>
  <c r="G61" i="6" s="1"/>
  <c r="H61" i="6" s="1"/>
  <c r="I61" i="6" s="1"/>
  <c r="J61" i="6" s="1"/>
  <c r="K61" i="6" s="1"/>
  <c r="L61" i="6" s="1"/>
  <c r="M61" i="6" s="1"/>
  <c r="N61" i="6" s="1"/>
  <c r="O61" i="6" s="1"/>
  <c r="P61" i="6" s="1"/>
  <c r="Q61" i="6" s="1"/>
  <c r="R61" i="6" s="1"/>
  <c r="S61" i="6" s="1"/>
  <c r="T61" i="6" s="1"/>
  <c r="U61" i="6" s="1"/>
  <c r="V61" i="6" s="1"/>
  <c r="W61" i="6" s="1"/>
  <c r="X61" i="6" s="1"/>
  <c r="Y61" i="6" s="1"/>
  <c r="Z61" i="6" s="1"/>
  <c r="AA61" i="6" s="1"/>
  <c r="AB61" i="6" s="1"/>
  <c r="AC61" i="6" s="1"/>
  <c r="AD61" i="6" s="1"/>
  <c r="AE61" i="6" s="1"/>
  <c r="AF61" i="6" s="1"/>
  <c r="AG61" i="6" s="1"/>
  <c r="AH61" i="6" s="1"/>
  <c r="AI61" i="6" s="1"/>
  <c r="AJ61" i="6" s="1"/>
  <c r="AK61" i="6" s="1"/>
  <c r="AL61" i="6" s="1"/>
  <c r="AM61" i="6" s="1"/>
  <c r="AN61" i="6" s="1"/>
  <c r="AO61" i="6" s="1"/>
  <c r="AP61" i="6" s="1"/>
  <c r="AQ61" i="6" s="1"/>
  <c r="AR61" i="6" s="1"/>
  <c r="AS61" i="6" s="1"/>
  <c r="AT61" i="6" s="1"/>
  <c r="AU61" i="6" s="1"/>
  <c r="AV61" i="6" s="1"/>
  <c r="AW61" i="6" s="1"/>
  <c r="AX61" i="6" s="1"/>
  <c r="AY61" i="6" s="1"/>
  <c r="AZ61" i="6" s="1"/>
  <c r="BA61" i="6" s="1"/>
  <c r="BB61" i="6" s="1"/>
  <c r="D62" i="6"/>
  <c r="E62" i="6" s="1"/>
  <c r="F62" i="6" s="1"/>
  <c r="G62" i="6" s="1"/>
  <c r="H62" i="6" s="1"/>
  <c r="I62" i="6" s="1"/>
  <c r="J62" i="6" s="1"/>
  <c r="K62" i="6" s="1"/>
  <c r="L62" i="6" s="1"/>
  <c r="M62" i="6" s="1"/>
  <c r="N62" i="6" s="1"/>
  <c r="O62" i="6" s="1"/>
  <c r="P62" i="6" s="1"/>
  <c r="Q62" i="6" s="1"/>
  <c r="R62" i="6" s="1"/>
  <c r="S62" i="6" s="1"/>
  <c r="T62" i="6" s="1"/>
  <c r="U62" i="6" s="1"/>
  <c r="V62" i="6" s="1"/>
  <c r="W62" i="6" s="1"/>
  <c r="X62" i="6" s="1"/>
  <c r="Y62" i="6" s="1"/>
  <c r="Z62" i="6" s="1"/>
  <c r="AA62" i="6" s="1"/>
  <c r="AB62" i="6" s="1"/>
  <c r="AC62" i="6" s="1"/>
  <c r="AD62" i="6" s="1"/>
  <c r="AE62" i="6" s="1"/>
  <c r="AF62" i="6" s="1"/>
  <c r="AG62" i="6" s="1"/>
  <c r="AH62" i="6" s="1"/>
  <c r="AI62" i="6" s="1"/>
  <c r="AJ62" i="6" s="1"/>
  <c r="AK62" i="6" s="1"/>
  <c r="AL62" i="6" s="1"/>
  <c r="AM62" i="6" s="1"/>
  <c r="AN62" i="6" s="1"/>
  <c r="AO62" i="6" s="1"/>
  <c r="AP62" i="6" s="1"/>
  <c r="AQ62" i="6" s="1"/>
  <c r="AR62" i="6" s="1"/>
  <c r="AS62" i="6" s="1"/>
  <c r="AT62" i="6" s="1"/>
  <c r="AU62" i="6" s="1"/>
  <c r="AV62" i="6" s="1"/>
  <c r="AW62" i="6" s="1"/>
  <c r="AX62" i="6" s="1"/>
  <c r="AY62" i="6" s="1"/>
  <c r="AZ62" i="6" s="1"/>
  <c r="BA62" i="6" s="1"/>
  <c r="BB62" i="6" s="1"/>
  <c r="D59" i="6"/>
  <c r="E59" i="6" s="1"/>
  <c r="F59" i="6" s="1"/>
  <c r="G59" i="6" s="1"/>
  <c r="H59" i="6" s="1"/>
  <c r="I59" i="6" s="1"/>
  <c r="J59" i="6" s="1"/>
  <c r="K59" i="6" s="1"/>
  <c r="L59" i="6" s="1"/>
  <c r="M59" i="6" s="1"/>
  <c r="N59" i="6" s="1"/>
  <c r="O59" i="6" s="1"/>
  <c r="P59" i="6" s="1"/>
  <c r="Q59" i="6" s="1"/>
  <c r="R59" i="6" s="1"/>
  <c r="S59" i="6" s="1"/>
  <c r="T59" i="6" s="1"/>
  <c r="U59" i="6" s="1"/>
  <c r="V59" i="6" s="1"/>
  <c r="W59" i="6" s="1"/>
  <c r="D80" i="6"/>
  <c r="E80" i="6" s="1"/>
  <c r="F80" i="6" s="1"/>
  <c r="G80" i="6" s="1"/>
  <c r="H80" i="6" s="1"/>
  <c r="I80" i="6" s="1"/>
  <c r="J80" i="6" s="1"/>
  <c r="K80" i="6" s="1"/>
  <c r="L80" i="6" s="1"/>
  <c r="M80" i="6" s="1"/>
  <c r="N80" i="6" s="1"/>
  <c r="O80" i="6" s="1"/>
  <c r="P80" i="6" s="1"/>
  <c r="Q80" i="6" s="1"/>
  <c r="R80" i="6" s="1"/>
  <c r="S80" i="6" s="1"/>
  <c r="T80" i="6" s="1"/>
  <c r="U80" i="6" s="1"/>
  <c r="V80" i="6" s="1"/>
  <c r="W80" i="6" s="1"/>
  <c r="X80" i="6" s="1"/>
  <c r="Y80" i="6" s="1"/>
  <c r="Z80" i="6" s="1"/>
  <c r="AA80" i="6" s="1"/>
  <c r="AB80" i="6" s="1"/>
  <c r="AC80" i="6" s="1"/>
  <c r="AD80" i="6" s="1"/>
  <c r="AE80" i="6" s="1"/>
  <c r="AF80" i="6" s="1"/>
  <c r="AG80" i="6" s="1"/>
  <c r="AH80" i="6" s="1"/>
  <c r="AI80" i="6" s="1"/>
  <c r="AJ80" i="6" s="1"/>
  <c r="AK80" i="6" s="1"/>
  <c r="AL80" i="6" s="1"/>
  <c r="AM80" i="6" s="1"/>
  <c r="AN80" i="6" s="1"/>
  <c r="AO80" i="6" s="1"/>
  <c r="AP80" i="6" s="1"/>
  <c r="AQ80" i="6" s="1"/>
  <c r="AR80" i="6" s="1"/>
  <c r="AS80" i="6" s="1"/>
  <c r="AT80" i="6" s="1"/>
  <c r="AU80" i="6" s="1"/>
  <c r="AV80" i="6" s="1"/>
  <c r="AW80" i="6" s="1"/>
  <c r="AX80" i="6" s="1"/>
  <c r="AY80" i="6" s="1"/>
  <c r="AZ80" i="6" s="1"/>
  <c r="BA80" i="6" s="1"/>
  <c r="BB80" i="6" s="1"/>
  <c r="D83" i="6"/>
  <c r="E83" i="6" s="1"/>
  <c r="F83" i="6" s="1"/>
  <c r="G83" i="6" s="1"/>
  <c r="H83" i="6" s="1"/>
  <c r="I83" i="6" s="1"/>
  <c r="J83" i="6" s="1"/>
  <c r="K83" i="6" s="1"/>
  <c r="L83" i="6" s="1"/>
  <c r="M83" i="6" s="1"/>
  <c r="N83" i="6" s="1"/>
  <c r="O83" i="6" s="1"/>
  <c r="P83" i="6" s="1"/>
  <c r="Q83" i="6" s="1"/>
  <c r="R83" i="6" s="1"/>
  <c r="S83" i="6" s="1"/>
  <c r="T83" i="6" s="1"/>
  <c r="U83" i="6" s="1"/>
  <c r="V83" i="6" s="1"/>
  <c r="W83" i="6" s="1"/>
  <c r="X83" i="6" s="1"/>
  <c r="Y83" i="6" s="1"/>
  <c r="Z83" i="6" s="1"/>
  <c r="AA83" i="6" s="1"/>
  <c r="AB83" i="6" s="1"/>
  <c r="AC83" i="6" s="1"/>
  <c r="AD83" i="6" s="1"/>
  <c r="AE83" i="6" s="1"/>
  <c r="AF83" i="6" s="1"/>
  <c r="AG83" i="6" s="1"/>
  <c r="AH83" i="6" s="1"/>
  <c r="AI83" i="6" s="1"/>
  <c r="AJ83" i="6" s="1"/>
  <c r="AK83" i="6" s="1"/>
  <c r="AL83" i="6" s="1"/>
  <c r="AM83" i="6" s="1"/>
  <c r="AN83" i="6" s="1"/>
  <c r="AO83" i="6" s="1"/>
  <c r="AP83" i="6" s="1"/>
  <c r="AQ83" i="6" s="1"/>
  <c r="AR83" i="6" s="1"/>
  <c r="AS83" i="6" s="1"/>
  <c r="AT83" i="6" s="1"/>
  <c r="AU83" i="6" s="1"/>
  <c r="AV83" i="6" s="1"/>
  <c r="AW83" i="6" s="1"/>
  <c r="AX83" i="6" s="1"/>
  <c r="AY83" i="6" s="1"/>
  <c r="AZ83" i="6" s="1"/>
  <c r="BA83" i="6" s="1"/>
  <c r="BB83" i="6" s="1"/>
  <c r="D84" i="6"/>
  <c r="E84" i="6" s="1"/>
  <c r="F84" i="6" s="1"/>
  <c r="G84" i="6" s="1"/>
  <c r="H84" i="6" s="1"/>
  <c r="I84" i="6" s="1"/>
  <c r="J84" i="6" s="1"/>
  <c r="K84" i="6" s="1"/>
  <c r="L84" i="6" s="1"/>
  <c r="M84" i="6" s="1"/>
  <c r="N84" i="6" s="1"/>
  <c r="O84" i="6" s="1"/>
  <c r="P84" i="6" s="1"/>
  <c r="Q84" i="6" s="1"/>
  <c r="R84" i="6" s="1"/>
  <c r="S84" i="6" s="1"/>
  <c r="T84" i="6" s="1"/>
  <c r="U84" i="6" s="1"/>
  <c r="V84" i="6" s="1"/>
  <c r="W84" i="6" s="1"/>
  <c r="X84" i="6" s="1"/>
  <c r="Y84" i="6" s="1"/>
  <c r="Z84" i="6" s="1"/>
  <c r="AA84" i="6" s="1"/>
  <c r="AB84" i="6" s="1"/>
  <c r="AC84" i="6" s="1"/>
  <c r="AD84" i="6" s="1"/>
  <c r="AE84" i="6" s="1"/>
  <c r="AF84" i="6" s="1"/>
  <c r="AG84" i="6" s="1"/>
  <c r="AH84" i="6" s="1"/>
  <c r="AI84" i="6" s="1"/>
  <c r="AJ84" i="6" s="1"/>
  <c r="AK84" i="6" s="1"/>
  <c r="AL84" i="6" s="1"/>
  <c r="AM84" i="6" s="1"/>
  <c r="AN84" i="6" s="1"/>
  <c r="AO84" i="6" s="1"/>
  <c r="AP84" i="6" s="1"/>
  <c r="AQ84" i="6" s="1"/>
  <c r="AR84" i="6" s="1"/>
  <c r="AS84" i="6" s="1"/>
  <c r="AT84" i="6" s="1"/>
  <c r="AU84" i="6" s="1"/>
  <c r="AV84" i="6" s="1"/>
  <c r="AW84" i="6" s="1"/>
  <c r="AX84" i="6" s="1"/>
  <c r="AY84" i="6" s="1"/>
  <c r="AZ84" i="6" s="1"/>
  <c r="BA84" i="6" s="1"/>
  <c r="BB84" i="6" s="1"/>
  <c r="D58" i="6"/>
  <c r="E58" i="6" s="1"/>
  <c r="F58" i="6" s="1"/>
  <c r="G58" i="6" s="1"/>
  <c r="H58" i="6" s="1"/>
  <c r="I58" i="6" s="1"/>
  <c r="J58" i="6" s="1"/>
  <c r="K58" i="6" s="1"/>
  <c r="L58" i="6" s="1"/>
  <c r="M58" i="6" s="1"/>
  <c r="N58" i="6" s="1"/>
  <c r="O58" i="6" s="1"/>
  <c r="P58" i="6" s="1"/>
  <c r="Q58" i="6" s="1"/>
  <c r="R58" i="6" s="1"/>
  <c r="S58" i="6" s="1"/>
  <c r="T58" i="6" s="1"/>
  <c r="U58" i="6" s="1"/>
  <c r="V58" i="6" s="1"/>
  <c r="W58" i="6" s="1"/>
  <c r="X58" i="6" s="1"/>
  <c r="Y58" i="6" s="1"/>
  <c r="Z58" i="6" s="1"/>
  <c r="AA58" i="6" s="1"/>
  <c r="AB58" i="6" s="1"/>
  <c r="AC58" i="6" s="1"/>
  <c r="AD58" i="6" s="1"/>
  <c r="AE58" i="6" s="1"/>
  <c r="AF58" i="6" s="1"/>
  <c r="AG58" i="6" s="1"/>
  <c r="AH58" i="6" s="1"/>
  <c r="AI58" i="6" s="1"/>
  <c r="AJ58" i="6" s="1"/>
  <c r="AK58" i="6" s="1"/>
  <c r="AL58" i="6" s="1"/>
  <c r="AM58" i="6" s="1"/>
  <c r="AN58" i="6" s="1"/>
  <c r="AO58" i="6" s="1"/>
  <c r="AP58" i="6" s="1"/>
  <c r="AQ58" i="6" s="1"/>
  <c r="AR58" i="6" s="1"/>
  <c r="AS58" i="6" s="1"/>
  <c r="AT58" i="6" s="1"/>
  <c r="AU58" i="6" s="1"/>
  <c r="AV58" i="6" s="1"/>
  <c r="AW58" i="6" s="1"/>
  <c r="AX58" i="6" s="1"/>
  <c r="AY58" i="6" s="1"/>
  <c r="AZ58" i="6" s="1"/>
  <c r="BA58" i="6" s="1"/>
  <c r="BB58" i="6" s="1"/>
  <c r="D86" i="6"/>
  <c r="E86" i="6" s="1"/>
  <c r="F86" i="6" s="1"/>
  <c r="G86" i="6" s="1"/>
  <c r="H86" i="6" s="1"/>
  <c r="I86" i="6" s="1"/>
  <c r="J86" i="6" s="1"/>
  <c r="K86" i="6" s="1"/>
  <c r="L86" i="6" s="1"/>
  <c r="M86" i="6" s="1"/>
  <c r="N86" i="6" s="1"/>
  <c r="O86" i="6" s="1"/>
  <c r="P86" i="6" s="1"/>
  <c r="Q86" i="6" s="1"/>
  <c r="R86" i="6" s="1"/>
  <c r="S86" i="6" s="1"/>
  <c r="T86" i="6" s="1"/>
  <c r="U86" i="6" s="1"/>
  <c r="V86" i="6" s="1"/>
  <c r="W86" i="6" s="1"/>
  <c r="X86" i="6" s="1"/>
  <c r="Y86" i="6" s="1"/>
  <c r="Z86" i="6" s="1"/>
  <c r="AA86" i="6" s="1"/>
  <c r="AB86" i="6" s="1"/>
  <c r="AC86" i="6" s="1"/>
  <c r="AD86" i="6" s="1"/>
  <c r="AE86" i="6" s="1"/>
  <c r="AF86" i="6" s="1"/>
  <c r="AG86" i="6" s="1"/>
  <c r="AH86" i="6" s="1"/>
  <c r="AI86" i="6" s="1"/>
  <c r="AJ86" i="6" s="1"/>
  <c r="AK86" i="6" s="1"/>
  <c r="AL86" i="6" s="1"/>
  <c r="AM86" i="6" s="1"/>
  <c r="AN86" i="6" s="1"/>
  <c r="AO86" i="6" s="1"/>
  <c r="AP86" i="6" s="1"/>
  <c r="AQ86" i="6" s="1"/>
  <c r="AR86" i="6" s="1"/>
  <c r="AS86" i="6" s="1"/>
  <c r="AT86" i="6" s="1"/>
  <c r="AU86" i="6" s="1"/>
  <c r="AV86" i="6" s="1"/>
  <c r="AW86" i="6" s="1"/>
  <c r="AX86" i="6" s="1"/>
  <c r="AY86" i="6" s="1"/>
  <c r="AZ86" i="6" s="1"/>
  <c r="BA86" i="6" s="1"/>
  <c r="BB86" i="6" s="1"/>
  <c r="D60" i="6"/>
  <c r="E60" i="6" s="1"/>
  <c r="F60" i="6" s="1"/>
  <c r="G60" i="6" s="1"/>
  <c r="H60" i="6" s="1"/>
  <c r="I60" i="6" s="1"/>
  <c r="J60" i="6" s="1"/>
  <c r="K60" i="6" s="1"/>
  <c r="L60" i="6" s="1"/>
  <c r="M60" i="6" s="1"/>
  <c r="N60" i="6" s="1"/>
  <c r="O60" i="6" s="1"/>
  <c r="P60" i="6" s="1"/>
  <c r="Q60" i="6" s="1"/>
  <c r="R60" i="6" s="1"/>
  <c r="S60" i="6" s="1"/>
  <c r="T60" i="6" s="1"/>
  <c r="U60" i="6" s="1"/>
  <c r="V60" i="6" s="1"/>
  <c r="W60" i="6" s="1"/>
  <c r="X60" i="6" s="1"/>
  <c r="Y60" i="6" s="1"/>
  <c r="Z60" i="6" s="1"/>
  <c r="AA60" i="6" s="1"/>
  <c r="AB60" i="6" s="1"/>
  <c r="AC60" i="6" s="1"/>
  <c r="AD60" i="6" s="1"/>
  <c r="AE60" i="6" s="1"/>
  <c r="AF60" i="6" s="1"/>
  <c r="AG60" i="6" s="1"/>
  <c r="AH60" i="6" s="1"/>
  <c r="AI60" i="6" s="1"/>
  <c r="AJ60" i="6" s="1"/>
  <c r="AK60" i="6" s="1"/>
  <c r="AL60" i="6" s="1"/>
  <c r="AM60" i="6" s="1"/>
  <c r="AN60" i="6" s="1"/>
  <c r="AO60" i="6" s="1"/>
  <c r="AP60" i="6" s="1"/>
  <c r="AQ60" i="6" s="1"/>
  <c r="AR60" i="6" s="1"/>
  <c r="AS60" i="6" s="1"/>
  <c r="AT60" i="6" s="1"/>
  <c r="AU60" i="6" s="1"/>
  <c r="AV60" i="6" s="1"/>
  <c r="AW60" i="6" s="1"/>
  <c r="AX60" i="6" s="1"/>
  <c r="AY60" i="6" s="1"/>
  <c r="AZ60" i="6" s="1"/>
  <c r="BA60" i="6" s="1"/>
  <c r="BB60" i="6" s="1"/>
  <c r="D81" i="6"/>
  <c r="E81" i="6" s="1"/>
  <c r="F81" i="6" s="1"/>
  <c r="G81" i="6" s="1"/>
  <c r="H81" i="6" s="1"/>
  <c r="I81" i="6" s="1"/>
  <c r="J81" i="6" s="1"/>
  <c r="K81" i="6" s="1"/>
  <c r="L81" i="6" s="1"/>
  <c r="M81" i="6" s="1"/>
  <c r="N81" i="6" s="1"/>
  <c r="O81" i="6" s="1"/>
  <c r="P81" i="6" s="1"/>
  <c r="Q81" i="6" s="1"/>
  <c r="R81" i="6" s="1"/>
  <c r="S81" i="6" s="1"/>
  <c r="T81" i="6" s="1"/>
  <c r="U81" i="6" s="1"/>
  <c r="V81" i="6" s="1"/>
  <c r="W81" i="6" s="1"/>
  <c r="X81" i="6" s="1"/>
  <c r="Y81" i="6" s="1"/>
  <c r="Z81" i="6" s="1"/>
  <c r="AA81" i="6" s="1"/>
  <c r="AB81" i="6" s="1"/>
  <c r="AC81" i="6" s="1"/>
  <c r="AD81" i="6" s="1"/>
  <c r="AE81" i="6" s="1"/>
  <c r="AF81" i="6" s="1"/>
  <c r="AG81" i="6" s="1"/>
  <c r="AH81" i="6" s="1"/>
  <c r="AI81" i="6" s="1"/>
  <c r="AJ81" i="6" s="1"/>
  <c r="AK81" i="6" s="1"/>
  <c r="AL81" i="6" s="1"/>
  <c r="AM81" i="6" s="1"/>
  <c r="AN81" i="6" s="1"/>
  <c r="AO81" i="6" s="1"/>
  <c r="AP81" i="6" s="1"/>
  <c r="AQ81" i="6" s="1"/>
  <c r="AR81" i="6" s="1"/>
  <c r="AS81" i="6" s="1"/>
  <c r="AT81" i="6" s="1"/>
  <c r="AU81" i="6" s="1"/>
  <c r="AV81" i="6" s="1"/>
  <c r="AW81" i="6" s="1"/>
  <c r="AX81" i="6" s="1"/>
  <c r="AY81" i="6" s="1"/>
  <c r="AZ81" i="6" s="1"/>
  <c r="BA81" i="6" s="1"/>
  <c r="BB81" i="6" s="1"/>
  <c r="D82" i="6"/>
  <c r="E82" i="6" s="1"/>
  <c r="F82" i="6" s="1"/>
  <c r="G82" i="6" s="1"/>
  <c r="H82" i="6" s="1"/>
  <c r="I82" i="6" s="1"/>
  <c r="J82" i="6" s="1"/>
  <c r="K82" i="6" s="1"/>
  <c r="L82" i="6" s="1"/>
  <c r="M82" i="6" s="1"/>
  <c r="N82" i="6" s="1"/>
  <c r="O82" i="6" s="1"/>
  <c r="P82" i="6" s="1"/>
  <c r="Q82" i="6" s="1"/>
  <c r="R82" i="6" s="1"/>
  <c r="S82" i="6" s="1"/>
  <c r="T82" i="6" s="1"/>
  <c r="U82" i="6" s="1"/>
  <c r="V82" i="6" s="1"/>
  <c r="W82" i="6" s="1"/>
  <c r="X82" i="6" s="1"/>
  <c r="Y82" i="6" s="1"/>
  <c r="Z82" i="6" s="1"/>
  <c r="AA82" i="6" s="1"/>
  <c r="AB82" i="6" s="1"/>
  <c r="AC82" i="6" s="1"/>
  <c r="AD82" i="6" s="1"/>
  <c r="AE82" i="6" s="1"/>
  <c r="AF82" i="6" s="1"/>
  <c r="AG82" i="6" s="1"/>
  <c r="AH82" i="6" s="1"/>
  <c r="AI82" i="6" s="1"/>
  <c r="AJ82" i="6" s="1"/>
  <c r="AK82" i="6" s="1"/>
  <c r="AL82" i="6" s="1"/>
  <c r="AM82" i="6" s="1"/>
  <c r="AN82" i="6" s="1"/>
  <c r="AO82" i="6" s="1"/>
  <c r="AP82" i="6" s="1"/>
  <c r="AQ82" i="6" s="1"/>
  <c r="AR82" i="6" s="1"/>
  <c r="AS82" i="6" s="1"/>
  <c r="AT82" i="6" s="1"/>
  <c r="AU82" i="6" s="1"/>
  <c r="AV82" i="6" s="1"/>
  <c r="AW82" i="6" s="1"/>
  <c r="AX82" i="6" s="1"/>
  <c r="AY82" i="6" s="1"/>
  <c r="AZ82" i="6" s="1"/>
  <c r="BA82" i="6" s="1"/>
  <c r="BB82" i="6" s="1"/>
  <c r="D88" i="6"/>
  <c r="E88" i="6" s="1"/>
  <c r="F88" i="6" s="1"/>
  <c r="G88" i="6" s="1"/>
  <c r="H88" i="6" s="1"/>
  <c r="I88" i="6" s="1"/>
  <c r="J88" i="6" s="1"/>
  <c r="K88" i="6" s="1"/>
  <c r="L88" i="6" s="1"/>
  <c r="M88" i="6" s="1"/>
  <c r="N88" i="6" s="1"/>
  <c r="O88" i="6" s="1"/>
  <c r="P88" i="6" s="1"/>
  <c r="Q88" i="6" s="1"/>
  <c r="R88" i="6" s="1"/>
  <c r="S88" i="6" s="1"/>
  <c r="T88" i="6" s="1"/>
  <c r="U88" i="6" s="1"/>
  <c r="V88" i="6" s="1"/>
  <c r="W88" i="6" s="1"/>
  <c r="X88" i="6" s="1"/>
  <c r="Y88" i="6" s="1"/>
  <c r="Z88" i="6" s="1"/>
  <c r="AA88" i="6" s="1"/>
  <c r="AB88" i="6" s="1"/>
  <c r="AC88" i="6" s="1"/>
  <c r="AD88" i="6" s="1"/>
  <c r="AE88" i="6" s="1"/>
  <c r="AF88" i="6" s="1"/>
  <c r="AG88" i="6" s="1"/>
  <c r="AH88" i="6" s="1"/>
  <c r="AI88" i="6" s="1"/>
  <c r="AJ88" i="6" s="1"/>
  <c r="AK88" i="6" s="1"/>
  <c r="AL88" i="6" s="1"/>
  <c r="AM88" i="6" s="1"/>
  <c r="AN88" i="6" s="1"/>
  <c r="AO88" i="6" s="1"/>
  <c r="AP88" i="6" s="1"/>
  <c r="AQ88" i="6" s="1"/>
  <c r="AR88" i="6" s="1"/>
  <c r="AS88" i="6" s="1"/>
  <c r="AT88" i="6" s="1"/>
  <c r="AU88" i="6" s="1"/>
  <c r="AV88" i="6" s="1"/>
  <c r="AW88" i="6" s="1"/>
  <c r="AX88" i="6" s="1"/>
  <c r="AY88" i="6" s="1"/>
  <c r="AZ88" i="6" s="1"/>
  <c r="BA88" i="6" s="1"/>
  <c r="BB88" i="6" s="1"/>
  <c r="D63" i="6"/>
  <c r="E63" i="6" s="1"/>
  <c r="F63" i="6" s="1"/>
  <c r="G63" i="6" s="1"/>
  <c r="H63" i="6" s="1"/>
  <c r="I63" i="6" s="1"/>
  <c r="J63" i="6" s="1"/>
  <c r="K63" i="6" s="1"/>
  <c r="L63" i="6" s="1"/>
  <c r="M63" i="6" s="1"/>
  <c r="N63" i="6" s="1"/>
  <c r="O63" i="6" s="1"/>
  <c r="P63" i="6" s="1"/>
  <c r="Q63" i="6" s="1"/>
  <c r="R63" i="6" s="1"/>
  <c r="S63" i="6" s="1"/>
  <c r="T63" i="6" s="1"/>
  <c r="U63" i="6" s="1"/>
  <c r="V63" i="6" s="1"/>
  <c r="W63" i="6" s="1"/>
  <c r="X63" i="6" s="1"/>
  <c r="Y63" i="6" s="1"/>
  <c r="Z63" i="6" s="1"/>
  <c r="AA63" i="6" s="1"/>
  <c r="AB63" i="6" s="1"/>
  <c r="AC63" i="6" s="1"/>
  <c r="AD63" i="6" s="1"/>
  <c r="AE63" i="6" s="1"/>
  <c r="AF63" i="6" s="1"/>
  <c r="AG63" i="6" s="1"/>
  <c r="AH63" i="6" s="1"/>
  <c r="AI63" i="6" s="1"/>
  <c r="AJ63" i="6" s="1"/>
  <c r="AK63" i="6" s="1"/>
  <c r="AL63" i="6" s="1"/>
  <c r="AM63" i="6" s="1"/>
  <c r="AN63" i="6" s="1"/>
  <c r="AO63" i="6" s="1"/>
  <c r="AP63" i="6" s="1"/>
  <c r="AQ63" i="6" s="1"/>
  <c r="AR63" i="6" s="1"/>
  <c r="AS63" i="6" s="1"/>
  <c r="AT63" i="6" s="1"/>
  <c r="AU63" i="6" s="1"/>
  <c r="AV63" i="6" s="1"/>
  <c r="AW63" i="6" s="1"/>
  <c r="AX63" i="6" s="1"/>
  <c r="AY63" i="6" s="1"/>
  <c r="AZ63" i="6" s="1"/>
  <c r="BA63" i="6" s="1"/>
  <c r="BB63" i="6" s="1"/>
  <c r="D66" i="6"/>
  <c r="E66" i="6" s="1"/>
  <c r="F66" i="6" s="1"/>
  <c r="G66" i="6" s="1"/>
  <c r="H66" i="6" s="1"/>
  <c r="I66" i="6" s="1"/>
  <c r="J66" i="6" s="1"/>
  <c r="K66" i="6" s="1"/>
  <c r="L66" i="6" s="1"/>
  <c r="M66" i="6" s="1"/>
  <c r="N66" i="6" s="1"/>
  <c r="O66" i="6" s="1"/>
  <c r="P66" i="6" s="1"/>
  <c r="Q66" i="6" s="1"/>
  <c r="R66" i="6" s="1"/>
  <c r="S66" i="6" s="1"/>
  <c r="T66" i="6" s="1"/>
  <c r="U66" i="6" s="1"/>
  <c r="V66" i="6" s="1"/>
  <c r="W66" i="6" s="1"/>
  <c r="X66" i="6" s="1"/>
  <c r="Y66" i="6" s="1"/>
  <c r="Z66" i="6" s="1"/>
  <c r="AA66" i="6" s="1"/>
  <c r="AB66" i="6" s="1"/>
  <c r="AC66" i="6" s="1"/>
  <c r="AD66" i="6" s="1"/>
  <c r="AE66" i="6" s="1"/>
  <c r="AF66" i="6" s="1"/>
  <c r="AG66" i="6" s="1"/>
  <c r="AH66" i="6" s="1"/>
  <c r="AI66" i="6" s="1"/>
  <c r="AJ66" i="6" s="1"/>
  <c r="AK66" i="6" s="1"/>
  <c r="AL66" i="6" s="1"/>
  <c r="AM66" i="6" s="1"/>
  <c r="AN66" i="6" s="1"/>
  <c r="AO66" i="6" s="1"/>
  <c r="AP66" i="6" s="1"/>
  <c r="AQ66" i="6" s="1"/>
  <c r="AR66" i="6" s="1"/>
  <c r="AS66" i="6" s="1"/>
  <c r="AT66" i="6" s="1"/>
  <c r="AU66" i="6" s="1"/>
  <c r="AV66" i="6" s="1"/>
  <c r="AW66" i="6" s="1"/>
  <c r="AX66" i="6" s="1"/>
  <c r="AY66" i="6" s="1"/>
  <c r="AZ66" i="6" s="1"/>
  <c r="BA66" i="6" s="1"/>
  <c r="BB66" i="6" s="1"/>
  <c r="D65" i="6"/>
  <c r="E65" i="6" s="1"/>
  <c r="F65" i="6" s="1"/>
  <c r="G65" i="6" s="1"/>
  <c r="H65" i="6" s="1"/>
  <c r="I65" i="6" s="1"/>
  <c r="J65" i="6" s="1"/>
  <c r="K65" i="6" s="1"/>
  <c r="L65" i="6" s="1"/>
  <c r="M65" i="6" s="1"/>
  <c r="N65" i="6" s="1"/>
  <c r="O65" i="6" s="1"/>
  <c r="P65" i="6" s="1"/>
  <c r="Q65" i="6" s="1"/>
  <c r="R65" i="6" s="1"/>
  <c r="S65" i="6" s="1"/>
  <c r="T65" i="6" s="1"/>
  <c r="U65" i="6" s="1"/>
  <c r="V65" i="6" s="1"/>
  <c r="W65" i="6" s="1"/>
  <c r="X65" i="6" s="1"/>
  <c r="Y65" i="6" s="1"/>
  <c r="Z65" i="6" s="1"/>
  <c r="AA65" i="6" s="1"/>
  <c r="AB65" i="6" s="1"/>
  <c r="AC65" i="6" s="1"/>
  <c r="AD65" i="6" s="1"/>
  <c r="AE65" i="6" s="1"/>
  <c r="AF65" i="6" s="1"/>
  <c r="AG65" i="6" s="1"/>
  <c r="AH65" i="6" s="1"/>
  <c r="AI65" i="6" s="1"/>
  <c r="AJ65" i="6" s="1"/>
  <c r="AK65" i="6" s="1"/>
  <c r="AL65" i="6" s="1"/>
  <c r="AM65" i="6" s="1"/>
  <c r="AN65" i="6" s="1"/>
  <c r="AO65" i="6" s="1"/>
  <c r="AP65" i="6" s="1"/>
  <c r="AQ65" i="6" s="1"/>
  <c r="AR65" i="6" s="1"/>
  <c r="AS65" i="6" s="1"/>
  <c r="AT65" i="6" s="1"/>
  <c r="AU65" i="6" s="1"/>
  <c r="AV65" i="6" s="1"/>
  <c r="AW65" i="6" s="1"/>
  <c r="AX65" i="6" s="1"/>
  <c r="AY65" i="6" s="1"/>
  <c r="AZ65" i="6" s="1"/>
  <c r="BA65" i="6" s="1"/>
  <c r="BB65" i="6" s="1"/>
  <c r="D64" i="6"/>
  <c r="E64" i="6" s="1"/>
  <c r="F64" i="6" s="1"/>
  <c r="G64" i="6" s="1"/>
  <c r="H64" i="6" s="1"/>
  <c r="I64" i="6" s="1"/>
  <c r="J64" i="6" s="1"/>
  <c r="K64" i="6" s="1"/>
  <c r="L64" i="6" s="1"/>
  <c r="M64" i="6" s="1"/>
  <c r="N64" i="6" s="1"/>
  <c r="O64" i="6" s="1"/>
  <c r="P64" i="6" s="1"/>
  <c r="Q64" i="6" s="1"/>
  <c r="R64" i="6" s="1"/>
  <c r="S64" i="6" s="1"/>
  <c r="T64" i="6" s="1"/>
  <c r="U64" i="6" s="1"/>
  <c r="V64" i="6" s="1"/>
  <c r="W64" i="6" s="1"/>
  <c r="X64" i="6" s="1"/>
  <c r="Y64" i="6" s="1"/>
  <c r="Z64" i="6" s="1"/>
  <c r="AA64" i="6" s="1"/>
  <c r="AB64" i="6" s="1"/>
  <c r="AC64" i="6" s="1"/>
  <c r="AD64" i="6" s="1"/>
  <c r="AE64" i="6" s="1"/>
  <c r="AF64" i="6" s="1"/>
  <c r="AG64" i="6" s="1"/>
  <c r="AH64" i="6" s="1"/>
  <c r="AI64" i="6" s="1"/>
  <c r="AJ64" i="6" s="1"/>
  <c r="AK64" i="6" s="1"/>
  <c r="AL64" i="6" s="1"/>
  <c r="AM64" i="6" s="1"/>
  <c r="AN64" i="6" s="1"/>
  <c r="AO64" i="6" s="1"/>
  <c r="AP64" i="6" s="1"/>
  <c r="AQ64" i="6" s="1"/>
  <c r="AR64" i="6" s="1"/>
  <c r="AS64" i="6" s="1"/>
  <c r="AT64" i="6" s="1"/>
  <c r="AU64" i="6" s="1"/>
  <c r="AV64" i="6" s="1"/>
  <c r="AW64" i="6" s="1"/>
  <c r="AX64" i="6" s="1"/>
  <c r="AY64" i="6" s="1"/>
  <c r="AZ64" i="6" s="1"/>
  <c r="BA64" i="6" s="1"/>
  <c r="BB64" i="6" s="1"/>
  <c r="D89" i="6"/>
  <c r="E89" i="6" s="1"/>
  <c r="F89" i="6" s="1"/>
  <c r="G89" i="6" s="1"/>
  <c r="H89" i="6" s="1"/>
  <c r="I89" i="6" s="1"/>
  <c r="J89" i="6" s="1"/>
  <c r="K89" i="6" s="1"/>
  <c r="L89" i="6" s="1"/>
  <c r="M89" i="6" s="1"/>
  <c r="N89" i="6" s="1"/>
  <c r="O89" i="6" s="1"/>
  <c r="P89" i="6" s="1"/>
  <c r="Q89" i="6" s="1"/>
  <c r="R89" i="6" s="1"/>
  <c r="S89" i="6" s="1"/>
  <c r="T89" i="6" s="1"/>
  <c r="U89" i="6" s="1"/>
  <c r="V89" i="6" s="1"/>
  <c r="W89" i="6" s="1"/>
  <c r="X89" i="6" s="1"/>
  <c r="Y89" i="6" s="1"/>
  <c r="Z89" i="6" s="1"/>
  <c r="AA89" i="6" s="1"/>
  <c r="AB89" i="6" s="1"/>
  <c r="AC89" i="6" s="1"/>
  <c r="AD89" i="6" s="1"/>
  <c r="AE89" i="6" s="1"/>
  <c r="AF89" i="6" s="1"/>
  <c r="AG89" i="6" s="1"/>
  <c r="AH89" i="6" s="1"/>
  <c r="AI89" i="6" s="1"/>
  <c r="AJ89" i="6" s="1"/>
  <c r="AK89" i="6" s="1"/>
  <c r="AL89" i="6" s="1"/>
  <c r="AM89" i="6" s="1"/>
  <c r="AN89" i="6" s="1"/>
  <c r="AO89" i="6" s="1"/>
  <c r="AP89" i="6" s="1"/>
  <c r="AQ89" i="6" s="1"/>
  <c r="AR89" i="6" s="1"/>
  <c r="AS89" i="6" s="1"/>
  <c r="AT89" i="6" s="1"/>
  <c r="AU89" i="6" s="1"/>
  <c r="AV89" i="6" s="1"/>
  <c r="AW89" i="6" s="1"/>
  <c r="AX89" i="6" s="1"/>
  <c r="AY89" i="6" s="1"/>
  <c r="AZ89" i="6" s="1"/>
  <c r="BA89" i="6" s="1"/>
  <c r="BB89" i="6" s="1"/>
  <c r="D85" i="6"/>
  <c r="E85" i="6" s="1"/>
  <c r="F85" i="6" s="1"/>
  <c r="G85" i="6" s="1"/>
  <c r="H85" i="6" s="1"/>
  <c r="I85" i="6" s="1"/>
  <c r="J85" i="6" s="1"/>
  <c r="K85" i="6" s="1"/>
  <c r="L85" i="6" s="1"/>
  <c r="M85" i="6" s="1"/>
  <c r="N85" i="6" s="1"/>
  <c r="O85" i="6" s="1"/>
  <c r="P85" i="6" s="1"/>
  <c r="Q85" i="6" s="1"/>
  <c r="R85" i="6" s="1"/>
  <c r="S85" i="6" s="1"/>
  <c r="T85" i="6" s="1"/>
  <c r="U85" i="6" s="1"/>
  <c r="V85" i="6" s="1"/>
  <c r="W85" i="6" s="1"/>
  <c r="X85" i="6" s="1"/>
  <c r="Y85" i="6" s="1"/>
  <c r="Z85" i="6" s="1"/>
  <c r="AA85" i="6" s="1"/>
  <c r="AB85" i="6" s="1"/>
  <c r="AC85" i="6" s="1"/>
  <c r="AD85" i="6" s="1"/>
  <c r="AE85" i="6" s="1"/>
  <c r="AF85" i="6" s="1"/>
  <c r="AG85" i="6" s="1"/>
  <c r="AH85" i="6" s="1"/>
  <c r="AI85" i="6" s="1"/>
  <c r="AJ85" i="6" s="1"/>
  <c r="AK85" i="6" s="1"/>
  <c r="AL85" i="6" s="1"/>
  <c r="AM85" i="6" s="1"/>
  <c r="AN85" i="6" s="1"/>
  <c r="AO85" i="6" s="1"/>
  <c r="AP85" i="6" s="1"/>
  <c r="AQ85" i="6" s="1"/>
  <c r="AR85" i="6" s="1"/>
  <c r="AS85" i="6" s="1"/>
  <c r="AT85" i="6" s="1"/>
  <c r="AU85" i="6" s="1"/>
  <c r="AV85" i="6" s="1"/>
  <c r="AW85" i="6" s="1"/>
  <c r="AX85" i="6" s="1"/>
  <c r="AY85" i="6" s="1"/>
  <c r="AZ85" i="6" s="1"/>
  <c r="BA85" i="6" s="1"/>
  <c r="BB85" i="6" s="1"/>
  <c r="J5" i="24"/>
  <c r="X59" i="6" l="1"/>
  <c r="Y59" i="6" s="1"/>
  <c r="Z59" i="6" s="1"/>
  <c r="AA59" i="6" s="1"/>
  <c r="AB59" i="6" s="1"/>
  <c r="AC59" i="6" s="1"/>
  <c r="AD59" i="6" s="1"/>
  <c r="AE59" i="6" s="1"/>
  <c r="AF59" i="6" s="1"/>
  <c r="AG59" i="6" s="1"/>
  <c r="AH59" i="6" s="1"/>
  <c r="AI59" i="6" s="1"/>
  <c r="AJ59" i="6" s="1"/>
  <c r="AK59" i="6" s="1"/>
  <c r="AL59" i="6" s="1"/>
  <c r="AM59" i="6" s="1"/>
  <c r="AN59" i="6" s="1"/>
  <c r="AO59" i="6" s="1"/>
  <c r="AP59" i="6" s="1"/>
  <c r="AQ59" i="6" s="1"/>
  <c r="AR59" i="6" s="1"/>
  <c r="AS59" i="6" s="1"/>
  <c r="AT59" i="6" s="1"/>
  <c r="AU59" i="6" s="1"/>
  <c r="AV59" i="6" s="1"/>
  <c r="AW59" i="6" s="1"/>
  <c r="AX59" i="6" s="1"/>
  <c r="AY59" i="6" s="1"/>
  <c r="AZ59" i="6" s="1"/>
  <c r="BA59" i="6" s="1"/>
  <c r="BB59" i="6" s="1"/>
  <c r="N7" i="24"/>
  <c r="M7" i="24"/>
  <c r="L7" i="24"/>
  <c r="N6" i="24"/>
  <c r="M6" i="24"/>
  <c r="L6" i="24"/>
  <c r="J7" i="24"/>
  <c r="I7" i="24"/>
  <c r="H7" i="24"/>
  <c r="G7" i="24"/>
  <c r="F7" i="24"/>
  <c r="E7" i="24"/>
  <c r="D7" i="24"/>
  <c r="C7" i="24"/>
  <c r="K6" i="24"/>
  <c r="J6" i="24"/>
  <c r="I6" i="24"/>
  <c r="H6" i="24"/>
  <c r="G6" i="24"/>
  <c r="F6" i="24"/>
  <c r="E6" i="24"/>
  <c r="D6" i="24"/>
  <c r="C6" i="24"/>
  <c r="C2" i="24"/>
  <c r="I50" i="26" l="1"/>
  <c r="I39" i="29" l="1"/>
  <c r="I40" i="29" s="1"/>
  <c r="I41" i="29" s="1"/>
  <c r="I51" i="26"/>
  <c r="N5" i="24" l="1"/>
  <c r="M5" i="24"/>
  <c r="L5" i="24"/>
  <c r="K5" i="24"/>
  <c r="I5" i="24"/>
  <c r="H5" i="24"/>
  <c r="G5" i="24"/>
  <c r="F5" i="24"/>
  <c r="E5" i="24"/>
  <c r="D5" i="24"/>
  <c r="C5" i="24"/>
  <c r="N4" i="24"/>
  <c r="M4" i="24"/>
  <c r="L4" i="24"/>
  <c r="K4" i="24"/>
  <c r="J4" i="24"/>
  <c r="I4" i="24"/>
  <c r="H4" i="24"/>
  <c r="G4" i="24"/>
  <c r="F4" i="24"/>
  <c r="E4" i="24"/>
  <c r="D4" i="24"/>
  <c r="C4" i="24"/>
  <c r="K7" i="24"/>
  <c r="O4" i="24" l="1"/>
  <c r="A51" i="17" l="1"/>
  <c r="D3" i="24" l="1"/>
  <c r="E3" i="24"/>
  <c r="F3" i="24"/>
  <c r="G3" i="24"/>
  <c r="H3" i="24"/>
  <c r="I3" i="24"/>
  <c r="J3" i="24"/>
  <c r="K3" i="24"/>
  <c r="L3" i="24"/>
  <c r="M3" i="24"/>
  <c r="N3" i="24"/>
  <c r="C3" i="24"/>
  <c r="D2" i="24"/>
  <c r="E2" i="24"/>
  <c r="F2" i="24"/>
  <c r="G2" i="24"/>
  <c r="H2" i="24"/>
  <c r="I2" i="24"/>
  <c r="J2" i="24"/>
  <c r="K2" i="24"/>
  <c r="L2" i="24"/>
  <c r="M2" i="24"/>
  <c r="N2" i="24"/>
  <c r="O39" i="29" l="1"/>
  <c r="O40" i="29" s="1"/>
  <c r="O50" i="26"/>
  <c r="O51" i="26" s="1"/>
  <c r="N39" i="29"/>
  <c r="N40" i="29" s="1"/>
  <c r="N50" i="26"/>
  <c r="W39" i="29" l="1"/>
  <c r="W40" i="29" s="1"/>
  <c r="N51" i="26"/>
  <c r="P39" i="29"/>
  <c r="P40" i="29" s="1"/>
  <c r="P50" i="26"/>
  <c r="P51" i="26" s="1"/>
  <c r="O47" i="20"/>
  <c r="D62" i="20"/>
  <c r="E62" i="20"/>
  <c r="F62" i="20"/>
  <c r="G62" i="20"/>
  <c r="H62" i="20"/>
  <c r="I62" i="20"/>
  <c r="J62" i="20"/>
  <c r="K62" i="20"/>
  <c r="L62" i="20"/>
  <c r="M62" i="20"/>
  <c r="N62" i="20"/>
  <c r="C62" i="20"/>
  <c r="D40" i="20"/>
  <c r="D49" i="20" s="1"/>
  <c r="E40" i="20"/>
  <c r="E49" i="20" s="1"/>
  <c r="F40" i="20"/>
  <c r="F49" i="20" s="1"/>
  <c r="G40" i="20"/>
  <c r="G49" i="20" s="1"/>
  <c r="H40" i="20"/>
  <c r="H49" i="20" s="1"/>
  <c r="I40" i="20"/>
  <c r="I49" i="20" s="1"/>
  <c r="J40" i="20"/>
  <c r="J49" i="20" s="1"/>
  <c r="K40" i="20"/>
  <c r="K49" i="20" s="1"/>
  <c r="L40" i="20"/>
  <c r="L49" i="20" s="1"/>
  <c r="M40" i="20"/>
  <c r="M49" i="20" s="1"/>
  <c r="N40" i="20"/>
  <c r="N49" i="20" s="1"/>
  <c r="C40" i="20"/>
  <c r="C49" i="20" s="1"/>
  <c r="C35" i="20"/>
  <c r="C41" i="20"/>
  <c r="C44" i="20"/>
  <c r="C58" i="20" l="1"/>
  <c r="C55" i="20"/>
  <c r="C8" i="7"/>
  <c r="O77" i="20"/>
  <c r="P77" i="20" s="1"/>
  <c r="O38" i="20"/>
  <c r="O60" i="20"/>
  <c r="C60" i="20" s="1"/>
  <c r="D60" i="20" s="1"/>
  <c r="E60" i="20" s="1"/>
  <c r="F60" i="20" s="1"/>
  <c r="G60" i="20" s="1"/>
  <c r="H60" i="20" s="1"/>
  <c r="I60" i="20" s="1"/>
  <c r="J60" i="20" s="1"/>
  <c r="K60" i="20" s="1"/>
  <c r="L60" i="20" s="1"/>
  <c r="M60" i="20" s="1"/>
  <c r="N60" i="20" s="1"/>
  <c r="E24" i="20"/>
  <c r="F24" i="20" s="1"/>
  <c r="G24" i="20" s="1"/>
  <c r="H24" i="20" s="1"/>
  <c r="I24" i="20" s="1"/>
  <c r="J24" i="20" s="1"/>
  <c r="K24" i="20" s="1"/>
  <c r="L24" i="20" s="1"/>
  <c r="M24" i="20" s="1"/>
  <c r="N24" i="20" s="1"/>
  <c r="AL2" i="21"/>
  <c r="AL3" i="21"/>
  <c r="AL4" i="21"/>
  <c r="AL5" i="21"/>
  <c r="AL6" i="21"/>
  <c r="AL7" i="21"/>
  <c r="AL8" i="21"/>
  <c r="AL9" i="21"/>
  <c r="AL10" i="21"/>
  <c r="AL11" i="21"/>
  <c r="AL12" i="21"/>
  <c r="J9" i="21"/>
  <c r="P16" i="20"/>
  <c r="D10" i="20"/>
  <c r="D45" i="20" s="1"/>
  <c r="I8" i="21"/>
  <c r="E10" i="20"/>
  <c r="F10" i="20"/>
  <c r="F12" i="20"/>
  <c r="D35" i="20"/>
  <c r="E35" i="20" s="1"/>
  <c r="F35" i="20" s="1"/>
  <c r="G35" i="20" s="1"/>
  <c r="H35" i="20" s="1"/>
  <c r="I35" i="20" s="1"/>
  <c r="J35" i="20" s="1"/>
  <c r="K35" i="20" s="1"/>
  <c r="L35" i="20" s="1"/>
  <c r="M35" i="20" s="1"/>
  <c r="N35" i="20" s="1"/>
  <c r="C32" i="20"/>
  <c r="D32" i="20" s="1"/>
  <c r="E32" i="20" s="1"/>
  <c r="F32" i="20" s="1"/>
  <c r="G32" i="20" s="1"/>
  <c r="H32" i="20" s="1"/>
  <c r="I32" i="20" s="1"/>
  <c r="J32" i="20" s="1"/>
  <c r="K32" i="20" s="1"/>
  <c r="L32" i="20" s="1"/>
  <c r="M32" i="20" s="1"/>
  <c r="N32" i="20" s="1"/>
  <c r="C29" i="20"/>
  <c r="D29" i="20" s="1"/>
  <c r="E29" i="20" s="1"/>
  <c r="F29" i="20" s="1"/>
  <c r="G29" i="20" s="1"/>
  <c r="H29" i="20" s="1"/>
  <c r="I29" i="20" s="1"/>
  <c r="J29" i="20" s="1"/>
  <c r="K29" i="20" s="1"/>
  <c r="L29" i="20" s="1"/>
  <c r="M29" i="20" s="1"/>
  <c r="N29" i="20" s="1"/>
  <c r="C47" i="20"/>
  <c r="D47" i="20" s="1"/>
  <c r="E47" i="20" s="1"/>
  <c r="F47" i="20" s="1"/>
  <c r="G47" i="20" s="1"/>
  <c r="H47" i="20" s="1"/>
  <c r="I47" i="20" s="1"/>
  <c r="J47" i="20" s="1"/>
  <c r="K47" i="20" s="1"/>
  <c r="L47" i="20" s="1"/>
  <c r="M47" i="20" s="1"/>
  <c r="N47" i="20" s="1"/>
  <c r="D104" i="17"/>
  <c r="E103" i="17" s="1"/>
  <c r="D103" i="17"/>
  <c r="E102" i="17" s="1"/>
  <c r="O67" i="20"/>
  <c r="C54" i="20"/>
  <c r="D54" i="20" s="1"/>
  <c r="E54" i="20" s="1"/>
  <c r="F54" i="20" s="1"/>
  <c r="G54" i="20" s="1"/>
  <c r="H54" i="20" s="1"/>
  <c r="I54" i="20" s="1"/>
  <c r="J54" i="20" s="1"/>
  <c r="K54" i="20" s="1"/>
  <c r="L54" i="20" s="1"/>
  <c r="M54" i="20" s="1"/>
  <c r="N54" i="20" s="1"/>
  <c r="O64" i="20"/>
  <c r="E64" i="20" s="1"/>
  <c r="C57" i="20"/>
  <c r="D57" i="20" s="1"/>
  <c r="E57" i="20" s="1"/>
  <c r="F57" i="20" s="1"/>
  <c r="G57" i="20" s="1"/>
  <c r="H57" i="20" s="1"/>
  <c r="I57" i="20" s="1"/>
  <c r="J57" i="20" s="1"/>
  <c r="K57" i="20" s="1"/>
  <c r="L57" i="20" s="1"/>
  <c r="M57" i="20" s="1"/>
  <c r="N57" i="20" s="1"/>
  <c r="C51" i="20"/>
  <c r="D51" i="20" s="1"/>
  <c r="E51" i="20" s="1"/>
  <c r="F51" i="20" s="1"/>
  <c r="G51" i="20" s="1"/>
  <c r="H51" i="20" s="1"/>
  <c r="I51" i="20" s="1"/>
  <c r="J51" i="20" s="1"/>
  <c r="K51" i="20" s="1"/>
  <c r="L51" i="20" s="1"/>
  <c r="M51" i="20" s="1"/>
  <c r="N51" i="20" s="1"/>
  <c r="G10" i="20"/>
  <c r="M9" i="21"/>
  <c r="H10" i="20"/>
  <c r="I12" i="20"/>
  <c r="I10" i="20"/>
  <c r="O9" i="21"/>
  <c r="J10" i="20"/>
  <c r="K12" i="20"/>
  <c r="K10" i="20"/>
  <c r="L12" i="20"/>
  <c r="L10" i="20"/>
  <c r="M10" i="20"/>
  <c r="N12" i="20"/>
  <c r="N10" i="20"/>
  <c r="O66" i="20"/>
  <c r="O68" i="20" s="1"/>
  <c r="D73" i="20"/>
  <c r="E73" i="20"/>
  <c r="F73" i="20"/>
  <c r="G73" i="20"/>
  <c r="H73" i="20"/>
  <c r="I73" i="20"/>
  <c r="J73" i="20"/>
  <c r="K73" i="20"/>
  <c r="L73" i="20"/>
  <c r="M73" i="20"/>
  <c r="N73" i="20"/>
  <c r="C73" i="20"/>
  <c r="C76" i="20" s="1"/>
  <c r="C78" i="20"/>
  <c r="J50" i="26"/>
  <c r="L50" i="26"/>
  <c r="L39" i="29" s="1"/>
  <c r="L40" i="29" s="1"/>
  <c r="D44" i="20"/>
  <c r="E44" i="20" s="1"/>
  <c r="F44" i="20" s="1"/>
  <c r="G44" i="20" s="1"/>
  <c r="H44" i="20" s="1"/>
  <c r="I44" i="20" s="1"/>
  <c r="J44" i="20" s="1"/>
  <c r="K44" i="20" s="1"/>
  <c r="L44" i="20" s="1"/>
  <c r="M44" i="20" s="1"/>
  <c r="N44" i="20" s="1"/>
  <c r="D41" i="20"/>
  <c r="E41" i="20" s="1"/>
  <c r="F41" i="20" s="1"/>
  <c r="G41" i="20" s="1"/>
  <c r="H41" i="20" s="1"/>
  <c r="I41" i="20" s="1"/>
  <c r="J41" i="20" s="1"/>
  <c r="K41" i="20" s="1"/>
  <c r="L41" i="20" s="1"/>
  <c r="M41" i="20" s="1"/>
  <c r="N41" i="20" s="1"/>
  <c r="O63" i="20"/>
  <c r="E63" i="20" s="1"/>
  <c r="T18" i="6"/>
  <c r="R21" i="6" s="1"/>
  <c r="R6" i="6" s="1"/>
  <c r="U18" i="6"/>
  <c r="V18" i="6"/>
  <c r="W18" i="6"/>
  <c r="X18" i="6"/>
  <c r="T20" i="6"/>
  <c r="T5" i="6" s="1"/>
  <c r="T7" i="17" s="1"/>
  <c r="U20" i="6"/>
  <c r="U5" i="6" s="1"/>
  <c r="U7" i="17" s="1"/>
  <c r="C12" i="7"/>
  <c r="C69" i="20"/>
  <c r="D69" i="20" s="1"/>
  <c r="E69" i="20" s="1"/>
  <c r="F69" i="20" s="1"/>
  <c r="G69" i="20" s="1"/>
  <c r="H69" i="20" s="1"/>
  <c r="I69" i="20" s="1"/>
  <c r="J69" i="20" s="1"/>
  <c r="K69" i="20" s="1"/>
  <c r="L69" i="20" s="1"/>
  <c r="M69" i="20" s="1"/>
  <c r="N69" i="20" s="1"/>
  <c r="C18" i="20"/>
  <c r="C19" i="20" s="1"/>
  <c r="D18" i="20"/>
  <c r="E18" i="20"/>
  <c r="F18" i="20"/>
  <c r="G18" i="20"/>
  <c r="H18" i="20"/>
  <c r="I18" i="20"/>
  <c r="J18" i="20"/>
  <c r="K18" i="20"/>
  <c r="L18" i="20"/>
  <c r="M18" i="20"/>
  <c r="N18" i="20"/>
  <c r="C25" i="20"/>
  <c r="D25" i="20" s="1"/>
  <c r="D72" i="20"/>
  <c r="E72" i="20"/>
  <c r="F72" i="20"/>
  <c r="G72" i="20"/>
  <c r="H72" i="20"/>
  <c r="I72" i="20"/>
  <c r="J72" i="20"/>
  <c r="K72" i="20"/>
  <c r="L72" i="20"/>
  <c r="M72" i="20"/>
  <c r="N72" i="20"/>
  <c r="C72" i="20"/>
  <c r="C75" i="20" s="1"/>
  <c r="D17" i="6"/>
  <c r="D100" i="6" s="1"/>
  <c r="E17" i="6"/>
  <c r="D5" i="7"/>
  <c r="F17" i="6"/>
  <c r="H17" i="6"/>
  <c r="G7" i="19"/>
  <c r="I5" i="19"/>
  <c r="I4" i="19"/>
  <c r="F6" i="19"/>
  <c r="F7" i="19" s="1"/>
  <c r="E6" i="19"/>
  <c r="E7" i="19" s="1"/>
  <c r="D6" i="19"/>
  <c r="D7" i="19" s="1"/>
  <c r="C7" i="19"/>
  <c r="O7" i="20"/>
  <c r="O6" i="20"/>
  <c r="O21" i="20"/>
  <c r="O17" i="20"/>
  <c r="O16" i="20"/>
  <c r="O9" i="20"/>
  <c r="O8" i="20"/>
  <c r="N114" i="17"/>
  <c r="M114" i="17"/>
  <c r="L114" i="17"/>
  <c r="A50" i="17"/>
  <c r="I10" i="21"/>
  <c r="F10" i="21"/>
  <c r="I7" i="21"/>
  <c r="K7" i="21" s="1"/>
  <c r="M7" i="21" s="1"/>
  <c r="O7" i="21" s="1"/>
  <c r="Q7" i="21" s="1"/>
  <c r="S7" i="21" s="1"/>
  <c r="H7" i="21"/>
  <c r="T7" i="21" s="1"/>
  <c r="I11" i="21"/>
  <c r="K11" i="21" s="1"/>
  <c r="M11" i="21" s="1"/>
  <c r="O11" i="21" s="1"/>
  <c r="I12" i="21"/>
  <c r="K12" i="21" s="1"/>
  <c r="M12" i="21" s="1"/>
  <c r="O12" i="21" s="1"/>
  <c r="Q12" i="21" s="1"/>
  <c r="S12" i="21" s="1"/>
  <c r="S2" i="21"/>
  <c r="R2" i="21"/>
  <c r="Q2" i="21"/>
  <c r="P2" i="21"/>
  <c r="O2" i="21"/>
  <c r="N2" i="21"/>
  <c r="M2" i="21"/>
  <c r="L2" i="21"/>
  <c r="K2" i="21"/>
  <c r="J2" i="21"/>
  <c r="I2" i="21"/>
  <c r="H2" i="21"/>
  <c r="T2" i="21" s="1"/>
  <c r="S3" i="21"/>
  <c r="R3" i="21"/>
  <c r="Q3" i="21"/>
  <c r="P3" i="21"/>
  <c r="O3" i="21"/>
  <c r="N3" i="21"/>
  <c r="M3" i="21"/>
  <c r="L3" i="21"/>
  <c r="K3" i="21"/>
  <c r="J3" i="21"/>
  <c r="I3" i="21"/>
  <c r="H3" i="21"/>
  <c r="T3" i="21" s="1"/>
  <c r="S6" i="21"/>
  <c r="R6" i="21"/>
  <c r="Q6" i="21"/>
  <c r="P6" i="21"/>
  <c r="O6" i="21"/>
  <c r="N6" i="21"/>
  <c r="M6" i="21"/>
  <c r="L6" i="21"/>
  <c r="K6" i="21"/>
  <c r="J6" i="21"/>
  <c r="I6" i="21"/>
  <c r="H6" i="21"/>
  <c r="F12" i="21"/>
  <c r="F11" i="21"/>
  <c r="K8" i="21"/>
  <c r="L8" i="21"/>
  <c r="M8" i="21"/>
  <c r="N8" i="21"/>
  <c r="O8" i="21"/>
  <c r="P8" i="21"/>
  <c r="Q8" i="21"/>
  <c r="R8" i="21"/>
  <c r="S8" i="21"/>
  <c r="H8" i="21"/>
  <c r="T8" i="21" s="1"/>
  <c r="I4" i="21"/>
  <c r="J4" i="21"/>
  <c r="K4" i="21"/>
  <c r="L4" i="21"/>
  <c r="M4" i="21"/>
  <c r="N4" i="21"/>
  <c r="O4" i="21"/>
  <c r="P4" i="21"/>
  <c r="Q4" i="21"/>
  <c r="R4" i="21"/>
  <c r="S4" i="21"/>
  <c r="H4" i="21"/>
  <c r="H5" i="21"/>
  <c r="I5" i="21"/>
  <c r="L5" i="21"/>
  <c r="N5" i="21"/>
  <c r="P5" i="21"/>
  <c r="R5" i="21"/>
  <c r="S5" i="21"/>
  <c r="O3" i="24"/>
  <c r="AV17" i="6"/>
  <c r="AW17" i="6"/>
  <c r="E5" i="7"/>
  <c r="F5" i="7"/>
  <c r="G5" i="7"/>
  <c r="H5" i="7"/>
  <c r="I5" i="7"/>
  <c r="J5" i="7"/>
  <c r="K5" i="7"/>
  <c r="L5" i="7"/>
  <c r="M5" i="7"/>
  <c r="N5" i="7"/>
  <c r="J18" i="6"/>
  <c r="K18" i="6"/>
  <c r="K21" i="6" s="1"/>
  <c r="K6" i="6" s="1"/>
  <c r="K8" i="17" s="1"/>
  <c r="L21" i="6"/>
  <c r="L6" i="6" s="1"/>
  <c r="L8" i="17" s="1"/>
  <c r="Q21" i="6"/>
  <c r="Q6" i="6" s="1"/>
  <c r="Q8" i="17" s="1"/>
  <c r="Z21" i="6"/>
  <c r="Z6" i="6" s="1"/>
  <c r="Z8" i="17" s="1"/>
  <c r="AA21" i="6"/>
  <c r="AA6" i="6" s="1"/>
  <c r="AA8" i="17" s="1"/>
  <c r="AB21" i="6"/>
  <c r="AB6" i="6" s="1"/>
  <c r="AB8" i="17" s="1"/>
  <c r="AC21" i="6"/>
  <c r="AC6" i="6" s="1"/>
  <c r="AC8" i="17" s="1"/>
  <c r="AD21" i="6"/>
  <c r="AD6" i="6" s="1"/>
  <c r="AE21" i="6"/>
  <c r="AE6" i="6" s="1"/>
  <c r="AE8" i="17" s="1"/>
  <c r="AF21" i="6"/>
  <c r="AF6" i="6" s="1"/>
  <c r="AF8" i="17" s="1"/>
  <c r="AG21" i="6"/>
  <c r="AG6" i="6" s="1"/>
  <c r="AG8" i="17" s="1"/>
  <c r="AH6" i="6"/>
  <c r="AH8" i="17" s="1"/>
  <c r="AI6" i="6"/>
  <c r="AI8" i="17" s="1"/>
  <c r="AJ21" i="6"/>
  <c r="AJ6" i="6" s="1"/>
  <c r="AJ8" i="17" s="1"/>
  <c r="AK21" i="6"/>
  <c r="AK6" i="6" s="1"/>
  <c r="AK8" i="17" s="1"/>
  <c r="AS21" i="6"/>
  <c r="AS6" i="6" s="1"/>
  <c r="AS8" i="17" s="1"/>
  <c r="AT21" i="6"/>
  <c r="AT6" i="6" s="1"/>
  <c r="AT8" i="17" s="1"/>
  <c r="AU21" i="6"/>
  <c r="AU6" i="6" s="1"/>
  <c r="AU8" i="17" s="1"/>
  <c r="AV21" i="6"/>
  <c r="AV6" i="6" s="1"/>
  <c r="AV8" i="17" s="1"/>
  <c r="AW21" i="6"/>
  <c r="AW6" i="6" s="1"/>
  <c r="AW8" i="17" s="1"/>
  <c r="AX21" i="6"/>
  <c r="AX6" i="6" s="1"/>
  <c r="AX8" i="17" s="1"/>
  <c r="BA18" i="6"/>
  <c r="AZ21" i="6" s="1"/>
  <c r="AZ6" i="6" s="1"/>
  <c r="AZ8" i="17" s="1"/>
  <c r="N19" i="7"/>
  <c r="N6" i="7" s="1"/>
  <c r="M19" i="7"/>
  <c r="M6" i="7" s="1"/>
  <c r="L19" i="7"/>
  <c r="L6" i="7" s="1"/>
  <c r="K19" i="7"/>
  <c r="K6" i="7" s="1"/>
  <c r="J19" i="7"/>
  <c r="J6" i="7" s="1"/>
  <c r="I19" i="7"/>
  <c r="I6" i="7" s="1"/>
  <c r="H19" i="7"/>
  <c r="H6" i="7" s="1"/>
  <c r="G19" i="7"/>
  <c r="G6" i="7" s="1"/>
  <c r="F19" i="7"/>
  <c r="F6" i="7" s="1"/>
  <c r="E19" i="7"/>
  <c r="E6" i="7" s="1"/>
  <c r="D19" i="7"/>
  <c r="D6" i="7" s="1"/>
  <c r="C19" i="7"/>
  <c r="C6" i="7" s="1"/>
  <c r="C4" i="23"/>
  <c r="F128" i="17"/>
  <c r="F127" i="17"/>
  <c r="F126" i="17"/>
  <c r="F125" i="17"/>
  <c r="F124" i="17"/>
  <c r="F123" i="17"/>
  <c r="F122" i="17"/>
  <c r="K110" i="17"/>
  <c r="G107" i="17"/>
  <c r="E110" i="17"/>
  <c r="K109" i="17"/>
  <c r="J110" i="17"/>
  <c r="I110" i="17"/>
  <c r="H110" i="17"/>
  <c r="G106" i="17"/>
  <c r="E109" i="17"/>
  <c r="D110" i="17"/>
  <c r="D115" i="17" s="1"/>
  <c r="F110" i="17"/>
  <c r="I111" i="17"/>
  <c r="H111" i="17"/>
  <c r="F111" i="17"/>
  <c r="D111" i="17"/>
  <c r="D116" i="17" s="1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AL107" i="6"/>
  <c r="AM107" i="6"/>
  <c r="AN107" i="6"/>
  <c r="AO107" i="6"/>
  <c r="AP107" i="6"/>
  <c r="AQ107" i="6"/>
  <c r="AR107" i="6"/>
  <c r="AS107" i="6"/>
  <c r="AT107" i="6"/>
  <c r="AU107" i="6"/>
  <c r="AV107" i="6"/>
  <c r="AW107" i="6"/>
  <c r="AX107" i="6"/>
  <c r="AY107" i="6"/>
  <c r="AZ107" i="6"/>
  <c r="BA107" i="6"/>
  <c r="BB107" i="6"/>
  <c r="C107" i="6"/>
  <c r="BA5" i="6"/>
  <c r="V20" i="6"/>
  <c r="V5" i="6" s="1"/>
  <c r="V7" i="17" s="1"/>
  <c r="W20" i="6"/>
  <c r="W5" i="6" s="1"/>
  <c r="W7" i="17" s="1"/>
  <c r="X20" i="6"/>
  <c r="X5" i="6" s="1"/>
  <c r="AM20" i="6"/>
  <c r="AM5" i="6" s="1"/>
  <c r="AM7" i="17" s="1"/>
  <c r="AL20" i="6"/>
  <c r="AL5" i="6" s="1"/>
  <c r="AK20" i="6"/>
  <c r="AK5" i="6" s="1"/>
  <c r="AK7" i="17" s="1"/>
  <c r="AH5" i="6"/>
  <c r="AH7" i="17" s="1"/>
  <c r="AI5" i="6"/>
  <c r="N20" i="6"/>
  <c r="N5" i="6" s="1"/>
  <c r="O20" i="6"/>
  <c r="O5" i="6" s="1"/>
  <c r="O7" i="17" s="1"/>
  <c r="P20" i="6"/>
  <c r="P5" i="6" s="1"/>
  <c r="Q20" i="6"/>
  <c r="Q5" i="6" s="1"/>
  <c r="Q7" i="17" s="1"/>
  <c r="R20" i="6"/>
  <c r="R5" i="6" s="1"/>
  <c r="R7" i="17" s="1"/>
  <c r="S20" i="6"/>
  <c r="S5" i="6" s="1"/>
  <c r="S7" i="17" s="1"/>
  <c r="Y20" i="6"/>
  <c r="Y5" i="6" s="1"/>
  <c r="Y7" i="17" s="1"/>
  <c r="Z20" i="6"/>
  <c r="Z5" i="6" s="1"/>
  <c r="AF20" i="6"/>
  <c r="AF5" i="6" s="1"/>
  <c r="AF7" i="17" s="1"/>
  <c r="AG20" i="6"/>
  <c r="AG5" i="6" s="1"/>
  <c r="AJ20" i="6"/>
  <c r="AJ5" i="6" s="1"/>
  <c r="AJ7" i="17" s="1"/>
  <c r="AN20" i="6"/>
  <c r="AN5" i="6" s="1"/>
  <c r="AN7" i="17" s="1"/>
  <c r="AO20" i="6"/>
  <c r="AO5" i="6" s="1"/>
  <c r="AO7" i="17" s="1"/>
  <c r="AP20" i="6"/>
  <c r="AP5" i="6" s="1"/>
  <c r="AQ20" i="6"/>
  <c r="AQ5" i="6" s="1"/>
  <c r="AQ7" i="17" s="1"/>
  <c r="AR20" i="6"/>
  <c r="AR5" i="6" s="1"/>
  <c r="AR7" i="17" s="1"/>
  <c r="AS20" i="6"/>
  <c r="AS5" i="6" s="1"/>
  <c r="AS7" i="17" s="1"/>
  <c r="AZ20" i="6"/>
  <c r="AZ5" i="6" s="1"/>
  <c r="AZ7" i="17" s="1"/>
  <c r="BB20" i="6"/>
  <c r="BB5" i="6" s="1"/>
  <c r="BB21" i="6"/>
  <c r="BB6" i="6" s="1"/>
  <c r="E18" i="6"/>
  <c r="C18" i="6"/>
  <c r="C101" i="6" s="1"/>
  <c r="AR18" i="6"/>
  <c r="AR21" i="6" s="1"/>
  <c r="AR6" i="6" s="1"/>
  <c r="AQ18" i="6"/>
  <c r="AP18" i="6"/>
  <c r="O18" i="6"/>
  <c r="P18" i="6"/>
  <c r="P21" i="6" s="1"/>
  <c r="P6" i="6" s="1"/>
  <c r="AY17" i="6"/>
  <c r="AY20" i="6" s="1"/>
  <c r="AY5" i="6" s="1"/>
  <c r="AY7" i="17" s="1"/>
  <c r="AX17" i="6"/>
  <c r="AO18" i="6"/>
  <c r="AN18" i="6"/>
  <c r="AL21" i="6" s="1"/>
  <c r="AL6" i="6" s="1"/>
  <c r="AE17" i="6"/>
  <c r="AE20" i="6" s="1"/>
  <c r="AE5" i="6" s="1"/>
  <c r="AE7" i="17" s="1"/>
  <c r="AD17" i="6"/>
  <c r="AC17" i="6"/>
  <c r="AA20" i="6" s="1"/>
  <c r="AA5" i="6" s="1"/>
  <c r="AA7" i="17" s="1"/>
  <c r="Y18" i="6"/>
  <c r="Y21" i="6" s="1"/>
  <c r="Y6" i="6" s="1"/>
  <c r="Y8" i="17" s="1"/>
  <c r="I17" i="6"/>
  <c r="C100" i="6"/>
  <c r="I18" i="6"/>
  <c r="G21" i="6" s="1"/>
  <c r="G6" i="6" s="1"/>
  <c r="G8" i="17" s="1"/>
  <c r="D18" i="6"/>
  <c r="F18" i="6"/>
  <c r="F21" i="6" s="1"/>
  <c r="F6" i="6" s="1"/>
  <c r="M17" i="6"/>
  <c r="M20" i="6" s="1"/>
  <c r="M5" i="6" s="1"/>
  <c r="M7" i="17" s="1"/>
  <c r="L17" i="6"/>
  <c r="K17" i="6"/>
  <c r="J17" i="6"/>
  <c r="AG14" i="17"/>
  <c r="AH14" i="17"/>
  <c r="AI14" i="17"/>
  <c r="AJ14" i="17"/>
  <c r="AK14" i="17"/>
  <c r="AL14" i="17"/>
  <c r="AM14" i="17"/>
  <c r="AN14" i="17"/>
  <c r="AO14" i="17"/>
  <c r="AP14" i="17"/>
  <c r="AQ14" i="17"/>
  <c r="AR14" i="17"/>
  <c r="AS14" i="17"/>
  <c r="AT14" i="17"/>
  <c r="AU14" i="17"/>
  <c r="AV14" i="17"/>
  <c r="AW14" i="17"/>
  <c r="AX14" i="17"/>
  <c r="AY14" i="17"/>
  <c r="AZ14" i="17"/>
  <c r="BA14" i="17"/>
  <c r="BB14" i="17"/>
  <c r="AF14" i="17"/>
  <c r="T11" i="13"/>
  <c r="T10" i="13"/>
  <c r="P10" i="13"/>
  <c r="Q10" i="13"/>
  <c r="H45" i="17"/>
  <c r="Q11" i="13"/>
  <c r="P11" i="13"/>
  <c r="A5" i="13"/>
  <c r="E5" i="13"/>
  <c r="X1" i="13"/>
  <c r="X4" i="13" s="1"/>
  <c r="W1" i="13"/>
  <c r="W5" i="13" s="1"/>
  <c r="V1" i="13"/>
  <c r="V2" i="13" s="1"/>
  <c r="U1" i="13"/>
  <c r="U4" i="13" s="1"/>
  <c r="T1" i="13"/>
  <c r="T3" i="13" s="1"/>
  <c r="S1" i="13"/>
  <c r="S2" i="13" s="1"/>
  <c r="R1" i="13"/>
  <c r="R3" i="13" s="1"/>
  <c r="Q1" i="13"/>
  <c r="Q5" i="13" s="1"/>
  <c r="P1" i="13"/>
  <c r="P4" i="13" s="1"/>
  <c r="O1" i="13"/>
  <c r="O4" i="13" s="1"/>
  <c r="N1" i="13"/>
  <c r="N4" i="13" s="1"/>
  <c r="M1" i="13"/>
  <c r="Y14" i="13"/>
  <c r="Y13" i="13"/>
  <c r="Y8" i="13"/>
  <c r="Y12" i="13"/>
  <c r="Y9" i="13"/>
  <c r="I3" i="19"/>
  <c r="J111" i="17"/>
  <c r="I9" i="21"/>
  <c r="C64" i="20" l="1"/>
  <c r="C67" i="20" s="1"/>
  <c r="M64" i="20"/>
  <c r="K64" i="20"/>
  <c r="M63" i="20"/>
  <c r="I63" i="20"/>
  <c r="G64" i="20"/>
  <c r="J64" i="20"/>
  <c r="H64" i="20"/>
  <c r="E45" i="20"/>
  <c r="F45" i="20" s="1"/>
  <c r="G45" i="20" s="1"/>
  <c r="H45" i="20" s="1"/>
  <c r="I45" i="20" s="1"/>
  <c r="J45" i="20" s="1"/>
  <c r="K45" i="20" s="1"/>
  <c r="L45" i="20" s="1"/>
  <c r="M45" i="20" s="1"/>
  <c r="N45" i="20" s="1"/>
  <c r="T39" i="29"/>
  <c r="T40" i="29" s="1"/>
  <c r="T50" i="26"/>
  <c r="T51" i="26" s="1"/>
  <c r="S39" i="29"/>
  <c r="S40" i="29" s="1"/>
  <c r="S50" i="26"/>
  <c r="S51" i="26" s="1"/>
  <c r="R39" i="29"/>
  <c r="R40" i="29" s="1"/>
  <c r="R50" i="26"/>
  <c r="R51" i="26" s="1"/>
  <c r="Q39" i="29"/>
  <c r="Q40" i="29" s="1"/>
  <c r="Q50" i="26"/>
  <c r="Q51" i="26" s="1"/>
  <c r="J39" i="29"/>
  <c r="J40" i="29" s="1"/>
  <c r="J41" i="29" s="1"/>
  <c r="K41" i="29" s="1"/>
  <c r="L41" i="29" s="1"/>
  <c r="J51" i="26"/>
  <c r="M50" i="26"/>
  <c r="M51" i="26" s="1"/>
  <c r="M39" i="29"/>
  <c r="M40" i="29" s="1"/>
  <c r="L51" i="26"/>
  <c r="K14" i="20"/>
  <c r="K20" i="20" s="1"/>
  <c r="I14" i="20"/>
  <c r="I20" i="20" s="1"/>
  <c r="C102" i="6"/>
  <c r="V21" i="6"/>
  <c r="V6" i="6" s="1"/>
  <c r="V8" i="17" s="1"/>
  <c r="N14" i="20"/>
  <c r="N20" i="20" s="1"/>
  <c r="F14" i="20"/>
  <c r="F20" i="20" s="1"/>
  <c r="C63" i="20"/>
  <c r="C66" i="20" s="1"/>
  <c r="L14" i="20"/>
  <c r="L20" i="20" s="1"/>
  <c r="E100" i="6"/>
  <c r="F100" i="6" s="1"/>
  <c r="G100" i="6" s="1"/>
  <c r="H100" i="6" s="1"/>
  <c r="S3" i="13"/>
  <c r="AV20" i="6"/>
  <c r="AV5" i="6" s="1"/>
  <c r="AV9" i="6" s="1"/>
  <c r="W4" i="13"/>
  <c r="BA21" i="6"/>
  <c r="BA6" i="6" s="1"/>
  <c r="BA8" i="17" s="1"/>
  <c r="AT20" i="6"/>
  <c r="AT5" i="6" s="1"/>
  <c r="AT7" i="17" s="1"/>
  <c r="T5" i="13"/>
  <c r="R4" i="13"/>
  <c r="W2" i="13"/>
  <c r="W7" i="13" s="1"/>
  <c r="W15" i="13" s="1"/>
  <c r="D101" i="6"/>
  <c r="E101" i="6" s="1"/>
  <c r="AU20" i="6"/>
  <c r="AU5" i="6" s="1"/>
  <c r="AU7" i="17" s="1"/>
  <c r="AY21" i="6"/>
  <c r="AY6" i="6" s="1"/>
  <c r="AY8" i="17" s="1"/>
  <c r="U5" i="13"/>
  <c r="J20" i="6"/>
  <c r="J5" i="6" s="1"/>
  <c r="J7" i="17" s="1"/>
  <c r="F20" i="6"/>
  <c r="F5" i="6" s="1"/>
  <c r="F7" i="17" s="1"/>
  <c r="U2" i="13"/>
  <c r="U3" i="13"/>
  <c r="H10" i="21"/>
  <c r="J10" i="21" s="1"/>
  <c r="L10" i="21" s="1"/>
  <c r="N10" i="21" s="1"/>
  <c r="P10" i="21" s="1"/>
  <c r="R10" i="21" s="1"/>
  <c r="H11" i="21"/>
  <c r="U11" i="21" s="1"/>
  <c r="N64" i="20"/>
  <c r="AM21" i="6"/>
  <c r="AM6" i="6" s="1"/>
  <c r="AM8" i="17" s="1"/>
  <c r="U21" i="6"/>
  <c r="U6" i="6" s="1"/>
  <c r="U8" i="17" s="1"/>
  <c r="AX20" i="6"/>
  <c r="AX5" i="6" s="1"/>
  <c r="AX7" i="17" s="1"/>
  <c r="H20" i="6"/>
  <c r="H5" i="6" s="1"/>
  <c r="H7" i="17" s="1"/>
  <c r="AP21" i="6"/>
  <c r="AP6" i="6" s="1"/>
  <c r="AP8" i="17" s="1"/>
  <c r="J13" i="7"/>
  <c r="T21" i="6"/>
  <c r="T6" i="6" s="1"/>
  <c r="T8" i="17" s="1"/>
  <c r="N21" i="6"/>
  <c r="N6" i="6" s="1"/>
  <c r="N8" i="17" s="1"/>
  <c r="R2" i="13"/>
  <c r="A6" i="7"/>
  <c r="V4" i="13"/>
  <c r="S21" i="6"/>
  <c r="S6" i="6" s="1"/>
  <c r="S8" i="17" s="1"/>
  <c r="AW20" i="6"/>
  <c r="AW5" i="6" s="1"/>
  <c r="AW7" i="17" s="1"/>
  <c r="A5" i="7"/>
  <c r="L20" i="6"/>
  <c r="L5" i="6" s="1"/>
  <c r="L7" i="17" s="1"/>
  <c r="O3" i="13"/>
  <c r="N7" i="17"/>
  <c r="C21" i="6"/>
  <c r="C105" i="6" s="1"/>
  <c r="Q4" i="13"/>
  <c r="E115" i="17"/>
  <c r="F116" i="17" s="1"/>
  <c r="G112" i="17" s="1"/>
  <c r="H116" i="17" s="1"/>
  <c r="I116" i="17" s="1"/>
  <c r="J116" i="17" s="1"/>
  <c r="K115" i="17" s="1"/>
  <c r="L116" i="17" s="1"/>
  <c r="M116" i="17" s="1"/>
  <c r="N116" i="17" s="1"/>
  <c r="O116" i="17" s="1"/>
  <c r="AC20" i="6"/>
  <c r="AC5" i="6" s="1"/>
  <c r="AC7" i="17" s="1"/>
  <c r="I20" i="6"/>
  <c r="I5" i="6" s="1"/>
  <c r="I7" i="17" s="1"/>
  <c r="M21" i="6"/>
  <c r="M6" i="6" s="1"/>
  <c r="M8" i="17" s="1"/>
  <c r="O2" i="13"/>
  <c r="X2" i="13"/>
  <c r="Y10" i="13"/>
  <c r="D20" i="6"/>
  <c r="D5" i="6" s="1"/>
  <c r="D7" i="17" s="1"/>
  <c r="Y11" i="13"/>
  <c r="W21" i="6"/>
  <c r="W6" i="6" s="1"/>
  <c r="W8" i="17" s="1"/>
  <c r="AQ21" i="6"/>
  <c r="AQ6" i="6" s="1"/>
  <c r="AQ8" i="17" s="1"/>
  <c r="W3" i="13"/>
  <c r="G20" i="6"/>
  <c r="G5" i="6" s="1"/>
  <c r="G7" i="17" s="1"/>
  <c r="O21" i="6"/>
  <c r="O6" i="6" s="1"/>
  <c r="O8" i="17" s="1"/>
  <c r="R5" i="13"/>
  <c r="E21" i="6"/>
  <c r="E6" i="6" s="1"/>
  <c r="E8" i="17" s="1"/>
  <c r="N5" i="13"/>
  <c r="N2" i="13"/>
  <c r="M13" i="7"/>
  <c r="O5" i="13"/>
  <c r="V5" i="13"/>
  <c r="V7" i="13" s="1"/>
  <c r="V15" i="13" s="1"/>
  <c r="J21" i="6"/>
  <c r="J6" i="6" s="1"/>
  <c r="J8" i="17" s="1"/>
  <c r="Q2" i="13"/>
  <c r="Q7" i="13" s="1"/>
  <c r="Q15" i="13" s="1"/>
  <c r="N3" i="13"/>
  <c r="E20" i="6"/>
  <c r="E5" i="6" s="1"/>
  <c r="E7" i="17" s="1"/>
  <c r="AI4" i="21"/>
  <c r="AI8" i="21"/>
  <c r="AG8" i="21"/>
  <c r="AG4" i="21"/>
  <c r="AK8" i="21"/>
  <c r="AE4" i="21"/>
  <c r="AK4" i="21"/>
  <c r="AJ4" i="21"/>
  <c r="U4" i="21"/>
  <c r="Y4" i="21"/>
  <c r="W4" i="21"/>
  <c r="AH4" i="21"/>
  <c r="AD4" i="21"/>
  <c r="AA4" i="21"/>
  <c r="J3" i="25"/>
  <c r="X4" i="21"/>
  <c r="Z4" i="21"/>
  <c r="T4" i="21"/>
  <c r="AF4" i="21"/>
  <c r="V4" i="21"/>
  <c r="D105" i="17"/>
  <c r="E104" i="17" s="1"/>
  <c r="J112" i="17" s="1"/>
  <c r="E114" i="17"/>
  <c r="F115" i="17" s="1"/>
  <c r="G111" i="17" s="1"/>
  <c r="H115" i="17" s="1"/>
  <c r="I115" i="17" s="1"/>
  <c r="J115" i="17" s="1"/>
  <c r="K114" i="17" s="1"/>
  <c r="L115" i="17" s="1"/>
  <c r="M115" i="17" s="1"/>
  <c r="N115" i="17" s="1"/>
  <c r="O115" i="17" s="1"/>
  <c r="F63" i="20"/>
  <c r="C77" i="20"/>
  <c r="D77" i="20" s="1"/>
  <c r="E77" i="20" s="1"/>
  <c r="F77" i="20" s="1"/>
  <c r="G77" i="20" s="1"/>
  <c r="H77" i="20" s="1"/>
  <c r="I77" i="20" s="1"/>
  <c r="J77" i="20" s="1"/>
  <c r="K77" i="20" s="1"/>
  <c r="L77" i="20" s="1"/>
  <c r="M77" i="20" s="1"/>
  <c r="N77" i="20" s="1"/>
  <c r="C38" i="20"/>
  <c r="D38" i="20" s="1"/>
  <c r="E38" i="20" s="1"/>
  <c r="F38" i="20" s="1"/>
  <c r="G38" i="20" s="1"/>
  <c r="H38" i="20" s="1"/>
  <c r="I38" i="20" s="1"/>
  <c r="J38" i="20" s="1"/>
  <c r="K38" i="20" s="1"/>
  <c r="L38" i="20" s="1"/>
  <c r="M38" i="20" s="1"/>
  <c r="N38" i="20" s="1"/>
  <c r="C27" i="20"/>
  <c r="C26" i="20"/>
  <c r="D26" i="20" s="1"/>
  <c r="AL8" i="17"/>
  <c r="F8" i="17"/>
  <c r="H13" i="7"/>
  <c r="BB7" i="17"/>
  <c r="P8" i="17"/>
  <c r="K9" i="7"/>
  <c r="AL7" i="17"/>
  <c r="M2" i="13"/>
  <c r="M3" i="13"/>
  <c r="M5" i="13"/>
  <c r="M4" i="13"/>
  <c r="P7" i="17"/>
  <c r="F9" i="7"/>
  <c r="AI7" i="17"/>
  <c r="AP7" i="17"/>
  <c r="Z7" i="17"/>
  <c r="BB8" i="17"/>
  <c r="D21" i="6"/>
  <c r="D6" i="6" s="1"/>
  <c r="H21" i="6"/>
  <c r="H6" i="6" s="1"/>
  <c r="I21" i="6"/>
  <c r="I6" i="6" s="1"/>
  <c r="AR8" i="17"/>
  <c r="N9" i="7"/>
  <c r="X7" i="17"/>
  <c r="T4" i="13"/>
  <c r="T2" i="13"/>
  <c r="R8" i="17"/>
  <c r="AB20" i="6"/>
  <c r="AB5" i="6" s="1"/>
  <c r="H9" i="7" s="1"/>
  <c r="AD8" i="17"/>
  <c r="X21" i="6"/>
  <c r="X6" i="6" s="1"/>
  <c r="P3" i="13"/>
  <c r="X5" i="13"/>
  <c r="X3" i="13"/>
  <c r="I13" i="7"/>
  <c r="AD20" i="6"/>
  <c r="AD5" i="6" s="1"/>
  <c r="P2" i="13"/>
  <c r="AG7" i="17"/>
  <c r="G9" i="7"/>
  <c r="P5" i="13"/>
  <c r="BA7" i="17"/>
  <c r="AN21" i="6"/>
  <c r="AN6" i="6" s="1"/>
  <c r="S5" i="13"/>
  <c r="S4" i="13"/>
  <c r="AO21" i="6"/>
  <c r="AO6" i="6" s="1"/>
  <c r="V3" i="13"/>
  <c r="Q3" i="13"/>
  <c r="J9" i="7"/>
  <c r="K20" i="6"/>
  <c r="K5" i="6" s="1"/>
  <c r="AH8" i="21"/>
  <c r="P63" i="20"/>
  <c r="C20" i="6"/>
  <c r="AB4" i="21"/>
  <c r="C68" i="20"/>
  <c r="D68" i="20" s="1"/>
  <c r="E68" i="20" s="1"/>
  <c r="F68" i="20" s="1"/>
  <c r="G68" i="20" s="1"/>
  <c r="H68" i="20" s="1"/>
  <c r="I68" i="20" s="1"/>
  <c r="J68" i="20" s="1"/>
  <c r="K68" i="20" s="1"/>
  <c r="L68" i="20" s="1"/>
  <c r="M68" i="20" s="1"/>
  <c r="N68" i="20" s="1"/>
  <c r="P68" i="20"/>
  <c r="E25" i="20"/>
  <c r="F25" i="20" s="1"/>
  <c r="G25" i="20" s="1"/>
  <c r="H25" i="20" s="1"/>
  <c r="I25" i="20" s="1"/>
  <c r="J25" i="20" s="1"/>
  <c r="K25" i="20" s="1"/>
  <c r="L25" i="20" s="1"/>
  <c r="M25" i="20" s="1"/>
  <c r="N25" i="20" s="1"/>
  <c r="D27" i="20"/>
  <c r="L64" i="20"/>
  <c r="F64" i="20"/>
  <c r="D78" i="20"/>
  <c r="E78" i="20" s="1"/>
  <c r="F78" i="20" s="1"/>
  <c r="G78" i="20" s="1"/>
  <c r="H78" i="20" s="1"/>
  <c r="I78" i="20" s="1"/>
  <c r="J63" i="20"/>
  <c r="G63" i="20"/>
  <c r="D63" i="20"/>
  <c r="H63" i="20"/>
  <c r="N63" i="20"/>
  <c r="K63" i="20"/>
  <c r="L63" i="20"/>
  <c r="D19" i="20"/>
  <c r="E19" i="20" s="1"/>
  <c r="F19" i="20" s="1"/>
  <c r="G19" i="20" s="1"/>
  <c r="H19" i="20" s="1"/>
  <c r="I19" i="20" s="1"/>
  <c r="J19" i="20" s="1"/>
  <c r="K19" i="20" s="1"/>
  <c r="L19" i="20" s="1"/>
  <c r="M19" i="20" s="1"/>
  <c r="N19" i="20" s="1"/>
  <c r="D76" i="20"/>
  <c r="E76" i="20" s="1"/>
  <c r="F76" i="20" s="1"/>
  <c r="G76" i="20" s="1"/>
  <c r="H76" i="20" s="1"/>
  <c r="I76" i="20" s="1"/>
  <c r="J76" i="20" s="1"/>
  <c r="K76" i="20" s="1"/>
  <c r="L76" i="20" s="1"/>
  <c r="M76" i="20" s="1"/>
  <c r="N76" i="20" s="1"/>
  <c r="D64" i="20"/>
  <c r="D67" i="20" s="1"/>
  <c r="E67" i="20" s="1"/>
  <c r="I64" i="20"/>
  <c r="D75" i="20"/>
  <c r="E75" i="20" s="1"/>
  <c r="F75" i="20" s="1"/>
  <c r="G75" i="20" s="1"/>
  <c r="H75" i="20" s="1"/>
  <c r="I75" i="20" s="1"/>
  <c r="J75" i="20" s="1"/>
  <c r="K75" i="20" s="1"/>
  <c r="L75" i="20" s="1"/>
  <c r="M75" i="20" s="1"/>
  <c r="N75" i="20" s="1"/>
  <c r="P7" i="20"/>
  <c r="AC4" i="21"/>
  <c r="I2" i="25"/>
  <c r="AQ5" i="17"/>
  <c r="AQ9" i="17" s="1"/>
  <c r="AH3" i="21"/>
  <c r="S9" i="21"/>
  <c r="O5" i="24"/>
  <c r="P5" i="24" s="1"/>
  <c r="D16" i="7"/>
  <c r="E16" i="7" s="1"/>
  <c r="F16" i="7" s="1"/>
  <c r="G16" i="7" s="1"/>
  <c r="H16" i="7" s="1"/>
  <c r="I16" i="7" s="1"/>
  <c r="J16" i="7" s="1"/>
  <c r="K16" i="7" s="1"/>
  <c r="L16" i="7" s="1"/>
  <c r="M16" i="7" s="1"/>
  <c r="N16" i="7" s="1"/>
  <c r="AD3" i="21"/>
  <c r="AJ6" i="17"/>
  <c r="J5" i="21"/>
  <c r="AF5" i="21" s="1"/>
  <c r="E2" i="25"/>
  <c r="AH2" i="21"/>
  <c r="X3" i="21"/>
  <c r="G2" i="25"/>
  <c r="K2" i="25"/>
  <c r="AN9" i="6"/>
  <c r="D2" i="25"/>
  <c r="D8" i="7"/>
  <c r="BB5" i="17"/>
  <c r="N9" i="21"/>
  <c r="AM9" i="6"/>
  <c r="AC3" i="21"/>
  <c r="AI6" i="17"/>
  <c r="A2" i="7"/>
  <c r="Z4" i="17"/>
  <c r="AR9" i="6"/>
  <c r="Z5" i="17"/>
  <c r="F5" i="17"/>
  <c r="P9" i="6"/>
  <c r="K4" i="17"/>
  <c r="W4" i="17"/>
  <c r="K9" i="21"/>
  <c r="AG5" i="17"/>
  <c r="AA9" i="6"/>
  <c r="BB9" i="6"/>
  <c r="AW5" i="17"/>
  <c r="AS9" i="6"/>
  <c r="S6" i="17"/>
  <c r="AE6" i="17"/>
  <c r="E6" i="17"/>
  <c r="N6" i="17"/>
  <c r="AY4" i="17"/>
  <c r="AO4" i="17"/>
  <c r="AB4" i="17"/>
  <c r="S5" i="17"/>
  <c r="S9" i="17" s="1"/>
  <c r="AA5" i="17"/>
  <c r="AA9" i="17" s="1"/>
  <c r="F6" i="17"/>
  <c r="O6" i="17"/>
  <c r="AG6" i="17"/>
  <c r="I4" i="23"/>
  <c r="M5" i="21"/>
  <c r="H2" i="25"/>
  <c r="M2" i="25"/>
  <c r="AJ4" i="17"/>
  <c r="N4" i="17"/>
  <c r="D12" i="20"/>
  <c r="D14" i="20" s="1"/>
  <c r="O5" i="17"/>
  <c r="O9" i="17" s="1"/>
  <c r="AS5" i="17"/>
  <c r="AS9" i="17" s="1"/>
  <c r="AW4" i="17"/>
  <c r="H4" i="17"/>
  <c r="AI3" i="21"/>
  <c r="AI2" i="21"/>
  <c r="D3" i="25"/>
  <c r="E12" i="20"/>
  <c r="E14" i="20" s="1"/>
  <c r="O6" i="24"/>
  <c r="Q6" i="17"/>
  <c r="AP6" i="17"/>
  <c r="AU6" i="17"/>
  <c r="AT6" i="17"/>
  <c r="J6" i="17"/>
  <c r="L6" i="17"/>
  <c r="P6" i="17"/>
  <c r="T6" i="17"/>
  <c r="V6" i="17"/>
  <c r="BB6" i="17"/>
  <c r="AL6" i="17"/>
  <c r="AH6" i="17"/>
  <c r="W6" i="17"/>
  <c r="AW6" i="17"/>
  <c r="G6" i="17"/>
  <c r="Y6" i="17"/>
  <c r="AA6" i="17"/>
  <c r="AS6" i="17"/>
  <c r="D6" i="17"/>
  <c r="AD6" i="17"/>
  <c r="AB6" i="17"/>
  <c r="R6" i="17"/>
  <c r="AC6" i="17"/>
  <c r="I6" i="17"/>
  <c r="X6" i="17"/>
  <c r="AF6" i="17"/>
  <c r="K6" i="17"/>
  <c r="AY6" i="17"/>
  <c r="AK6" i="17"/>
  <c r="AV6" i="17"/>
  <c r="Z6" i="17"/>
  <c r="AQ6" i="17"/>
  <c r="AN6" i="17"/>
  <c r="AX6" i="17"/>
  <c r="C6" i="17"/>
  <c r="AZ6" i="17"/>
  <c r="BA6" i="17"/>
  <c r="AR6" i="17"/>
  <c r="U6" i="17"/>
  <c r="H6" i="17"/>
  <c r="AP4" i="17"/>
  <c r="BA4" i="17"/>
  <c r="F4" i="17"/>
  <c r="AS4" i="17"/>
  <c r="AO9" i="6"/>
  <c r="G5" i="17"/>
  <c r="AP5" i="17"/>
  <c r="L5" i="17"/>
  <c r="C5" i="17"/>
  <c r="AM6" i="17"/>
  <c r="G12" i="20"/>
  <c r="G14" i="20" s="1"/>
  <c r="L9" i="21"/>
  <c r="J4" i="17"/>
  <c r="M4" i="17"/>
  <c r="AL4" i="17"/>
  <c r="E4" i="17"/>
  <c r="G4" i="17"/>
  <c r="AA4" i="17"/>
  <c r="AN4" i="17"/>
  <c r="AD4" i="17"/>
  <c r="S4" i="17"/>
  <c r="AC4" i="17"/>
  <c r="O3" i="7"/>
  <c r="A3" i="7"/>
  <c r="BA5" i="17"/>
  <c r="N9" i="6"/>
  <c r="W9" i="6"/>
  <c r="T9" i="6"/>
  <c r="E5" i="17"/>
  <c r="AH9" i="6"/>
  <c r="N5" i="17"/>
  <c r="AG9" i="6"/>
  <c r="E9" i="6"/>
  <c r="Y5" i="17"/>
  <c r="Y9" i="17" s="1"/>
  <c r="AY5" i="17"/>
  <c r="AI5" i="17"/>
  <c r="X9" i="6"/>
  <c r="AH5" i="17"/>
  <c r="AH9" i="17" s="1"/>
  <c r="AL5" i="17"/>
  <c r="AF5" i="17"/>
  <c r="AF9" i="17" s="1"/>
  <c r="R5" i="17"/>
  <c r="R9" i="17" s="1"/>
  <c r="D5" i="17"/>
  <c r="AK9" i="6"/>
  <c r="AT5" i="17"/>
  <c r="AE9" i="6"/>
  <c r="AZ5" i="17"/>
  <c r="AC5" i="17"/>
  <c r="Q5" i="17"/>
  <c r="Q9" i="17" s="1"/>
  <c r="AD5" i="17"/>
  <c r="I5" i="17"/>
  <c r="AX5" i="17"/>
  <c r="K5" i="17"/>
  <c r="Q9" i="6"/>
  <c r="Y9" i="6"/>
  <c r="H5" i="17"/>
  <c r="O9" i="6"/>
  <c r="AM5" i="17"/>
  <c r="AM9" i="17" s="1"/>
  <c r="AF9" i="6"/>
  <c r="AK5" i="17"/>
  <c r="AK9" i="17" s="1"/>
  <c r="M5" i="17"/>
  <c r="M9" i="17" s="1"/>
  <c r="AJ9" i="6"/>
  <c r="AP9" i="6"/>
  <c r="X5" i="17"/>
  <c r="Z9" i="6"/>
  <c r="AL9" i="6"/>
  <c r="V5" i="17"/>
  <c r="V9" i="17" s="1"/>
  <c r="P5" i="17"/>
  <c r="V9" i="6"/>
  <c r="AU5" i="17"/>
  <c r="AJ5" i="17"/>
  <c r="AJ9" i="17" s="1"/>
  <c r="R9" i="6"/>
  <c r="S9" i="6"/>
  <c r="AO5" i="17"/>
  <c r="AO9" i="17" s="1"/>
  <c r="AB5" i="17"/>
  <c r="U9" i="6"/>
  <c r="C4" i="17"/>
  <c r="C10" i="17" s="1"/>
  <c r="L4" i="17"/>
  <c r="V4" i="17"/>
  <c r="AT4" i="17"/>
  <c r="D4" i="17"/>
  <c r="O4" i="17"/>
  <c r="AR5" i="17"/>
  <c r="AR9" i="17" s="1"/>
  <c r="W5" i="17"/>
  <c r="W9" i="17" s="1"/>
  <c r="T5" i="17"/>
  <c r="T9" i="17" s="1"/>
  <c r="U5" i="17"/>
  <c r="U9" i="17" s="1"/>
  <c r="AQ9" i="6"/>
  <c r="AE5" i="17"/>
  <c r="AE9" i="17" s="1"/>
  <c r="AO6" i="17"/>
  <c r="AI9" i="6"/>
  <c r="M6" i="17"/>
  <c r="AN5" i="17"/>
  <c r="AN9" i="17" s="1"/>
  <c r="AZ4" i="17"/>
  <c r="BB4" i="17"/>
  <c r="AE4" i="17"/>
  <c r="AK4" i="17"/>
  <c r="AQ4" i="17"/>
  <c r="T4" i="17"/>
  <c r="C10" i="6"/>
  <c r="AR4" i="17"/>
  <c r="AM4" i="17"/>
  <c r="X4" i="17"/>
  <c r="U4" i="17"/>
  <c r="AF4" i="17"/>
  <c r="AH4" i="17"/>
  <c r="AG4" i="17"/>
  <c r="Q4" i="17"/>
  <c r="AI4" i="17"/>
  <c r="I4" i="17"/>
  <c r="AX4" i="17"/>
  <c r="AU4" i="17"/>
  <c r="R4" i="17"/>
  <c r="Y4" i="17"/>
  <c r="AV4" i="17"/>
  <c r="P4" i="17"/>
  <c r="L2" i="25"/>
  <c r="Q5" i="21"/>
  <c r="AI5" i="21" s="1"/>
  <c r="J2" i="25"/>
  <c r="O5" i="21"/>
  <c r="AH5" i="21" s="1"/>
  <c r="J5" i="17"/>
  <c r="M9" i="6"/>
  <c r="N2" i="25"/>
  <c r="AG3" i="21"/>
  <c r="V6" i="21"/>
  <c r="AI6" i="21"/>
  <c r="G3" i="25"/>
  <c r="O2" i="7"/>
  <c r="C2" i="25"/>
  <c r="E3" i="25"/>
  <c r="F3" i="25"/>
  <c r="U8" i="21"/>
  <c r="AD6" i="21"/>
  <c r="J8" i="21"/>
  <c r="Z8" i="21" s="1"/>
  <c r="X6" i="21"/>
  <c r="J7" i="21"/>
  <c r="V7" i="21" s="1"/>
  <c r="Q9" i="21"/>
  <c r="W6" i="21"/>
  <c r="AA6" i="21"/>
  <c r="C52" i="20"/>
  <c r="C61" i="20" s="1"/>
  <c r="C36" i="20"/>
  <c r="L13" i="20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K5" i="21"/>
  <c r="F2" i="25"/>
  <c r="T5" i="21"/>
  <c r="U5" i="21"/>
  <c r="AB3" i="21"/>
  <c r="AE3" i="21"/>
  <c r="AF3" i="21"/>
  <c r="AA3" i="21"/>
  <c r="Y3" i="21"/>
  <c r="AJ3" i="21"/>
  <c r="W3" i="21"/>
  <c r="Z3" i="21"/>
  <c r="Y2" i="21"/>
  <c r="Z2" i="21"/>
  <c r="AE2" i="21"/>
  <c r="AA2" i="21"/>
  <c r="W2" i="21"/>
  <c r="AD2" i="21"/>
  <c r="U2" i="21"/>
  <c r="AJ2" i="21"/>
  <c r="AC2" i="21"/>
  <c r="V2" i="21"/>
  <c r="AF2" i="21"/>
  <c r="AB2" i="21"/>
  <c r="X2" i="21"/>
  <c r="V3" i="21"/>
  <c r="AK3" i="21"/>
  <c r="AK2" i="21"/>
  <c r="U3" i="21"/>
  <c r="AG2" i="21"/>
  <c r="J12" i="20"/>
  <c r="C12" i="20"/>
  <c r="C42" i="20" s="1"/>
  <c r="H9" i="21"/>
  <c r="H12" i="21" s="1"/>
  <c r="C3" i="25"/>
  <c r="K3" i="25"/>
  <c r="P9" i="21"/>
  <c r="H3" i="25"/>
  <c r="O2" i="24"/>
  <c r="I13" i="20"/>
  <c r="AG6" i="21"/>
  <c r="U6" i="21"/>
  <c r="U7" i="21"/>
  <c r="Y6" i="21"/>
  <c r="N3" i="25"/>
  <c r="F13" i="20"/>
  <c r="O3" i="20"/>
  <c r="N13" i="20"/>
  <c r="L3" i="25"/>
  <c r="Q11" i="21"/>
  <c r="K10" i="21"/>
  <c r="D12" i="7"/>
  <c r="O4" i="7"/>
  <c r="I3" i="25"/>
  <c r="A4" i="7"/>
  <c r="AK6" i="21"/>
  <c r="AH6" i="21"/>
  <c r="M12" i="20"/>
  <c r="O7" i="24"/>
  <c r="M3" i="25"/>
  <c r="R9" i="21"/>
  <c r="AC6" i="21"/>
  <c r="AB6" i="21"/>
  <c r="AF6" i="21"/>
  <c r="AE6" i="21"/>
  <c r="T6" i="21"/>
  <c r="AJ6" i="21"/>
  <c r="Z6" i="21"/>
  <c r="K13" i="20"/>
  <c r="O5" i="20"/>
  <c r="H12" i="20"/>
  <c r="H13" i="20" s="1"/>
  <c r="O10" i="20"/>
  <c r="AU9" i="17" l="1"/>
  <c r="AU9" i="6"/>
  <c r="D66" i="20"/>
  <c r="E66" i="20" s="1"/>
  <c r="F66" i="20" s="1"/>
  <c r="G66" i="20" s="1"/>
  <c r="H66" i="20" s="1"/>
  <c r="I66" i="20" s="1"/>
  <c r="J66" i="20" s="1"/>
  <c r="K66" i="20" s="1"/>
  <c r="L66" i="20" s="1"/>
  <c r="M66" i="20" s="1"/>
  <c r="N66" i="20" s="1"/>
  <c r="D102" i="6"/>
  <c r="L9" i="7"/>
  <c r="AF51" i="26"/>
  <c r="F50" i="26"/>
  <c r="AF50" i="26"/>
  <c r="V39" i="29"/>
  <c r="V40" i="29" s="1"/>
  <c r="V41" i="29" s="1"/>
  <c r="W41" i="29" s="1"/>
  <c r="X41" i="29" s="1"/>
  <c r="Y41" i="29" s="1"/>
  <c r="Z41" i="29" s="1"/>
  <c r="AA41" i="29" s="1"/>
  <c r="AE39" i="29"/>
  <c r="AE40" i="29" s="1"/>
  <c r="F39" i="29"/>
  <c r="C30" i="20"/>
  <c r="AV7" i="17"/>
  <c r="AV9" i="17" s="1"/>
  <c r="J9" i="6"/>
  <c r="AT9" i="6"/>
  <c r="F9" i="17"/>
  <c r="G20" i="20"/>
  <c r="M14" i="20"/>
  <c r="M20" i="20" s="1"/>
  <c r="H14" i="20"/>
  <c r="H20" i="20" s="1"/>
  <c r="C14" i="20"/>
  <c r="C20" i="20" s="1"/>
  <c r="C22" i="20" s="1"/>
  <c r="D20" i="20"/>
  <c r="E102" i="6"/>
  <c r="J14" i="20"/>
  <c r="J20" i="20" s="1"/>
  <c r="AT9" i="17"/>
  <c r="N13" i="7"/>
  <c r="H9" i="6"/>
  <c r="T7" i="13"/>
  <c r="T15" i="13" s="1"/>
  <c r="H9" i="17"/>
  <c r="F13" i="7"/>
  <c r="W6" i="13"/>
  <c r="U7" i="13"/>
  <c r="U15" i="13" s="1"/>
  <c r="C6" i="6"/>
  <c r="C8" i="6" s="1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AG8" i="6" s="1"/>
  <c r="AH8" i="6" s="1"/>
  <c r="AI8" i="6" s="1"/>
  <c r="AJ8" i="6" s="1"/>
  <c r="AK8" i="6" s="1"/>
  <c r="AL8" i="6" s="1"/>
  <c r="AM8" i="6" s="1"/>
  <c r="AN8" i="6" s="1"/>
  <c r="AO8" i="6" s="1"/>
  <c r="AP8" i="6" s="1"/>
  <c r="AQ8" i="6" s="1"/>
  <c r="AR8" i="6" s="1"/>
  <c r="AS8" i="6" s="1"/>
  <c r="AT8" i="6" s="1"/>
  <c r="AU8" i="6" s="1"/>
  <c r="AV8" i="6" s="1"/>
  <c r="AW8" i="6" s="1"/>
  <c r="AX8" i="6" s="1"/>
  <c r="AY8" i="6" s="1"/>
  <c r="AZ8" i="6" s="1"/>
  <c r="BA8" i="6" s="1"/>
  <c r="BB8" i="6" s="1"/>
  <c r="M9" i="7"/>
  <c r="AW9" i="6"/>
  <c r="AL9" i="17"/>
  <c r="AB9" i="6"/>
  <c r="F9" i="6"/>
  <c r="G108" i="17"/>
  <c r="N7" i="13"/>
  <c r="N15" i="13" s="1"/>
  <c r="U6" i="13"/>
  <c r="AF10" i="21"/>
  <c r="V10" i="21"/>
  <c r="U10" i="21"/>
  <c r="F101" i="6"/>
  <c r="G101" i="6" s="1"/>
  <c r="R7" i="13"/>
  <c r="R15" i="13" s="1"/>
  <c r="O6" i="13"/>
  <c r="J9" i="17"/>
  <c r="J11" i="21"/>
  <c r="L11" i="21" s="1"/>
  <c r="N11" i="21" s="1"/>
  <c r="P11" i="21" s="1"/>
  <c r="R11" i="21" s="1"/>
  <c r="T10" i="21"/>
  <c r="T11" i="21"/>
  <c r="AY9" i="6"/>
  <c r="AX9" i="6"/>
  <c r="BA9" i="6"/>
  <c r="AZ9" i="6"/>
  <c r="T12" i="21"/>
  <c r="J12" i="21"/>
  <c r="L12" i="21" s="1"/>
  <c r="Y12" i="21" s="1"/>
  <c r="U12" i="21"/>
  <c r="N6" i="13"/>
  <c r="T6" i="13"/>
  <c r="Q6" i="13"/>
  <c r="V6" i="13"/>
  <c r="O7" i="13"/>
  <c r="O15" i="13" s="1"/>
  <c r="I9" i="6"/>
  <c r="AD9" i="6"/>
  <c r="N9" i="17"/>
  <c r="G9" i="6"/>
  <c r="G13" i="7"/>
  <c r="AC9" i="6"/>
  <c r="L9" i="17"/>
  <c r="L9" i="6"/>
  <c r="K9" i="6"/>
  <c r="I9" i="7"/>
  <c r="G9" i="17"/>
  <c r="E9" i="7"/>
  <c r="E13" i="6"/>
  <c r="F13" i="6" s="1"/>
  <c r="G13" i="6" s="1"/>
  <c r="H13" i="6" s="1"/>
  <c r="I13" i="6" s="1"/>
  <c r="J13" i="6" s="1"/>
  <c r="K13" i="6" s="1"/>
  <c r="L13" i="6" s="1"/>
  <c r="M13" i="6" s="1"/>
  <c r="N13" i="6" s="1"/>
  <c r="O13" i="6" s="1"/>
  <c r="P13" i="6" s="1"/>
  <c r="Q13" i="6" s="1"/>
  <c r="R13" i="6" s="1"/>
  <c r="S13" i="6" s="1"/>
  <c r="T13" i="6" s="1"/>
  <c r="U13" i="6" s="1"/>
  <c r="V13" i="6" s="1"/>
  <c r="W13" i="6" s="1"/>
  <c r="X13" i="6" s="1"/>
  <c r="Y13" i="6" s="1"/>
  <c r="Z13" i="6" s="1"/>
  <c r="AA13" i="6" s="1"/>
  <c r="AB13" i="6" s="1"/>
  <c r="E13" i="7"/>
  <c r="R6" i="13"/>
  <c r="L13" i="7"/>
  <c r="J78" i="20"/>
  <c r="K78" i="20" s="1"/>
  <c r="L78" i="20" s="1"/>
  <c r="M78" i="20" s="1"/>
  <c r="N78" i="20" s="1"/>
  <c r="I112" i="17"/>
  <c r="E111" i="17"/>
  <c r="N112" i="17"/>
  <c r="K111" i="17"/>
  <c r="M112" i="17"/>
  <c r="O112" i="17"/>
  <c r="L112" i="17"/>
  <c r="H112" i="17"/>
  <c r="D112" i="17"/>
  <c r="D117" i="17" s="1"/>
  <c r="F112" i="17"/>
  <c r="AG9" i="17"/>
  <c r="P9" i="17"/>
  <c r="AP9" i="17"/>
  <c r="X9" i="17"/>
  <c r="AC9" i="17"/>
  <c r="AI9" i="17"/>
  <c r="Z9" i="17"/>
  <c r="F67" i="20"/>
  <c r="G67" i="20" s="1"/>
  <c r="H67" i="20" s="1"/>
  <c r="I67" i="20" s="1"/>
  <c r="J67" i="20" s="1"/>
  <c r="K67" i="20" s="1"/>
  <c r="L67" i="20" s="1"/>
  <c r="M67" i="20" s="1"/>
  <c r="N67" i="20" s="1"/>
  <c r="C5" i="6"/>
  <c r="C9" i="6" s="1"/>
  <c r="C104" i="6"/>
  <c r="AO8" i="17"/>
  <c r="AB7" i="17"/>
  <c r="AB9" i="17" s="1"/>
  <c r="I8" i="17"/>
  <c r="D8" i="17"/>
  <c r="I100" i="6"/>
  <c r="H8" i="17"/>
  <c r="D13" i="7"/>
  <c r="S7" i="13"/>
  <c r="S15" i="13" s="1"/>
  <c r="S6" i="13"/>
  <c r="X6" i="13"/>
  <c r="X7" i="13"/>
  <c r="X15" i="13" s="1"/>
  <c r="D9" i="7"/>
  <c r="K7" i="17"/>
  <c r="K9" i="17" s="1"/>
  <c r="AD7" i="17"/>
  <c r="AD9" i="17" s="1"/>
  <c r="Y4" i="13"/>
  <c r="M6" i="13"/>
  <c r="M7" i="13"/>
  <c r="Y5" i="13"/>
  <c r="AN8" i="17"/>
  <c r="X8" i="17"/>
  <c r="Y3" i="13"/>
  <c r="K13" i="7"/>
  <c r="P7" i="13"/>
  <c r="P15" i="13" s="1"/>
  <c r="P6" i="13"/>
  <c r="Y2" i="13"/>
  <c r="D105" i="6"/>
  <c r="E105" i="6" s="1"/>
  <c r="F105" i="6" s="1"/>
  <c r="G105" i="6" s="1"/>
  <c r="H105" i="6" s="1"/>
  <c r="I105" i="6" s="1"/>
  <c r="J105" i="6" s="1"/>
  <c r="K105" i="6" s="1"/>
  <c r="L105" i="6" s="1"/>
  <c r="M105" i="6" s="1"/>
  <c r="N105" i="6" s="1"/>
  <c r="O105" i="6" s="1"/>
  <c r="P105" i="6" s="1"/>
  <c r="Q105" i="6" s="1"/>
  <c r="R105" i="6" s="1"/>
  <c r="S105" i="6" s="1"/>
  <c r="T105" i="6" s="1"/>
  <c r="U105" i="6" s="1"/>
  <c r="V105" i="6" s="1"/>
  <c r="W105" i="6" s="1"/>
  <c r="X105" i="6" s="1"/>
  <c r="Y105" i="6" s="1"/>
  <c r="Z105" i="6" s="1"/>
  <c r="AA105" i="6" s="1"/>
  <c r="AB105" i="6" s="1"/>
  <c r="AC105" i="6" s="1"/>
  <c r="AD105" i="6" s="1"/>
  <c r="AE105" i="6" s="1"/>
  <c r="AF105" i="6" s="1"/>
  <c r="AG105" i="6" s="1"/>
  <c r="AH105" i="6" s="1"/>
  <c r="AI105" i="6" s="1"/>
  <c r="AJ105" i="6" s="1"/>
  <c r="AK105" i="6" s="1"/>
  <c r="AL105" i="6" s="1"/>
  <c r="AM105" i="6" s="1"/>
  <c r="AN105" i="6" s="1"/>
  <c r="AO105" i="6" s="1"/>
  <c r="AP105" i="6" s="1"/>
  <c r="AQ105" i="6" s="1"/>
  <c r="AR105" i="6" s="1"/>
  <c r="AS105" i="6" s="1"/>
  <c r="AT105" i="6" s="1"/>
  <c r="AU105" i="6" s="1"/>
  <c r="AV105" i="6" s="1"/>
  <c r="AW105" i="6" s="1"/>
  <c r="AX105" i="6" s="1"/>
  <c r="AY105" i="6" s="1"/>
  <c r="AZ105" i="6" s="1"/>
  <c r="BA105" i="6" s="1"/>
  <c r="BB105" i="6" s="1"/>
  <c r="E27" i="20"/>
  <c r="E26" i="20"/>
  <c r="F26" i="20" s="1"/>
  <c r="G26" i="20" s="1"/>
  <c r="H26" i="20" s="1"/>
  <c r="I26" i="20" s="1"/>
  <c r="J26" i="20" s="1"/>
  <c r="K26" i="20" s="1"/>
  <c r="L26" i="20" s="1"/>
  <c r="M26" i="20" s="1"/>
  <c r="N26" i="20" s="1"/>
  <c r="F27" i="20"/>
  <c r="C12" i="6"/>
  <c r="D12" i="6" s="1"/>
  <c r="E12" i="6" s="1"/>
  <c r="F12" i="6" s="1"/>
  <c r="G12" i="6" s="1"/>
  <c r="H12" i="6" s="1"/>
  <c r="I12" i="6" s="1"/>
  <c r="J12" i="6" s="1"/>
  <c r="K12" i="6" s="1"/>
  <c r="L12" i="6" s="1"/>
  <c r="M12" i="6" s="1"/>
  <c r="N12" i="6" s="1"/>
  <c r="O12" i="6" s="1"/>
  <c r="P12" i="6" s="1"/>
  <c r="Q12" i="6" s="1"/>
  <c r="R12" i="6" s="1"/>
  <c r="S12" i="6" s="1"/>
  <c r="T12" i="6" s="1"/>
  <c r="U12" i="6" s="1"/>
  <c r="V12" i="6" s="1"/>
  <c r="W12" i="6" s="1"/>
  <c r="X12" i="6" s="1"/>
  <c r="Y12" i="6" s="1"/>
  <c r="Z12" i="6" s="1"/>
  <c r="AA12" i="6" s="1"/>
  <c r="AB12" i="6" s="1"/>
  <c r="AC12" i="6" s="1"/>
  <c r="AD12" i="6" s="1"/>
  <c r="AE12" i="6" s="1"/>
  <c r="AF12" i="6" s="1"/>
  <c r="AG12" i="6" s="1"/>
  <c r="AH12" i="6" s="1"/>
  <c r="AI12" i="6" s="1"/>
  <c r="AJ12" i="6" s="1"/>
  <c r="AK12" i="6" s="1"/>
  <c r="AL12" i="6" s="1"/>
  <c r="AM12" i="6" s="1"/>
  <c r="AN12" i="6" s="1"/>
  <c r="AO12" i="6" s="1"/>
  <c r="AP12" i="6" s="1"/>
  <c r="AQ12" i="6" s="1"/>
  <c r="AR12" i="6" s="1"/>
  <c r="AS12" i="6" s="1"/>
  <c r="AT12" i="6" s="1"/>
  <c r="AU12" i="6" s="1"/>
  <c r="AV12" i="6" s="1"/>
  <c r="AW12" i="6" s="1"/>
  <c r="AX12" i="6" s="1"/>
  <c r="AY12" i="6" s="1"/>
  <c r="AZ12" i="6" s="1"/>
  <c r="BA12" i="6" s="1"/>
  <c r="BB12" i="6" s="1"/>
  <c r="D58" i="20"/>
  <c r="V5" i="21"/>
  <c r="E13" i="20"/>
  <c r="E8" i="7"/>
  <c r="AH9" i="21"/>
  <c r="D42" i="20"/>
  <c r="E42" i="20" s="1"/>
  <c r="F42" i="20" s="1"/>
  <c r="G42" i="20" s="1"/>
  <c r="H42" i="20" s="1"/>
  <c r="I42" i="20" s="1"/>
  <c r="J42" i="20" s="1"/>
  <c r="K42" i="20" s="1"/>
  <c r="L42" i="20" s="1"/>
  <c r="M42" i="20" s="1"/>
  <c r="N42" i="20" s="1"/>
  <c r="AC8" i="21"/>
  <c r="D13" i="20"/>
  <c r="A6" i="17"/>
  <c r="B22" i="17" s="1"/>
  <c r="AF7" i="21"/>
  <c r="AD8" i="21"/>
  <c r="AJ8" i="21"/>
  <c r="D10" i="17"/>
  <c r="E10" i="17" s="1"/>
  <c r="F10" i="17" s="1"/>
  <c r="G10" i="17" s="1"/>
  <c r="H10" i="17" s="1"/>
  <c r="I10" i="17" s="1"/>
  <c r="J10" i="17" s="1"/>
  <c r="K10" i="17" s="1"/>
  <c r="L10" i="17" s="1"/>
  <c r="M10" i="17" s="1"/>
  <c r="N10" i="17" s="1"/>
  <c r="O10" i="17" s="1"/>
  <c r="P10" i="17" s="1"/>
  <c r="Q10" i="17" s="1"/>
  <c r="R10" i="17" s="1"/>
  <c r="S10" i="17" s="1"/>
  <c r="T10" i="17" s="1"/>
  <c r="U10" i="17" s="1"/>
  <c r="V10" i="17" s="1"/>
  <c r="W10" i="17" s="1"/>
  <c r="X10" i="17" s="1"/>
  <c r="Y10" i="17" s="1"/>
  <c r="Z10" i="17" s="1"/>
  <c r="AA10" i="17" s="1"/>
  <c r="AB10" i="17" s="1"/>
  <c r="AC10" i="17" s="1"/>
  <c r="AD10" i="17" s="1"/>
  <c r="AE10" i="17" s="1"/>
  <c r="AF10" i="17" s="1"/>
  <c r="AG10" i="17" s="1"/>
  <c r="AH10" i="17" s="1"/>
  <c r="AI10" i="17" s="1"/>
  <c r="AJ10" i="17" s="1"/>
  <c r="AK10" i="17" s="1"/>
  <c r="AL10" i="17" s="1"/>
  <c r="AM10" i="17" s="1"/>
  <c r="AN10" i="17" s="1"/>
  <c r="AO10" i="17" s="1"/>
  <c r="AP10" i="17" s="1"/>
  <c r="AQ10" i="17" s="1"/>
  <c r="AR10" i="17" s="1"/>
  <c r="AS10" i="17" s="1"/>
  <c r="AT10" i="17" s="1"/>
  <c r="AU10" i="17" s="1"/>
  <c r="AV10" i="17" s="1"/>
  <c r="D55" i="20"/>
  <c r="A4" i="17"/>
  <c r="AA8" i="21"/>
  <c r="O2" i="25"/>
  <c r="AK5" i="21"/>
  <c r="C11" i="6"/>
  <c r="D11" i="6" s="1"/>
  <c r="E11" i="6" s="1"/>
  <c r="F11" i="6" s="1"/>
  <c r="G11" i="6" s="1"/>
  <c r="H11" i="6" s="1"/>
  <c r="I11" i="6" s="1"/>
  <c r="J11" i="6" s="1"/>
  <c r="K11" i="6" s="1"/>
  <c r="L11" i="6" s="1"/>
  <c r="M11" i="6" s="1"/>
  <c r="N11" i="6" s="1"/>
  <c r="O11" i="6" s="1"/>
  <c r="P11" i="6" s="1"/>
  <c r="Q11" i="6" s="1"/>
  <c r="R11" i="6" s="1"/>
  <c r="S11" i="6" s="1"/>
  <c r="T11" i="6" s="1"/>
  <c r="U11" i="6" s="1"/>
  <c r="V11" i="6" s="1"/>
  <c r="W11" i="6" s="1"/>
  <c r="X11" i="6" s="1"/>
  <c r="Y11" i="6" s="1"/>
  <c r="Z11" i="6" s="1"/>
  <c r="AA11" i="6" s="1"/>
  <c r="AB11" i="6" s="1"/>
  <c r="AC11" i="6" s="1"/>
  <c r="AD11" i="6" s="1"/>
  <c r="AE11" i="6" s="1"/>
  <c r="AF11" i="6" s="1"/>
  <c r="AG11" i="6" s="1"/>
  <c r="AH11" i="6" s="1"/>
  <c r="AI11" i="6" s="1"/>
  <c r="AJ11" i="6" s="1"/>
  <c r="AK11" i="6" s="1"/>
  <c r="AL11" i="6" s="1"/>
  <c r="AM11" i="6" s="1"/>
  <c r="AN11" i="6" s="1"/>
  <c r="AO11" i="6" s="1"/>
  <c r="AP11" i="6" s="1"/>
  <c r="AQ11" i="6" s="1"/>
  <c r="AR11" i="6" s="1"/>
  <c r="AS11" i="6" s="1"/>
  <c r="AT11" i="6" s="1"/>
  <c r="AU11" i="6" s="1"/>
  <c r="AV11" i="6" s="1"/>
  <c r="AW11" i="6" s="1"/>
  <c r="AX11" i="6" s="1"/>
  <c r="AY11" i="6" s="1"/>
  <c r="AZ11" i="6" s="1"/>
  <c r="BA11" i="6" s="1"/>
  <c r="BB11" i="6" s="1"/>
  <c r="G13" i="20"/>
  <c r="Z9" i="21"/>
  <c r="AJ5" i="21"/>
  <c r="D10" i="6"/>
  <c r="E10" i="6" s="1"/>
  <c r="F10" i="6" s="1"/>
  <c r="G10" i="6" s="1"/>
  <c r="H10" i="6" s="1"/>
  <c r="I10" i="6" s="1"/>
  <c r="J10" i="6" s="1"/>
  <c r="K10" i="6" s="1"/>
  <c r="L10" i="6" s="1"/>
  <c r="M10" i="6" s="1"/>
  <c r="N10" i="6" s="1"/>
  <c r="O10" i="6" s="1"/>
  <c r="P10" i="6" s="1"/>
  <c r="Q10" i="6" s="1"/>
  <c r="R10" i="6" s="1"/>
  <c r="S10" i="6" s="1"/>
  <c r="T10" i="6" s="1"/>
  <c r="U10" i="6" s="1"/>
  <c r="V10" i="6" s="1"/>
  <c r="W10" i="6" s="1"/>
  <c r="X10" i="6" s="1"/>
  <c r="Y10" i="6" s="1"/>
  <c r="Z10" i="6" s="1"/>
  <c r="AA10" i="6" s="1"/>
  <c r="AB10" i="6" s="1"/>
  <c r="AC10" i="6" s="1"/>
  <c r="AD10" i="6" s="1"/>
  <c r="AE10" i="6" s="1"/>
  <c r="AF10" i="6" s="1"/>
  <c r="AG10" i="6" s="1"/>
  <c r="AH10" i="6" s="1"/>
  <c r="AI10" i="6" s="1"/>
  <c r="AJ10" i="6" s="1"/>
  <c r="AK10" i="6" s="1"/>
  <c r="AL10" i="6" s="1"/>
  <c r="AM10" i="6" s="1"/>
  <c r="AN10" i="6" s="1"/>
  <c r="AO10" i="6" s="1"/>
  <c r="AP10" i="6" s="1"/>
  <c r="AQ10" i="6" s="1"/>
  <c r="AR10" i="6" s="1"/>
  <c r="AS10" i="6" s="1"/>
  <c r="AT10" i="6" s="1"/>
  <c r="AU10" i="6" s="1"/>
  <c r="AV10" i="6" s="1"/>
  <c r="AW10" i="6" s="1"/>
  <c r="AX10" i="6" s="1"/>
  <c r="AY10" i="6" s="1"/>
  <c r="AZ10" i="6" s="1"/>
  <c r="BA10" i="6" s="1"/>
  <c r="BB10" i="6" s="1"/>
  <c r="AG9" i="21"/>
  <c r="I9" i="17"/>
  <c r="L7" i="21"/>
  <c r="Y7" i="21" s="1"/>
  <c r="A2" i="6"/>
  <c r="AB8" i="21"/>
  <c r="AC5" i="21"/>
  <c r="X5" i="21"/>
  <c r="E9" i="17"/>
  <c r="A5" i="17"/>
  <c r="P7" i="24"/>
  <c r="B8" i="24" s="1"/>
  <c r="V8" i="21"/>
  <c r="AB5" i="21"/>
  <c r="D9" i="6"/>
  <c r="D9" i="17"/>
  <c r="C11" i="17"/>
  <c r="D11" i="17" s="1"/>
  <c r="E11" i="17" s="1"/>
  <c r="F11" i="17" s="1"/>
  <c r="G11" i="17" s="1"/>
  <c r="H11" i="17" s="1"/>
  <c r="I11" i="17" s="1"/>
  <c r="J11" i="17" s="1"/>
  <c r="K11" i="17" s="1"/>
  <c r="L11" i="17" s="1"/>
  <c r="M11" i="17" s="1"/>
  <c r="N11" i="17" s="1"/>
  <c r="O11" i="17" s="1"/>
  <c r="P11" i="17" s="1"/>
  <c r="Q11" i="17" s="1"/>
  <c r="R11" i="17" s="1"/>
  <c r="S11" i="17" s="1"/>
  <c r="T11" i="17" s="1"/>
  <c r="U11" i="17" s="1"/>
  <c r="V11" i="17" s="1"/>
  <c r="W11" i="17" s="1"/>
  <c r="X11" i="17" s="1"/>
  <c r="Y11" i="17" s="1"/>
  <c r="Z11" i="17" s="1"/>
  <c r="AA11" i="17" s="1"/>
  <c r="AB11" i="17" s="1"/>
  <c r="AC11" i="17" s="1"/>
  <c r="AD11" i="17" s="1"/>
  <c r="AE11" i="17" s="1"/>
  <c r="AF11" i="17" s="1"/>
  <c r="AG11" i="17" s="1"/>
  <c r="AH11" i="17" s="1"/>
  <c r="AI11" i="17" s="1"/>
  <c r="AJ11" i="17" s="1"/>
  <c r="AK11" i="17" s="1"/>
  <c r="AL11" i="17" s="1"/>
  <c r="AM11" i="17" s="1"/>
  <c r="AN11" i="17" s="1"/>
  <c r="AO11" i="17" s="1"/>
  <c r="AP11" i="17" s="1"/>
  <c r="AQ11" i="17" s="1"/>
  <c r="AR11" i="17" s="1"/>
  <c r="AS11" i="17" s="1"/>
  <c r="AT11" i="17" s="1"/>
  <c r="AU11" i="17" s="1"/>
  <c r="AV11" i="17" s="1"/>
  <c r="C13" i="17"/>
  <c r="D13" i="17" s="1"/>
  <c r="E13" i="17" s="1"/>
  <c r="F13" i="17" s="1"/>
  <c r="G13" i="17" s="1"/>
  <c r="H13" i="17" s="1"/>
  <c r="I13" i="17" s="1"/>
  <c r="J13" i="17" s="1"/>
  <c r="K13" i="17" s="1"/>
  <c r="L13" i="17" s="1"/>
  <c r="M13" i="17" s="1"/>
  <c r="N13" i="17" s="1"/>
  <c r="O13" i="17" s="1"/>
  <c r="P13" i="17" s="1"/>
  <c r="Q13" i="17" s="1"/>
  <c r="R13" i="17" s="1"/>
  <c r="S13" i="17" s="1"/>
  <c r="T13" i="17" s="1"/>
  <c r="U13" i="17" s="1"/>
  <c r="V13" i="17" s="1"/>
  <c r="W13" i="17" s="1"/>
  <c r="X13" i="17" s="1"/>
  <c r="Y13" i="17" s="1"/>
  <c r="Z13" i="17" s="1"/>
  <c r="AA13" i="17" s="1"/>
  <c r="AB13" i="17" s="1"/>
  <c r="AC13" i="17" s="1"/>
  <c r="AD13" i="17" s="1"/>
  <c r="AE13" i="17" s="1"/>
  <c r="AF13" i="17" s="1"/>
  <c r="AG13" i="17" s="1"/>
  <c r="AH13" i="17" s="1"/>
  <c r="AI13" i="17" s="1"/>
  <c r="AJ13" i="17" s="1"/>
  <c r="AK13" i="17" s="1"/>
  <c r="AL13" i="17" s="1"/>
  <c r="AM13" i="17" s="1"/>
  <c r="AN13" i="17" s="1"/>
  <c r="AO13" i="17" s="1"/>
  <c r="AP13" i="17" s="1"/>
  <c r="AQ13" i="17" s="1"/>
  <c r="AR13" i="17" s="1"/>
  <c r="AS13" i="17" s="1"/>
  <c r="AT13" i="17" s="1"/>
  <c r="AU13" i="17" s="1"/>
  <c r="AV13" i="17" s="1"/>
  <c r="AW13" i="17" s="1"/>
  <c r="AX13" i="17" s="1"/>
  <c r="AY13" i="17" s="1"/>
  <c r="AZ13" i="17" s="1"/>
  <c r="BA13" i="17" s="1"/>
  <c r="BB13" i="17" s="1"/>
  <c r="C12" i="17"/>
  <c r="D12" i="17" s="1"/>
  <c r="E12" i="17" s="1"/>
  <c r="F12" i="17" s="1"/>
  <c r="G12" i="17" s="1"/>
  <c r="H12" i="17" s="1"/>
  <c r="I12" i="17" s="1"/>
  <c r="J12" i="17" s="1"/>
  <c r="K12" i="17" s="1"/>
  <c r="L12" i="17" s="1"/>
  <c r="M12" i="17" s="1"/>
  <c r="N12" i="17" s="1"/>
  <c r="O12" i="17" s="1"/>
  <c r="P12" i="17" s="1"/>
  <c r="Q12" i="17" s="1"/>
  <c r="R12" i="17" s="1"/>
  <c r="S12" i="17" s="1"/>
  <c r="T12" i="17" s="1"/>
  <c r="U12" i="17" s="1"/>
  <c r="V12" i="17" s="1"/>
  <c r="W12" i="17" s="1"/>
  <c r="X12" i="17" s="1"/>
  <c r="Y12" i="17" s="1"/>
  <c r="Z12" i="17" s="1"/>
  <c r="AA12" i="17" s="1"/>
  <c r="AB12" i="17" s="1"/>
  <c r="AC12" i="17" s="1"/>
  <c r="AD12" i="17" s="1"/>
  <c r="AE12" i="17" s="1"/>
  <c r="AF12" i="17" s="1"/>
  <c r="AG12" i="17" s="1"/>
  <c r="AH12" i="17" s="1"/>
  <c r="AI12" i="17" s="1"/>
  <c r="AJ12" i="17" s="1"/>
  <c r="AK12" i="17" s="1"/>
  <c r="AL12" i="17" s="1"/>
  <c r="AM12" i="17" s="1"/>
  <c r="AN12" i="17" s="1"/>
  <c r="AO12" i="17" s="1"/>
  <c r="AP12" i="17" s="1"/>
  <c r="AQ12" i="17" s="1"/>
  <c r="AR12" i="17" s="1"/>
  <c r="AS12" i="17" s="1"/>
  <c r="AT12" i="17" s="1"/>
  <c r="AU12" i="17" s="1"/>
  <c r="AV12" i="17" s="1"/>
  <c r="AF8" i="21"/>
  <c r="Y8" i="21"/>
  <c r="W8" i="21"/>
  <c r="AE8" i="21"/>
  <c r="AB9" i="21"/>
  <c r="W7" i="21"/>
  <c r="X8" i="21"/>
  <c r="Y9" i="21"/>
  <c r="AI9" i="21"/>
  <c r="E58" i="20"/>
  <c r="D52" i="20"/>
  <c r="AA9" i="21"/>
  <c r="X9" i="21"/>
  <c r="W9" i="21"/>
  <c r="T9" i="21"/>
  <c r="V9" i="21"/>
  <c r="AG5" i="21"/>
  <c r="AA5" i="21"/>
  <c r="AF9" i="21"/>
  <c r="AD9" i="21"/>
  <c r="AC9" i="21"/>
  <c r="AE5" i="21"/>
  <c r="AD5" i="21"/>
  <c r="W5" i="21"/>
  <c r="J13" i="20"/>
  <c r="U9" i="21"/>
  <c r="AJ9" i="21"/>
  <c r="Z5" i="21"/>
  <c r="Y5" i="21"/>
  <c r="O3" i="25"/>
  <c r="O12" i="20"/>
  <c r="E12" i="7"/>
  <c r="S11" i="21"/>
  <c r="M10" i="21"/>
  <c r="O10" i="21" s="1"/>
  <c r="W10" i="21"/>
  <c r="C33" i="20"/>
  <c r="E20" i="20"/>
  <c r="X10" i="21"/>
  <c r="M13" i="20"/>
  <c r="AK9" i="21"/>
  <c r="AE9" i="21"/>
  <c r="O4" i="20"/>
  <c r="C13" i="20"/>
  <c r="C48" i="20" s="1"/>
  <c r="C15" i="20"/>
  <c r="C39" i="20" l="1"/>
  <c r="D22" i="20"/>
  <c r="E22" i="20" s="1"/>
  <c r="F22" i="20" s="1"/>
  <c r="G22" i="20" s="1"/>
  <c r="H22" i="20" s="1"/>
  <c r="I22" i="20" s="1"/>
  <c r="J22" i="20" s="1"/>
  <c r="K22" i="20" s="1"/>
  <c r="L22" i="20" s="1"/>
  <c r="M22" i="20" s="1"/>
  <c r="N22" i="20" s="1"/>
  <c r="C8" i="17"/>
  <c r="C13" i="7"/>
  <c r="C14" i="7" s="1"/>
  <c r="D14" i="7" s="1"/>
  <c r="AH11" i="21"/>
  <c r="AI11" i="21"/>
  <c r="AC11" i="21"/>
  <c r="AF11" i="21"/>
  <c r="AA11" i="21"/>
  <c r="AB11" i="21"/>
  <c r="AD11" i="21"/>
  <c r="AJ11" i="21"/>
  <c r="Z11" i="21"/>
  <c r="Y11" i="21"/>
  <c r="X11" i="21"/>
  <c r="V11" i="21"/>
  <c r="F102" i="6"/>
  <c r="W11" i="21"/>
  <c r="AG11" i="21"/>
  <c r="W12" i="21"/>
  <c r="V12" i="21"/>
  <c r="AF12" i="21"/>
  <c r="X12" i="21"/>
  <c r="AG12" i="21"/>
  <c r="AJ12" i="21"/>
  <c r="N12" i="21"/>
  <c r="Z12" i="21" s="1"/>
  <c r="E116" i="17"/>
  <c r="F117" i="17" s="1"/>
  <c r="G113" i="17" s="1"/>
  <c r="H117" i="17" s="1"/>
  <c r="I117" i="17" s="1"/>
  <c r="J117" i="17" s="1"/>
  <c r="K116" i="17" s="1"/>
  <c r="L117" i="17" s="1"/>
  <c r="M117" i="17" s="1"/>
  <c r="N117" i="17" s="1"/>
  <c r="O117" i="17" s="1"/>
  <c r="J100" i="6"/>
  <c r="D104" i="6"/>
  <c r="C106" i="6"/>
  <c r="M15" i="13"/>
  <c r="Y15" i="13" s="1"/>
  <c r="Y7" i="13"/>
  <c r="H101" i="6"/>
  <c r="G102" i="6"/>
  <c r="C9" i="7"/>
  <c r="C10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AI7" i="6" s="1"/>
  <c r="AJ7" i="6" s="1"/>
  <c r="AK7" i="6" s="1"/>
  <c r="AL7" i="6" s="1"/>
  <c r="AM7" i="6" s="1"/>
  <c r="AN7" i="6" s="1"/>
  <c r="AO7" i="6" s="1"/>
  <c r="AP7" i="6" s="1"/>
  <c r="AQ7" i="6" s="1"/>
  <c r="AR7" i="6" s="1"/>
  <c r="AS7" i="6" s="1"/>
  <c r="AT7" i="6" s="1"/>
  <c r="AU7" i="6" s="1"/>
  <c r="AV7" i="6" s="1"/>
  <c r="AW7" i="6" s="1"/>
  <c r="AX7" i="6" s="1"/>
  <c r="AY7" i="6" s="1"/>
  <c r="AZ7" i="6" s="1"/>
  <c r="BA7" i="6" s="1"/>
  <c r="BB7" i="6" s="1"/>
  <c r="C7" i="17"/>
  <c r="C9" i="17" s="1"/>
  <c r="Y6" i="13"/>
  <c r="G27" i="20"/>
  <c r="AC13" i="6"/>
  <c r="AD13" i="6" s="1"/>
  <c r="AE13" i="6" s="1"/>
  <c r="AF13" i="6" s="1"/>
  <c r="AG13" i="6" s="1"/>
  <c r="AH13" i="6" s="1"/>
  <c r="AI13" i="6" s="1"/>
  <c r="AJ13" i="6" s="1"/>
  <c r="AK13" i="6" s="1"/>
  <c r="AL13" i="6" s="1"/>
  <c r="AM13" i="6" s="1"/>
  <c r="AN13" i="6" s="1"/>
  <c r="AO13" i="6" s="1"/>
  <c r="AP13" i="6" s="1"/>
  <c r="AQ13" i="6" s="1"/>
  <c r="AR13" i="6" s="1"/>
  <c r="AS13" i="6" s="1"/>
  <c r="AT13" i="6" s="1"/>
  <c r="AU13" i="6" s="1"/>
  <c r="AV13" i="6" s="1"/>
  <c r="AW13" i="6" s="1"/>
  <c r="AX13" i="6" s="1"/>
  <c r="AY13" i="6" s="1"/>
  <c r="AZ13" i="6" s="1"/>
  <c r="BA13" i="6" s="1"/>
  <c r="BB13" i="6" s="1"/>
  <c r="F8" i="7"/>
  <c r="G8" i="7" s="1"/>
  <c r="H8" i="7" s="1"/>
  <c r="D30" i="20"/>
  <c r="D61" i="20"/>
  <c r="D48" i="20"/>
  <c r="E48" i="20" s="1"/>
  <c r="F48" i="20" s="1"/>
  <c r="G48" i="20" s="1"/>
  <c r="H48" i="20" s="1"/>
  <c r="I48" i="20" s="1"/>
  <c r="J48" i="20" s="1"/>
  <c r="K48" i="20" s="1"/>
  <c r="L48" i="20" s="1"/>
  <c r="M48" i="20" s="1"/>
  <c r="N48" i="20" s="1"/>
  <c r="AG7" i="21"/>
  <c r="N7" i="21"/>
  <c r="AA7" i="21" s="1"/>
  <c r="AJ7" i="21"/>
  <c r="X7" i="21"/>
  <c r="E55" i="20"/>
  <c r="AG10" i="21"/>
  <c r="Y10" i="21"/>
  <c r="AA10" i="21"/>
  <c r="E52" i="20"/>
  <c r="D36" i="20"/>
  <c r="F58" i="20"/>
  <c r="AB10" i="21"/>
  <c r="O14" i="20"/>
  <c r="Z10" i="21"/>
  <c r="E30" i="20"/>
  <c r="D33" i="20"/>
  <c r="O13" i="20"/>
  <c r="B16" i="20" s="1"/>
  <c r="B15" i="20"/>
  <c r="D15" i="20"/>
  <c r="E15" i="20" s="1"/>
  <c r="F15" i="20" s="1"/>
  <c r="G15" i="20" s="1"/>
  <c r="H15" i="20" s="1"/>
  <c r="I15" i="20" s="1"/>
  <c r="J15" i="20" s="1"/>
  <c r="K15" i="20" s="1"/>
  <c r="L15" i="20" s="1"/>
  <c r="M15" i="20" s="1"/>
  <c r="N15" i="20" s="1"/>
  <c r="Q10" i="21"/>
  <c r="AH10" i="21"/>
  <c r="AE11" i="21"/>
  <c r="AK11" i="21"/>
  <c r="F12" i="7"/>
  <c r="AJ10" i="21"/>
  <c r="O20" i="20"/>
  <c r="H7" i="19" s="1"/>
  <c r="C15" i="7" l="1"/>
  <c r="B14" i="20"/>
  <c r="P12" i="21"/>
  <c r="R12" i="21" s="1"/>
  <c r="AI12" i="21" s="1"/>
  <c r="AA12" i="21"/>
  <c r="D106" i="6"/>
  <c r="E104" i="6"/>
  <c r="D10" i="7"/>
  <c r="C11" i="7"/>
  <c r="K100" i="6"/>
  <c r="I101" i="6"/>
  <c r="H102" i="6"/>
  <c r="E14" i="7"/>
  <c r="D15" i="7"/>
  <c r="H27" i="20"/>
  <c r="D39" i="20"/>
  <c r="Z7" i="21"/>
  <c r="P7" i="21"/>
  <c r="R7" i="21" s="1"/>
  <c r="AI7" i="21" s="1"/>
  <c r="F55" i="20"/>
  <c r="E61" i="20"/>
  <c r="I8" i="7"/>
  <c r="E36" i="20"/>
  <c r="F52" i="20"/>
  <c r="G58" i="20"/>
  <c r="F30" i="20"/>
  <c r="G12" i="7"/>
  <c r="S10" i="21"/>
  <c r="AE10" i="21" s="1"/>
  <c r="AC10" i="21"/>
  <c r="AD10" i="21"/>
  <c r="E33" i="20"/>
  <c r="E39" i="20" s="1"/>
  <c r="Q14" i="20"/>
  <c r="I7" i="19"/>
  <c r="H6" i="19"/>
  <c r="I6" i="19" s="1"/>
  <c r="AK12" i="21" l="1"/>
  <c r="AC12" i="21"/>
  <c r="AH12" i="21"/>
  <c r="AB12" i="21"/>
  <c r="AD12" i="21"/>
  <c r="AE12" i="21"/>
  <c r="F14" i="7"/>
  <c r="E15" i="7"/>
  <c r="E10" i="7"/>
  <c r="D11" i="7"/>
  <c r="F104" i="6"/>
  <c r="E106" i="6"/>
  <c r="J101" i="6"/>
  <c r="I102" i="6"/>
  <c r="L100" i="6"/>
  <c r="I27" i="20"/>
  <c r="F61" i="20"/>
  <c r="AC7" i="21"/>
  <c r="AD7" i="21"/>
  <c r="AE7" i="21"/>
  <c r="AB7" i="21"/>
  <c r="AH7" i="21"/>
  <c r="AK7" i="21"/>
  <c r="G55" i="20"/>
  <c r="J8" i="7"/>
  <c r="F36" i="20"/>
  <c r="G52" i="20"/>
  <c r="H58" i="20"/>
  <c r="G30" i="20"/>
  <c r="AK10" i="21"/>
  <c r="AI10" i="21"/>
  <c r="F33" i="20"/>
  <c r="F39" i="20" s="1"/>
  <c r="H12" i="7"/>
  <c r="G14" i="7" l="1"/>
  <c r="F15" i="7"/>
  <c r="K101" i="6"/>
  <c r="J102" i="6"/>
  <c r="F106" i="6"/>
  <c r="G104" i="6"/>
  <c r="F10" i="7"/>
  <c r="E11" i="7"/>
  <c r="M100" i="6"/>
  <c r="J27" i="20"/>
  <c r="G61" i="20"/>
  <c r="H55" i="20"/>
  <c r="K8" i="7"/>
  <c r="H52" i="20"/>
  <c r="I58" i="20"/>
  <c r="G36" i="20"/>
  <c r="H30" i="20"/>
  <c r="G33" i="20"/>
  <c r="G39" i="20" s="1"/>
  <c r="I12" i="7"/>
  <c r="L101" i="6" l="1"/>
  <c r="K102" i="6"/>
  <c r="N100" i="6"/>
  <c r="H14" i="7"/>
  <c r="G15" i="7"/>
  <c r="G10" i="7"/>
  <c r="F11" i="7"/>
  <c r="H104" i="6"/>
  <c r="G106" i="6"/>
  <c r="K27" i="20"/>
  <c r="H61" i="20"/>
  <c r="I55" i="20"/>
  <c r="L8" i="7"/>
  <c r="J58" i="20"/>
  <c r="H36" i="20"/>
  <c r="I52" i="20"/>
  <c r="I30" i="20"/>
  <c r="H33" i="20"/>
  <c r="H39" i="20" s="1"/>
  <c r="J12" i="7"/>
  <c r="I104" i="6" l="1"/>
  <c r="H106" i="6"/>
  <c r="M101" i="6"/>
  <c r="L102" i="6"/>
  <c r="H10" i="7"/>
  <c r="G11" i="7"/>
  <c r="I14" i="7"/>
  <c r="H15" i="7"/>
  <c r="O100" i="6"/>
  <c r="L27" i="20"/>
  <c r="I61" i="20"/>
  <c r="J55" i="20"/>
  <c r="M8" i="7"/>
  <c r="J52" i="20"/>
  <c r="I36" i="20"/>
  <c r="K58" i="20"/>
  <c r="J30" i="20"/>
  <c r="I33" i="20"/>
  <c r="I39" i="20" s="1"/>
  <c r="K12" i="7"/>
  <c r="I106" i="6" l="1"/>
  <c r="J104" i="6"/>
  <c r="P100" i="6"/>
  <c r="J14" i="7"/>
  <c r="I15" i="7"/>
  <c r="I10" i="7"/>
  <c r="H11" i="7"/>
  <c r="N101" i="6"/>
  <c r="M102" i="6"/>
  <c r="N27" i="20"/>
  <c r="M27" i="20"/>
  <c r="J61" i="20"/>
  <c r="K55" i="20"/>
  <c r="N8" i="7"/>
  <c r="K52" i="20"/>
  <c r="L58" i="20"/>
  <c r="J36" i="20"/>
  <c r="K30" i="20"/>
  <c r="J33" i="20"/>
  <c r="J39" i="20" s="1"/>
  <c r="L12" i="7"/>
  <c r="K14" i="7" l="1"/>
  <c r="J15" i="7"/>
  <c r="Q100" i="6"/>
  <c r="J10" i="7"/>
  <c r="I11" i="7"/>
  <c r="J106" i="6"/>
  <c r="K104" i="6"/>
  <c r="O101" i="6"/>
  <c r="N102" i="6"/>
  <c r="K61" i="20"/>
  <c r="L55" i="20"/>
  <c r="M58" i="20"/>
  <c r="N58" i="20"/>
  <c r="L52" i="20"/>
  <c r="K36" i="20"/>
  <c r="L30" i="20"/>
  <c r="M12" i="7"/>
  <c r="K33" i="20"/>
  <c r="K39" i="20" s="1"/>
  <c r="K10" i="7" l="1"/>
  <c r="J11" i="7"/>
  <c r="P101" i="6"/>
  <c r="O102" i="6"/>
  <c r="L14" i="7"/>
  <c r="K15" i="7"/>
  <c r="R100" i="6"/>
  <c r="K106" i="6"/>
  <c r="L104" i="6"/>
  <c r="L61" i="20"/>
  <c r="M55" i="20"/>
  <c r="N55" i="20"/>
  <c r="N52" i="20"/>
  <c r="M52" i="20"/>
  <c r="L36" i="20"/>
  <c r="N30" i="20"/>
  <c r="M30" i="20"/>
  <c r="L33" i="20"/>
  <c r="L39" i="20" s="1"/>
  <c r="N12" i="7"/>
  <c r="M14" i="7" l="1"/>
  <c r="L15" i="7"/>
  <c r="S100" i="6"/>
  <c r="Q101" i="6"/>
  <c r="P102" i="6"/>
  <c r="L106" i="6"/>
  <c r="M104" i="6"/>
  <c r="L10" i="7"/>
  <c r="K11" i="7"/>
  <c r="M61" i="20"/>
  <c r="N61" i="20"/>
  <c r="M36" i="20"/>
  <c r="N36" i="20"/>
  <c r="N33" i="20"/>
  <c r="N39" i="20" s="1"/>
  <c r="M33" i="20"/>
  <c r="M39" i="20" s="1"/>
  <c r="R101" i="6" l="1"/>
  <c r="Q102" i="6"/>
  <c r="M10" i="7"/>
  <c r="L11" i="7"/>
  <c r="N14" i="7"/>
  <c r="N15" i="7" s="1"/>
  <c r="M15" i="7"/>
  <c r="T100" i="6"/>
  <c r="M106" i="6"/>
  <c r="N104" i="6"/>
  <c r="U100" i="6" l="1"/>
  <c r="N10" i="7"/>
  <c r="N11" i="7" s="1"/>
  <c r="M11" i="7"/>
  <c r="O104" i="6"/>
  <c r="N106" i="6"/>
  <c r="S101" i="6"/>
  <c r="R102" i="6"/>
  <c r="T101" i="6" l="1"/>
  <c r="S102" i="6"/>
  <c r="O106" i="6"/>
  <c r="P104" i="6"/>
  <c r="V100" i="6"/>
  <c r="W100" i="6" l="1"/>
  <c r="P106" i="6"/>
  <c r="Q104" i="6"/>
  <c r="U101" i="6"/>
  <c r="T102" i="6"/>
  <c r="V101" i="6" l="1"/>
  <c r="U102" i="6"/>
  <c r="R104" i="6"/>
  <c r="Q106" i="6"/>
  <c r="X100" i="6"/>
  <c r="Y100" i="6" l="1"/>
  <c r="R106" i="6"/>
  <c r="S104" i="6"/>
  <c r="W101" i="6"/>
  <c r="V102" i="6"/>
  <c r="X101" i="6" l="1"/>
  <c r="W102" i="6"/>
  <c r="S106" i="6"/>
  <c r="T104" i="6"/>
  <c r="Z100" i="6"/>
  <c r="AA100" i="6" l="1"/>
  <c r="U104" i="6"/>
  <c r="T106" i="6"/>
  <c r="Y101" i="6"/>
  <c r="X102" i="6"/>
  <c r="Z101" i="6" l="1"/>
  <c r="Y102" i="6"/>
  <c r="U106" i="6"/>
  <c r="V104" i="6"/>
  <c r="AB100" i="6"/>
  <c r="AC100" i="6" l="1"/>
  <c r="V106" i="6"/>
  <c r="W104" i="6"/>
  <c r="AA101" i="6"/>
  <c r="Z102" i="6"/>
  <c r="AB101" i="6" l="1"/>
  <c r="AA102" i="6"/>
  <c r="X104" i="6"/>
  <c r="W106" i="6"/>
  <c r="AD100" i="6"/>
  <c r="AE100" i="6" l="1"/>
  <c r="Y104" i="6"/>
  <c r="X106" i="6"/>
  <c r="AC101" i="6"/>
  <c r="AB102" i="6"/>
  <c r="AD101" i="6" l="1"/>
  <c r="AC102" i="6"/>
  <c r="Z104" i="6"/>
  <c r="Y106" i="6"/>
  <c r="AF100" i="6"/>
  <c r="AG100" i="6" l="1"/>
  <c r="Z106" i="6"/>
  <c r="AA104" i="6"/>
  <c r="AE101" i="6"/>
  <c r="AD102" i="6"/>
  <c r="AF101" i="6" l="1"/>
  <c r="AE102" i="6"/>
  <c r="AB104" i="6"/>
  <c r="AA106" i="6"/>
  <c r="AH100" i="6"/>
  <c r="AI100" i="6" l="1"/>
  <c r="AC104" i="6"/>
  <c r="AB106" i="6"/>
  <c r="AG101" i="6"/>
  <c r="AF102" i="6"/>
  <c r="AH101" i="6" l="1"/>
  <c r="AG102" i="6"/>
  <c r="AD104" i="6"/>
  <c r="AC106" i="6"/>
  <c r="AJ100" i="6"/>
  <c r="AK100" i="6" l="1"/>
  <c r="AD106" i="6"/>
  <c r="AE104" i="6"/>
  <c r="AI101" i="6"/>
  <c r="AH102" i="6"/>
  <c r="AJ101" i="6" l="1"/>
  <c r="AI102" i="6"/>
  <c r="AE106" i="6"/>
  <c r="AF104" i="6"/>
  <c r="AL100" i="6"/>
  <c r="AM100" i="6" l="1"/>
  <c r="AF106" i="6"/>
  <c r="AG104" i="6"/>
  <c r="AK101" i="6"/>
  <c r="AJ102" i="6"/>
  <c r="AL101" i="6" l="1"/>
  <c r="AK102" i="6"/>
  <c r="AG106" i="6"/>
  <c r="AH104" i="6"/>
  <c r="AN100" i="6"/>
  <c r="AO100" i="6" l="1"/>
  <c r="AI104" i="6"/>
  <c r="AH106" i="6"/>
  <c r="AM101" i="6"/>
  <c r="AL102" i="6"/>
  <c r="AN101" i="6" l="1"/>
  <c r="AM102" i="6"/>
  <c r="AJ104" i="6"/>
  <c r="AI106" i="6"/>
  <c r="AP100" i="6"/>
  <c r="AQ100" i="6" l="1"/>
  <c r="AK104" i="6"/>
  <c r="AJ106" i="6"/>
  <c r="AO101" i="6"/>
  <c r="AN102" i="6"/>
  <c r="AP101" i="6" l="1"/>
  <c r="AO102" i="6"/>
  <c r="AL104" i="6"/>
  <c r="AK106" i="6"/>
  <c r="AR100" i="6"/>
  <c r="AS100" i="6" l="1"/>
  <c r="AM104" i="6"/>
  <c r="AL106" i="6"/>
  <c r="AQ101" i="6"/>
  <c r="AP102" i="6"/>
  <c r="AR101" i="6" l="1"/>
  <c r="AQ102" i="6"/>
  <c r="AM106" i="6"/>
  <c r="AN104" i="6"/>
  <c r="AT100" i="6"/>
  <c r="AU100" i="6" l="1"/>
  <c r="AN106" i="6"/>
  <c r="AO104" i="6"/>
  <c r="AS101" i="6"/>
  <c r="AR102" i="6"/>
  <c r="AT101" i="6" l="1"/>
  <c r="AS102" i="6"/>
  <c r="AP104" i="6"/>
  <c r="AO106" i="6"/>
  <c r="AV100" i="6"/>
  <c r="AW100" i="6" l="1"/>
  <c r="AQ104" i="6"/>
  <c r="AP106" i="6"/>
  <c r="AU101" i="6"/>
  <c r="AT102" i="6"/>
  <c r="AV101" i="6" l="1"/>
  <c r="AU102" i="6"/>
  <c r="AR104" i="6"/>
  <c r="AQ106" i="6"/>
  <c r="AX100" i="6"/>
  <c r="AY100" i="6" l="1"/>
  <c r="AR106" i="6"/>
  <c r="AS104" i="6"/>
  <c r="AW101" i="6"/>
  <c r="AV102" i="6"/>
  <c r="AX101" i="6" l="1"/>
  <c r="AW102" i="6"/>
  <c r="AT104" i="6"/>
  <c r="AS106" i="6"/>
  <c r="AZ100" i="6"/>
  <c r="BA100" i="6" l="1"/>
  <c r="AU104" i="6"/>
  <c r="AT106" i="6"/>
  <c r="AY101" i="6"/>
  <c r="AX102" i="6"/>
  <c r="AZ101" i="6" l="1"/>
  <c r="AY102" i="6"/>
  <c r="AV104" i="6"/>
  <c r="AU106" i="6"/>
  <c r="BB100" i="6"/>
  <c r="AW104" i="6" l="1"/>
  <c r="AV106" i="6"/>
  <c r="BA101" i="6"/>
  <c r="AZ102" i="6"/>
  <c r="BB101" i="6" l="1"/>
  <c r="BB102" i="6" s="1"/>
  <c r="BA102" i="6"/>
  <c r="AX104" i="6"/>
  <c r="AW106" i="6"/>
  <c r="AX106" i="6" l="1"/>
  <c r="AY104" i="6"/>
  <c r="AZ104" i="6" l="1"/>
  <c r="AY106" i="6"/>
  <c r="BA104" i="6" l="1"/>
  <c r="AZ106" i="6"/>
  <c r="BA106" i="6" l="1"/>
  <c r="BB104" i="6"/>
  <c r="BB106" i="6" s="1"/>
  <c r="Y50" i="26"/>
  <c r="Y51" i="26" s="1"/>
  <c r="V45" i="26"/>
  <c r="V41" i="26"/>
  <c r="V44" i="26"/>
  <c r="V40" i="26"/>
  <c r="V47" i="26"/>
  <c r="V43" i="26"/>
  <c r="X50" i="26"/>
  <c r="X51" i="26" s="1"/>
  <c r="V50" i="26"/>
  <c r="AB50" i="26" s="1"/>
  <c r="V46" i="26"/>
  <c r="V42" i="26"/>
  <c r="V48" i="26"/>
  <c r="V39" i="26"/>
  <c r="AD51" i="26" l="1"/>
  <c r="AG51" i="26" s="1"/>
  <c r="AB51" i="26"/>
  <c r="AA51" i="26"/>
  <c r="AC51" i="26"/>
  <c r="V49" i="26"/>
  <c r="V51" i="26" s="1"/>
  <c r="AJ51" i="26" s="1"/>
  <c r="AC50" i="26"/>
  <c r="Z50" i="26"/>
  <c r="AD50" i="26" s="1"/>
  <c r="AA50" i="26"/>
  <c r="E26" i="26" l="1"/>
  <c r="G26" i="26"/>
  <c r="AC26" i="26" l="1"/>
  <c r="X26" i="26"/>
  <c r="X27" i="26" s="1"/>
  <c r="W26" i="26"/>
  <c r="W27" i="26" s="1"/>
  <c r="AD26" i="26"/>
  <c r="Z26" i="26"/>
  <c r="Y26" i="26"/>
  <c r="Y27" i="26" s="1"/>
  <c r="AB26" i="26"/>
  <c r="AA26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tc={B8ED1A14-B280-424E-877B-AE36F8300B3A}</author>
    <author>tc={7D6129B7-8816-4DB3-BE6F-E955A352BD57}</author>
    <author>tc={A79299AE-68F9-42B9-963E-66C1A8AB94AA}</author>
  </authors>
  <commentList>
    <comment ref="E20" authorId="0" shapeId="0" xr:uid="{B8ED1A14-B280-424E-877B-AE36F8300B3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sheet HYKG</t>
      </text>
    </comment>
    <comment ref="E266" authorId="1" shapeId="0" xr:uid="{7D6129B7-8816-4DB3-BE6F-E955A352BD5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sheet HYKG</t>
      </text>
    </comment>
    <comment ref="E279" authorId="2" shapeId="0" xr:uid="{A79299AE-68F9-42B9-963E-66C1A8AB94A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Process GSE HYKG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Chimenti, Caroline</author>
  </authors>
  <commentList>
    <comment ref="BE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Chimenti, Caroline: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Including OI 2021-012: 
G.Budd's training services at Airbus
Excluding AIA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Chimenti, Caroline</author>
  </authors>
  <commentList>
    <comment ref="Q4" authorId="0" shapeId="0" xr:uid="{00000000-0006-0000-0300-000001000000}">
      <text>
        <r>
          <rPr>
            <sz val="8"/>
            <color indexed="81"/>
            <rFont val="Tahoma"/>
            <family val="2"/>
          </rPr>
          <t>Including OI 2021-012: 
G.Budd's training services at Airbus
Including AIA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Zehnle, Jonas</author>
    <author>Rupp, Thomas</author>
    <author>Rupp, Dr., Thomas</author>
    <author>Kowal, Christophe</author>
  </authors>
  <commentList>
    <comment ref="C12" authorId="0" shapeId="0" xr:uid="{00000000-0006-0000-0400-000002000000}">
      <text/>
    </comment>
    <comment ref="I16" authorId="1" shapeId="0" xr:uid="{00000000-0006-0000-0400-000003000000}">
      <text>
        <r>
          <rPr>
            <b/>
            <sz val="8"/>
            <color indexed="81"/>
            <rFont val="Tahoma"/>
            <family val="2"/>
          </rPr>
          <t>Rupp, Thomas:</t>
        </r>
        <r>
          <rPr>
            <sz val="8"/>
            <color indexed="81"/>
            <rFont val="Tahoma"/>
            <family val="2"/>
          </rPr>
          <t xml:space="preserve">
1 ETP de plus pour les Services (60.000€/an)</t>
        </r>
      </text>
    </comment>
    <comment ref="A23" authorId="2" shapeId="0" xr:uid="{00000000-0006-0000-0400-000004000000}">
      <text>
        <r>
          <rPr>
            <b/>
            <sz val="9"/>
            <color indexed="81"/>
            <rFont val="Segoe UI"/>
            <family val="2"/>
          </rPr>
          <t>Rupp, Dr., Thomas:</t>
        </r>
        <r>
          <rPr>
            <sz val="9"/>
            <color indexed="81"/>
            <rFont val="Segoe UI"/>
            <family val="2"/>
          </rPr>
          <t xml:space="preserve">
from GuV PL M 2021 Ergebnis vor Steuern
</t>
        </r>
      </text>
    </comment>
    <comment ref="O41" authorId="3" shapeId="0" xr:uid="{00000000-0006-0000-0400-000005000000}">
      <text>
        <r>
          <rPr>
            <b/>
            <sz val="9"/>
            <color indexed="81"/>
            <rFont val="Tahoma"/>
            <family val="2"/>
          </rPr>
          <t>Kowal, Christophe:</t>
        </r>
        <r>
          <rPr>
            <sz val="9"/>
            <color indexed="81"/>
            <rFont val="Tahoma"/>
            <family val="2"/>
          </rPr>
          <t xml:space="preserve">
Estimate AIA Revenue and Services. CK To check with Antony
; how Graeme is taken into account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Chimenti, Caroline</author>
  </authors>
  <commentList>
    <comment ref="P3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Chimenti, Caroline:</t>
        </r>
        <r>
          <rPr>
            <sz val="8"/>
            <color indexed="81"/>
            <rFont val="Tahoma"/>
            <family val="2"/>
          </rPr>
          <t xml:space="preserve">
Including OI 2017-074: 
G.Budd's training services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Chimenti, Caroline</author>
  </authors>
  <commentList>
    <comment ref="Z50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Chimenti, Caroline:</t>
        </r>
        <r>
          <rPr>
            <sz val="8"/>
            <color indexed="81"/>
            <rFont val="Tahoma"/>
            <family val="2"/>
          </rPr>
          <t xml:space="preserve">
Devis HYFR  pour AIA 97 Keur</t>
        </r>
      </text>
    </comment>
    <comment ref="AG50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Chimenti, Caroline:</t>
        </r>
        <r>
          <rPr>
            <sz val="8"/>
            <color indexed="81"/>
            <rFont val="Tahoma"/>
            <family val="2"/>
          </rPr>
          <t xml:space="preserve">
plusieurs version d'un même devis pour Air Caraibes : WES + accessoires, valeur du devis : 207 keur</t>
        </r>
      </text>
    </comment>
    <comment ref="AL50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Chimenti, Caroline:</t>
        </r>
        <r>
          <rPr>
            <sz val="8"/>
            <color indexed="81"/>
            <rFont val="Tahoma"/>
            <family val="2"/>
          </rPr>
          <t xml:space="preserve">
Dale : 245 keur
Egypt Air : 103 keur</t>
        </r>
      </text>
    </comment>
    <comment ref="AI51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Chimenti, Caroline:</t>
        </r>
        <r>
          <rPr>
            <sz val="8"/>
            <color indexed="81"/>
            <rFont val="Tahoma"/>
            <family val="2"/>
          </rPr>
          <t xml:space="preserve">
Cde AIA reçue-7xkit GSE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Sousa, Rui</author>
  </authors>
  <commentList>
    <comment ref="C1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de Sousa, Rui:</t>
        </r>
        <r>
          <rPr>
            <sz val="9"/>
            <color indexed="81"/>
            <rFont val="Tahoma"/>
            <family val="2"/>
          </rPr>
          <t xml:space="preserve">
zero in DC FC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<sst xmlns="http://schemas.openxmlformats.org/spreadsheetml/2006/main" count="2824" uniqueCount="1026">
  <si>
    <t>Client</t>
  </si>
  <si>
    <t>Categorie</t>
  </si>
  <si>
    <t>Status</t>
  </si>
  <si>
    <t>Product Description</t>
  </si>
  <si>
    <t>Engineering</t>
  </si>
  <si>
    <t>Accepté</t>
  </si>
  <si>
    <t>En Attente</t>
  </si>
  <si>
    <t>Rejeté</t>
  </si>
  <si>
    <t>Part. Accepté</t>
  </si>
  <si>
    <t>Annulé</t>
  </si>
  <si>
    <t>D-Status</t>
  </si>
  <si>
    <t>Devis N°</t>
  </si>
  <si>
    <t>Délai (semaine)</t>
  </si>
  <si>
    <t>Cmde N°</t>
  </si>
  <si>
    <t>Montant Restant €</t>
  </si>
  <si>
    <t>C O M M A N D E S / O R D E R S</t>
  </si>
  <si>
    <t>Date Cmde</t>
  </si>
  <si>
    <t>Date Devis</t>
  </si>
  <si>
    <t>Facture N°</t>
  </si>
  <si>
    <t>Date Facture</t>
  </si>
  <si>
    <t>F A C T U R A T I O N / I N V O I C E S</t>
  </si>
  <si>
    <t>Si Rejeté</t>
  </si>
  <si>
    <t>Raison</t>
  </si>
  <si>
    <t>Total</t>
  </si>
  <si>
    <t>Date</t>
  </si>
  <si>
    <t>D E V I S / Q U O T E S</t>
  </si>
  <si>
    <t>Certification</t>
  </si>
  <si>
    <t>Délai</t>
  </si>
  <si>
    <t>Prix</t>
  </si>
  <si>
    <t>Qualité</t>
  </si>
  <si>
    <t>Client-interne</t>
  </si>
  <si>
    <t>Commentaire</t>
  </si>
  <si>
    <t>Contact Person</t>
  </si>
  <si>
    <t>CW</t>
  </si>
  <si>
    <t>Index</t>
  </si>
  <si>
    <t>RfQ</t>
  </si>
  <si>
    <t>Cum. CA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</si>
  <si>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</si>
  <si>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</si>
  <si>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</si>
  <si>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</si>
  <si>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</si>
  <si>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</si>
  <si>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</si>
  <si>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</si>
  <si>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</si>
  <si>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</si>
  <si>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</si>
  <si>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</si>
  <si>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Cmde</t>
  </si>
  <si>
    <t>CA</t>
  </si>
  <si>
    <t>Cum. Devis</t>
  </si>
  <si>
    <t>Cum. Cmde</t>
  </si>
  <si>
    <t>Devis</t>
  </si>
  <si>
    <t>Diff Cmde</t>
  </si>
  <si>
    <t>Backlog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</si>
  <si>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</si>
  <si>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</si>
  <si>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</si>
  <si>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</si>
  <si>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</si>
  <si>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</si>
  <si>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</si>
  <si>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</si>
  <si>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</si>
  <si>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</si>
  <si>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</si>
  <si>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</si>
  <si>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</si>
  <si>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</si>
  <si>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</si>
  <si>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</si>
  <si>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</si>
  <si>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</si>
  <si>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</si>
  <si>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</si>
  <si>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</si>
  <si>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</si>
  <si>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</si>
  <si>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</si>
  <si>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</si>
  <si>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</si>
  <si>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</si>
  <si>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</si>
  <si>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</si>
  <si>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</si>
  <si>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</si>
  <si>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</si>
  <si>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</si>
  <si>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</si>
  <si>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</si>
  <si>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</si>
  <si>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</si>
  <si>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</si>
  <si>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</si>
  <si>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</si>
  <si>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</si>
  <si>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</si>
  <si>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</si>
  <si>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</si>
  <si>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</si>
  <si>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</si>
  <si>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</si>
  <si>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</si>
  <si>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</si>
  <si>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</si>
  <si>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</si>
  <si>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</si>
  <si>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Avge Target Cmde</t>
  </si>
  <si>
    <t>Avge. Target CA</t>
  </si>
  <si>
    <t>End Client</t>
  </si>
  <si>
    <t>D Montant € HT</t>
  </si>
  <si>
    <t>C Montant € HT</t>
  </si>
  <si>
    <t>F Montant HT</t>
  </si>
  <si>
    <t>AIA</t>
  </si>
  <si>
    <t>PLAN</t>
  </si>
  <si>
    <t>Target CA</t>
  </si>
  <si>
    <t>DEVIATION</t>
  </si>
  <si>
    <t>FCP</t>
  </si>
  <si>
    <t>Sum</t>
  </si>
  <si>
    <t>Customer</t>
  </si>
  <si>
    <t>Amount</t>
  </si>
  <si>
    <t>Revenue reconciliation SOLUNE vs SAP</t>
  </si>
  <si>
    <t>Revenue SOLUNE</t>
  </si>
  <si>
    <t>-Booked in SOLUNE but not in SAP</t>
  </si>
  <si>
    <t>Revenue in SOLUNE</t>
  </si>
  <si>
    <t>Revenue in SAP</t>
  </si>
  <si>
    <t xml:space="preserve">+Booked in SAP but not in SOLUNE </t>
  </si>
  <si>
    <t>Revenue SAP</t>
  </si>
  <si>
    <t>Document</t>
  </si>
  <si>
    <t>Reconciled</t>
  </si>
  <si>
    <t>Bezeichnung</t>
  </si>
  <si>
    <t>Control</t>
  </si>
  <si>
    <t>difference SAP / SOLUNE</t>
  </si>
  <si>
    <t>reasons</t>
  </si>
  <si>
    <t>correction / void</t>
  </si>
  <si>
    <t>AIA - Engineering</t>
  </si>
  <si>
    <t>to clarify</t>
  </si>
  <si>
    <t>O.I</t>
  </si>
  <si>
    <t>REVENUE</t>
  </si>
  <si>
    <t>CA/Revenue</t>
  </si>
  <si>
    <t>Cmde/O.I</t>
  </si>
  <si>
    <t>Devis/Quotes</t>
  </si>
  <si>
    <t>parts</t>
  </si>
  <si>
    <t>Nb. of</t>
  </si>
  <si>
    <t xml:space="preserve">Raison pour </t>
  </si>
  <si>
    <t>l'externalisation</t>
  </si>
  <si>
    <t>Personnel</t>
  </si>
  <si>
    <t>Compétence</t>
  </si>
  <si>
    <t>Machine</t>
  </si>
  <si>
    <t>PLT (PV)</t>
  </si>
  <si>
    <t>Place</t>
  </si>
  <si>
    <t>Outils</t>
  </si>
  <si>
    <t>N/A</t>
  </si>
  <si>
    <t>Pending FCP Offers</t>
  </si>
  <si>
    <t>Max RfQ-Quote (days)</t>
  </si>
  <si>
    <t>Cold Calls</t>
  </si>
  <si>
    <t>Visits</t>
  </si>
  <si>
    <t>Quotes</t>
  </si>
  <si>
    <t>Accu. Average RfQ-Quote</t>
  </si>
  <si>
    <t>MISSING TO TARGET</t>
  </si>
  <si>
    <t>DAILY TRACKING</t>
  </si>
  <si>
    <t>GSE/Tools</t>
  </si>
  <si>
    <t>Délai Livraison</t>
  </si>
  <si>
    <t>FCP KPIs</t>
  </si>
  <si>
    <r>
      <t xml:space="preserve">New Customers 
</t>
    </r>
    <r>
      <rPr>
        <b/>
        <i/>
        <sz val="12"/>
        <color theme="1"/>
        <rFont val="Calibri"/>
        <family val="2"/>
        <scheme val="minor"/>
      </rPr>
      <t>ABA</t>
    </r>
  </si>
  <si>
    <r>
      <t xml:space="preserve">Reactivity 
</t>
    </r>
    <r>
      <rPr>
        <b/>
        <i/>
        <sz val="12"/>
        <color theme="1"/>
        <rFont val="Calibri"/>
        <family val="2"/>
        <scheme val="minor"/>
      </rPr>
      <t>PPU</t>
    </r>
  </si>
  <si>
    <t>Costs</t>
  </si>
  <si>
    <t>Gross Margin</t>
  </si>
  <si>
    <t>Overhead</t>
  </si>
  <si>
    <t>Backlog 2019</t>
  </si>
  <si>
    <t>GSE</t>
  </si>
  <si>
    <t>Order Intake</t>
  </si>
  <si>
    <t>Others</t>
  </si>
  <si>
    <t>GSE IC</t>
  </si>
  <si>
    <t>Date Liv. Réelle</t>
  </si>
  <si>
    <t>Date Liv. Prévue</t>
  </si>
  <si>
    <t>Refuse Raison</t>
  </si>
  <si>
    <t>externalisation</t>
  </si>
  <si>
    <t>Target Cmd</t>
  </si>
  <si>
    <t>Expected Target Revenue</t>
  </si>
  <si>
    <t>Expected Target OI</t>
  </si>
  <si>
    <t>OI</t>
  </si>
  <si>
    <t>3-month mittigation</t>
  </si>
  <si>
    <t>Cmd</t>
  </si>
  <si>
    <t>Diff</t>
  </si>
  <si>
    <t>Mittigated Cum.</t>
  </si>
  <si>
    <t>Cum.</t>
  </si>
  <si>
    <t xml:space="preserve">MITT. OI CUM </t>
  </si>
  <si>
    <t>LINEAR</t>
  </si>
  <si>
    <t>MITT. REV CUM</t>
  </si>
  <si>
    <t>Lien dossier</t>
  </si>
  <si>
    <t>Coûts achats</t>
  </si>
  <si>
    <t>Cum. O.I</t>
  </si>
  <si>
    <t>Diff O.I</t>
  </si>
  <si>
    <t>Cum. Quotes</t>
  </si>
  <si>
    <t>Cum. Revenue</t>
  </si>
  <si>
    <t>Target O.I</t>
  </si>
  <si>
    <t>Cum. Target O.I</t>
  </si>
  <si>
    <t>Cum. Dev. O.I</t>
  </si>
  <si>
    <t>Target Revenue</t>
  </si>
  <si>
    <t>Cum. Target Revenue</t>
  </si>
  <si>
    <t>Cum. Dev. Revenue</t>
  </si>
  <si>
    <t>FCP Revenue</t>
  </si>
  <si>
    <t>Margin</t>
  </si>
  <si>
    <t>ENTITY</t>
  </si>
  <si>
    <t>CURR</t>
  </si>
  <si>
    <t>DIMENSION</t>
  </si>
  <si>
    <t>DIMENSION 2</t>
  </si>
  <si>
    <t>YEAR</t>
  </si>
  <si>
    <t>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</si>
  <si>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</si>
  <si>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</si>
  <si>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</si>
  <si>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</si>
  <si>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</si>
  <si>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</si>
  <si>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</si>
  <si>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</si>
  <si>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</si>
  <si>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</si>
  <si>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</si>
  <si>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</si>
  <si>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 YTD</t>
  </si>
  <si>
    <t>2 YTD</t>
  </si>
  <si>
    <t>3 YTD</t>
  </si>
  <si>
    <t>4 YTD</t>
  </si>
  <si>
    <t>5 YTD</t>
  </si>
  <si>
    <t>6 YTD</t>
  </si>
  <si>
    <t>7 YTD</t>
  </si>
  <si>
    <t>8 YTD</t>
  </si>
  <si>
    <t>9 YTD</t>
  </si>
  <si>
    <t>10 YTD</t>
  </si>
  <si>
    <t>11 YTD</t>
  </si>
  <si>
    <t>12 YTD</t>
  </si>
  <si>
    <t>Q1</t>
  </si>
  <si>
    <t>Q2</t>
  </si>
  <si>
    <t>Q3</t>
  </si>
  <si>
    <t>Q4</t>
  </si>
  <si>
    <t>S1</t>
  </si>
  <si>
    <t>S2</t>
  </si>
  <si>
    <t>EUR</t>
  </si>
  <si>
    <t>P014</t>
  </si>
  <si>
    <t>P001</t>
  </si>
  <si>
    <t>BrUms</t>
  </si>
  <si>
    <t>ACT</t>
  </si>
  <si>
    <t>OB</t>
  </si>
  <si>
    <t>P034</t>
  </si>
  <si>
    <t>Délai (semaines)</t>
  </si>
  <si>
    <t>L I V R A S O N S</t>
  </si>
  <si>
    <t>IC</t>
  </si>
  <si>
    <t>HYFR</t>
  </si>
  <si>
    <t>O.I. New Customers GSE</t>
  </si>
  <si>
    <t>Opportunité</t>
  </si>
  <si>
    <t>TOTAL</t>
  </si>
  <si>
    <t>JZ:</t>
  </si>
  <si>
    <t>Direct Sales</t>
  </si>
  <si>
    <t>Grand Total</t>
  </si>
  <si>
    <t>O.I GSE</t>
  </si>
  <si>
    <t>ASI</t>
  </si>
  <si>
    <t>ABA</t>
  </si>
  <si>
    <t>weekly</t>
  </si>
  <si>
    <t>Planned O.I</t>
  </si>
  <si>
    <t>O.I. Cum New Cust</t>
  </si>
  <si>
    <t>O.I. Forecast</t>
  </si>
  <si>
    <t>GSE/Tools O.I. Cum</t>
  </si>
  <si>
    <t>Plan GSE/Tools O.I</t>
  </si>
  <si>
    <t>Planning Group Text</t>
  </si>
  <si>
    <t>Business Area</t>
  </si>
  <si>
    <t>EH</t>
  </si>
  <si>
    <t>Hardware EngSol</t>
  </si>
  <si>
    <t>EN</t>
  </si>
  <si>
    <t>Engineering EngSol</t>
  </si>
  <si>
    <t>GS</t>
  </si>
  <si>
    <t>Axle Jacks Other</t>
  </si>
  <si>
    <t>Axle Jacks RT</t>
  </si>
  <si>
    <t>COBRA</t>
  </si>
  <si>
    <t>Newbow Aerospace</t>
  </si>
  <si>
    <t>Tow Bars HG</t>
  </si>
  <si>
    <t>Tripod SET Narrow Bo</t>
  </si>
  <si>
    <t>SE</t>
  </si>
  <si>
    <t>Repair/Recert/Service</t>
  </si>
  <si>
    <t>Spares</t>
  </si>
  <si>
    <t>TA</t>
  </si>
  <si>
    <t>TE</t>
  </si>
  <si>
    <t>RR-Aftermarket</t>
  </si>
  <si>
    <t>TR</t>
  </si>
  <si>
    <t>RR-Trsp AfterMkt T1000</t>
  </si>
  <si>
    <t>RR-Trsp AfterMkt XWB</t>
  </si>
  <si>
    <t>Value</t>
  </si>
  <si>
    <t>OT</t>
  </si>
  <si>
    <t>Airbus</t>
  </si>
  <si>
    <t>Boeing</t>
  </si>
  <si>
    <t>Tools A - Other</t>
  </si>
  <si>
    <t>EngSol</t>
  </si>
  <si>
    <t>TR (RR-Trsp AfterMkt)</t>
  </si>
  <si>
    <t>TE (RR-Aftermarket)</t>
  </si>
  <si>
    <t>Service (Repair+Spares)</t>
  </si>
  <si>
    <t>GSE Others (Büter)</t>
  </si>
  <si>
    <t>O.I GSE (SAP)</t>
  </si>
  <si>
    <t>CA Distribution</t>
  </si>
  <si>
    <t>Cmde Distribution</t>
  </si>
  <si>
    <t>Mittigated CA Distribution</t>
  </si>
  <si>
    <t>Devis GSE</t>
  </si>
  <si>
    <t>OI GSE</t>
  </si>
  <si>
    <t>CA GSE</t>
  </si>
  <si>
    <t>Backlog 2020</t>
  </si>
  <si>
    <t xml:space="preserve">OB ist der Jahreswert und die Veränderung, damit es zu den Daten aus QlikView passt. 2020 noch nicht aktualisiert. -&gt; Beim nächsten Probelauf prüfen aber eher unkritisch, </t>
  </si>
  <si>
    <t>Im neuen Jahr neue Datei wenn Prozess gleich bleibt. "YEAR" ändern und prüfen.</t>
  </si>
  <si>
    <t>Service Revenue</t>
  </si>
  <si>
    <t>Trading Revenue</t>
  </si>
  <si>
    <t>HYFR Revenue</t>
  </si>
  <si>
    <t>AIA Revenue</t>
  </si>
  <si>
    <t>GSE/Tools Commissions Revenue</t>
  </si>
  <si>
    <t>Sum GSE/Tools Order Intake</t>
  </si>
  <si>
    <t>Service</t>
  </si>
  <si>
    <t>Trading</t>
  </si>
  <si>
    <t>Fixed Costs</t>
  </si>
  <si>
    <t>est. Variable Costs (Travel,..)</t>
  </si>
  <si>
    <t>est. Month EAT</t>
  </si>
  <si>
    <t>Planned Month EAT</t>
  </si>
  <si>
    <t>Linear Plan EAT</t>
  </si>
  <si>
    <t>EAT SWING YTD</t>
  </si>
  <si>
    <t>Planned GSE/Tools HYKD Order Intake</t>
  </si>
  <si>
    <t>est. EAT YTD</t>
  </si>
  <si>
    <t>New Revenue 2020</t>
  </si>
  <si>
    <t>Planung Thomas Rupp 30/01/2020</t>
  </si>
  <si>
    <t>GSE/Tools Revenue Cobra</t>
  </si>
  <si>
    <t>GSE/Tool Revenue for HYKG</t>
  </si>
  <si>
    <t>GSE/Tool Revenue for HYUS $</t>
  </si>
  <si>
    <t>Costs YTD</t>
  </si>
  <si>
    <t>TOP 10 INVOICED CUSTOMERS</t>
  </si>
  <si>
    <t>Actual GSE/Tools HYKG Intercompany Revenue</t>
  </si>
  <si>
    <t>Actual GSE/Tools HYKG Intercompany Revenue YTD</t>
  </si>
  <si>
    <t>Actual GSE/Tools HYKG Order Intake</t>
  </si>
  <si>
    <t>Actual GSE/Tools HYKG Order Intake YTD</t>
  </si>
  <si>
    <t>Monthly Data</t>
  </si>
  <si>
    <t>Costs/Month</t>
  </si>
  <si>
    <t>Actual HYFR Revenue YTD</t>
  </si>
  <si>
    <t>Actual FCP Revenue YTD</t>
  </si>
  <si>
    <t>Actual Service Revenue YTD</t>
  </si>
  <si>
    <t>Actual Trading Revenue YTD</t>
  </si>
  <si>
    <t>Actual AIA Revenue YTD</t>
  </si>
  <si>
    <t>Actual GSE/Tools Commissions Revenue YTD</t>
  </si>
  <si>
    <t>Revised GSE/Tools HYKD Order Intake</t>
  </si>
  <si>
    <t>Actual FCP Order Intake YTD</t>
  </si>
  <si>
    <t>Actual Service Order Intake YTD</t>
  </si>
  <si>
    <t>Actual Trading Order Intake YTD</t>
  </si>
  <si>
    <t>Planned FCP Order Intake YTD</t>
  </si>
  <si>
    <t>Planned Service Order Intake YTD</t>
  </si>
  <si>
    <t>Planned Trading Order Intake YTD</t>
  </si>
  <si>
    <t>GSE/Tools HYKG Intercompany Revenue</t>
  </si>
  <si>
    <t>HYFR OI</t>
  </si>
  <si>
    <t>Actual EAT YTD</t>
  </si>
  <si>
    <t>Revised GSE/Tools HYKG Order Intake YTD</t>
  </si>
  <si>
    <t>Planned EAT YTD</t>
  </si>
  <si>
    <t>Actual EAT</t>
  </si>
  <si>
    <t>VKGRP</t>
  </si>
  <si>
    <t>Revised II GSE/Tools HYKG Order Intake YTD</t>
  </si>
  <si>
    <t>Actual FCP &amp; Service Revenue YTD</t>
  </si>
  <si>
    <t>Actual FCP &amp; Service Order Intake YTD</t>
  </si>
  <si>
    <t>Planned FCP &amp; Service Order Intake YTD</t>
  </si>
  <si>
    <t>Originally Planned GSE/Tools HYKG Order Intake YTD</t>
  </si>
  <si>
    <t>Date réelle réception matériel</t>
  </si>
  <si>
    <t>Actual  GSE/Tools HYKD Order Intake 2019 YTD</t>
  </si>
  <si>
    <t>Actual GSE/Tools HYKG Intercopany Revenue 2019 YTD</t>
  </si>
  <si>
    <t>Planned GSE/Tools HYKG Intercompany Revenue</t>
  </si>
  <si>
    <t>Revised GSE/Tools HYKG Intercompany Revenue</t>
  </si>
  <si>
    <t>Planned GSE/Tools HYKG Intercompany Revenue YTD</t>
  </si>
  <si>
    <t>Revised GSE/Tools HYKG Intercompany Revenue YTD</t>
  </si>
  <si>
    <t>Actual FCP Order Intake 2019 YTD</t>
  </si>
  <si>
    <t>Actual Service Order Intake 2019 YTD</t>
  </si>
  <si>
    <t>Actual Trading Order Intake 2019 YTD</t>
  </si>
  <si>
    <t>Actual FCP &amp; Service Order Intake 2019 YTD</t>
  </si>
  <si>
    <t>Revised II GSE/Tools HYKG Intercompany Revenue YTD</t>
  </si>
  <si>
    <t>Backlog 2021</t>
  </si>
  <si>
    <t>Cmde en Cours 2020</t>
  </si>
  <si>
    <t>OI Service</t>
  </si>
  <si>
    <t>CA Service</t>
  </si>
  <si>
    <t>Devis Service</t>
  </si>
  <si>
    <t>A</t>
  </si>
  <si>
    <t>HYDRO SYSTEMS KG</t>
  </si>
  <si>
    <t>B</t>
  </si>
  <si>
    <t>IGO</t>
  </si>
  <si>
    <t>SABENA</t>
  </si>
  <si>
    <t/>
  </si>
  <si>
    <t>Fourniture d'outillages et de moyens d'accès pour C130</t>
  </si>
  <si>
    <t>ASM</t>
  </si>
  <si>
    <t>BASE AERIENNE ISTRES</t>
  </si>
  <si>
    <t>VALLAIR</t>
  </si>
  <si>
    <t>DALE</t>
  </si>
  <si>
    <t>COLLINS AEROSPACE</t>
  </si>
  <si>
    <t>Conception et fabrication plateformes NH90 Caïman</t>
  </si>
  <si>
    <t>Services pour clients HYKG</t>
  </si>
  <si>
    <t>ASI+ABA</t>
  </si>
  <si>
    <t>ABA+ASI</t>
  </si>
  <si>
    <t>TUNISAIR TECHNICS - 68 488</t>
  </si>
  <si>
    <t>HOP</t>
  </si>
  <si>
    <t>KAWNEER</t>
  </si>
  <si>
    <t>INTERAPPRO - 393</t>
  </si>
  <si>
    <t>TCR France - 241</t>
  </si>
  <si>
    <t>ATR - 12 512</t>
  </si>
  <si>
    <t>Airbus Helicopters - 1 750</t>
  </si>
  <si>
    <t>Aviapartner Services Lyon - 2 665</t>
  </si>
  <si>
    <t>Roulettes</t>
  </si>
  <si>
    <t>L:\KL_CO\110_HYFR\AFFAIRES 2021\AIA\Devis n°4524-Renseignement roulettes</t>
  </si>
  <si>
    <t>Row Labels</t>
  </si>
  <si>
    <t>100048 / REEL SAS</t>
  </si>
  <si>
    <t>Hydro France - 441</t>
  </si>
  <si>
    <t>INTERAPPRO - 1 094</t>
  </si>
  <si>
    <t>ATR - 886</t>
  </si>
  <si>
    <t>ADF Technologies - Section TN - 403</t>
  </si>
  <si>
    <t>REEL SAS - 2 251</t>
  </si>
  <si>
    <t xml:space="preserve">Airbus Operations SAS - </t>
  </si>
  <si>
    <t>Air Austral - 51 600</t>
  </si>
  <si>
    <t>Hydro France - 318</t>
  </si>
  <si>
    <t>ROYAL AIR MAROC - 6 117</t>
  </si>
  <si>
    <t>REEL SAS - 2 192</t>
  </si>
  <si>
    <t>Airbus Operations SAS - 13 070</t>
  </si>
  <si>
    <t>ACTEMIUM - 660</t>
  </si>
  <si>
    <t>Sum of Net value in €</t>
  </si>
  <si>
    <t>Column Labels</t>
  </si>
  <si>
    <t>100028 / Airbus Operations SAS</t>
  </si>
  <si>
    <t>101022 / TARMAC Aerosave SAS</t>
  </si>
  <si>
    <t>100483 / ROYAL AIR MAROC</t>
  </si>
  <si>
    <t>101949 / Sabena Technics BOD</t>
  </si>
  <si>
    <t>TARMAC Aerosave SAS - 775</t>
  </si>
  <si>
    <t xml:space="preserve">Egypt Air - </t>
  </si>
  <si>
    <t>Air Mauritius Ltd. - 445</t>
  </si>
  <si>
    <t>L:\KL_CO\110_HYFR\AFFAIRES 2021\SABENA DNR\Devis n°4537A_Essais en charge liste vérins+crics</t>
  </si>
  <si>
    <t>Essais en charge liste de crics et vérins sur site Dinard</t>
  </si>
  <si>
    <t>SIRBEM - 1 280</t>
  </si>
  <si>
    <t>Sabena Technics MIR - 1 725</t>
  </si>
  <si>
    <t>Hydro France - 149 000</t>
  </si>
  <si>
    <t>REEL SAS - 298</t>
  </si>
  <si>
    <t>Safran Landing Systems - 43 810</t>
  </si>
  <si>
    <t xml:space="preserve">GOODRICH AEROSPACE EUROPE - </t>
  </si>
  <si>
    <t>ERAS - 115</t>
  </si>
  <si>
    <t>Air Caraibes Atlantique - 16 821</t>
  </si>
  <si>
    <t>REEL SAS - 5 995</t>
  </si>
  <si>
    <t>Egypt Air - 9 120</t>
  </si>
  <si>
    <t>South African Airways - 2 309</t>
  </si>
  <si>
    <t xml:space="preserve">South African Airways - </t>
  </si>
  <si>
    <t xml:space="preserve"> - 22 931</t>
  </si>
  <si>
    <t>2021-012</t>
  </si>
  <si>
    <t>REEL SAS - 2 009</t>
  </si>
  <si>
    <t>ELECTROIMPACT</t>
  </si>
  <si>
    <t>TCR France - 38</t>
  </si>
  <si>
    <t>SIRBEM - 84</t>
  </si>
  <si>
    <t>Hydro France - 1 668</t>
  </si>
  <si>
    <t>Ethiopian Airlines S.C. - 2 138</t>
  </si>
  <si>
    <t>Air France Industries - 53 267</t>
  </si>
  <si>
    <t>ROYAL AIR MAROC - 546</t>
  </si>
  <si>
    <t xml:space="preserve">Safran Landing Systems - </t>
  </si>
  <si>
    <t>THALES SIX GTS FRANCE S.S.S. - 99</t>
  </si>
  <si>
    <t>INTERAPPRO - 57</t>
  </si>
  <si>
    <t>ROYAL AIR MAROC - 1 435</t>
  </si>
  <si>
    <t>Airbus Helicopters - 3 632</t>
  </si>
  <si>
    <t>REEL SAS - 1 451</t>
  </si>
  <si>
    <t xml:space="preserve">AIRBUS Gron Saint-Nazaire - </t>
  </si>
  <si>
    <t>Air Austral - 642</t>
  </si>
  <si>
    <t>Air Tanzania Company Ltd. - 6 715</t>
  </si>
  <si>
    <t>TARMAC Aerosave SAS - 3 657</t>
  </si>
  <si>
    <t>Réparation sur outil n°107</t>
  </si>
  <si>
    <t>TARMAC Aerosave SAS - 10 386</t>
  </si>
  <si>
    <t>TARMAC Aerosave SAS - 14 922</t>
  </si>
  <si>
    <t>Air France Industries - 9 324</t>
  </si>
  <si>
    <t>Egyptair - 394</t>
  </si>
  <si>
    <t>REEL SAS - 1 637</t>
  </si>
  <si>
    <t>DESHONS HYDRAULIQUE - 28 050</t>
  </si>
  <si>
    <t>ROYAL AIR MAROC - 6 952</t>
  </si>
  <si>
    <t>HYDRO SYSTEMS France - 60</t>
  </si>
  <si>
    <t>Airbus Helicopters - 5 292</t>
  </si>
  <si>
    <t>TARMAC Aerosave SAS - 2 006</t>
  </si>
  <si>
    <t>HYDRO SYSTEMS France - 20 785</t>
  </si>
  <si>
    <t>MAZERES AERO - 46 058</t>
  </si>
  <si>
    <t xml:space="preserve">Air Caraibes Atlantique - </t>
  </si>
  <si>
    <t xml:space="preserve">Air France Industries - </t>
  </si>
  <si>
    <t>INTERAPPRO - 714</t>
  </si>
  <si>
    <t>Ethiopian Airlines S.C. - 600</t>
  </si>
  <si>
    <t>Aéroport Paris-Vatry - 455</t>
  </si>
  <si>
    <t xml:space="preserve">ATR - </t>
  </si>
  <si>
    <t>100403 / Airbus Helicopters</t>
  </si>
  <si>
    <t>100021 / Air France Industries</t>
  </si>
  <si>
    <t>L:\KL_CO\110_HYFR\AFFAIRES 2021\AIA\Devis n° 4555A - réf. 21047_Plateformes mobiles pour NH90_Caïman</t>
  </si>
  <si>
    <t>INTERAPPRO - 309</t>
  </si>
  <si>
    <t>TCR France - 33</t>
  </si>
  <si>
    <t>Air Algerie - 6 873</t>
  </si>
  <si>
    <t>TCR France - 400</t>
  </si>
  <si>
    <t>ATR - 1 624</t>
  </si>
  <si>
    <t>REEL SAS - 1 110</t>
  </si>
  <si>
    <t>Air Algerie - 43 238</t>
  </si>
  <si>
    <t>Corsair International - 80 071</t>
  </si>
  <si>
    <t>ATR - 5 111</t>
  </si>
  <si>
    <t xml:space="preserve">HYDRO SYSTEMS France - </t>
  </si>
  <si>
    <t>HYDRO SYSTEMS France - 4 386</t>
  </si>
  <si>
    <t>TARMAC Aerosave SAS - 6 026</t>
  </si>
  <si>
    <t>Operational Gross Margin</t>
  </si>
  <si>
    <t>Operational Gross Margin YTD</t>
  </si>
  <si>
    <t>Ethiopian Airlines S.C. - 699</t>
  </si>
  <si>
    <t>THALES SIX GTS FRANCE S.S.S. - 1 280</t>
  </si>
  <si>
    <t>Kenya Airways - 3 380</t>
  </si>
  <si>
    <t>Airbus Helicopters - 24 830</t>
  </si>
  <si>
    <t>REEL SAS - 468</t>
  </si>
  <si>
    <t>Actual AIA Revenue 2020 YTD</t>
  </si>
  <si>
    <t>Actual FCP Revenue 2020 YTD</t>
  </si>
  <si>
    <t>Actual Service Revenue 2020 YTD</t>
  </si>
  <si>
    <t>Actual Trading Revenue 2020 YTD</t>
  </si>
  <si>
    <t>Actual FCP &amp; Service Revenue 2020 YTD</t>
  </si>
  <si>
    <t>Actual GSE/Tools Commissions Revenue 2020 YTD</t>
  </si>
  <si>
    <t>Actual HYFR Revenu 2020 YTD (incl Trading)</t>
  </si>
  <si>
    <t>Planned FCP Revenue YTD (2021)</t>
  </si>
  <si>
    <t>Planned Trading Revenue YTD (2021)</t>
  </si>
  <si>
    <t>Planned FCP &amp; Service Revenue YTD (2021)</t>
  </si>
  <si>
    <t>Planned AIA Revenue YTD (2021)</t>
  </si>
  <si>
    <t>Planned GSE/Tools Commissions Revenue YTD (2021)</t>
  </si>
  <si>
    <t>Planned HYFR Revenue YTD (2021)</t>
  </si>
  <si>
    <t>Planned Service Revenue YTD (2021) including AIA</t>
  </si>
  <si>
    <t>GSE to AIA</t>
  </si>
  <si>
    <t>TCR France - 346</t>
  </si>
  <si>
    <t>ATR - 13 897</t>
  </si>
  <si>
    <t>Air France Industries - 1 958</t>
  </si>
  <si>
    <t>REEL SAS - 1 345</t>
  </si>
  <si>
    <t>SIRBEM - 58</t>
  </si>
  <si>
    <t>Ethiopian Airlines S.C. - 1 120</t>
  </si>
  <si>
    <t>THALES SIX GTS FRANCE S.S.S. - 1 397</t>
  </si>
  <si>
    <t>Egyptair - 97 000</t>
  </si>
  <si>
    <t>Garnet Aviation Systems - 41 356</t>
  </si>
  <si>
    <t>Samsic Assistance - 23 262</t>
  </si>
  <si>
    <t>ATR - 13 815</t>
  </si>
  <si>
    <t>PRIMAY COST / CM2 Serv Station / Revenue Service Station</t>
  </si>
  <si>
    <t>Spalte1</t>
  </si>
  <si>
    <t>Spalte2</t>
  </si>
  <si>
    <t>Spalte4</t>
  </si>
  <si>
    <t>Spalte7</t>
  </si>
  <si>
    <t>Spalte8</t>
  </si>
  <si>
    <t>Spalte9</t>
  </si>
  <si>
    <t>Spalte10</t>
  </si>
  <si>
    <t>Spalte11</t>
  </si>
  <si>
    <t>Spalte12</t>
  </si>
  <si>
    <t>Year</t>
  </si>
  <si>
    <t>Month</t>
  </si>
  <si>
    <t>OI_Year</t>
  </si>
  <si>
    <t>OI_Month</t>
  </si>
  <si>
    <t>ø</t>
  </si>
  <si>
    <t>Revenue_Month</t>
  </si>
  <si>
    <t>Revenue_Year</t>
  </si>
  <si>
    <t>Primary Costs</t>
  </si>
  <si>
    <t>CM2 Service Station</t>
  </si>
  <si>
    <t>Revenue Service Station</t>
  </si>
  <si>
    <t>Ø 2020</t>
  </si>
  <si>
    <t>Ø 2021</t>
  </si>
  <si>
    <t>01 2021</t>
  </si>
  <si>
    <t>04 2021</t>
  </si>
  <si>
    <t>07 2021</t>
  </si>
  <si>
    <t>08 2021</t>
  </si>
  <si>
    <t>02 2021</t>
  </si>
  <si>
    <t>03 2021</t>
  </si>
  <si>
    <t>05 2021</t>
  </si>
  <si>
    <t>06 2021</t>
  </si>
  <si>
    <t>09 2021</t>
  </si>
  <si>
    <t>10 2021</t>
  </si>
  <si>
    <t>11 2021</t>
  </si>
  <si>
    <t>12 2021</t>
  </si>
  <si>
    <t>FCST</t>
  </si>
  <si>
    <t>UNIT</t>
  </si>
  <si>
    <t>m€</t>
  </si>
  <si>
    <t>k€</t>
  </si>
  <si>
    <t>L:\KL_CO\110_HYFR\AFFAIRES 2021\AIA\Devis n° 4561A - 21005 - Entretien préventif et curatif des moyens de levage</t>
  </si>
  <si>
    <t>SERVICE AIA</t>
  </si>
  <si>
    <t>ROLLS ROYCE</t>
  </si>
  <si>
    <t>BASE AERIENNE ROMORANTIN</t>
  </si>
  <si>
    <t>Devis lot spares</t>
  </si>
  <si>
    <t>L:\KL_CO\110_HYFR\AFFAIRES 2021\BASE AERIENNE ROMORANTIN\Devis n° 4569A - Devis Hengstler</t>
  </si>
  <si>
    <t>SERVICE OTHER AIA</t>
  </si>
  <si>
    <t>Recertification crics</t>
  </si>
  <si>
    <t>Modification Safety kit</t>
  </si>
  <si>
    <t>L:\KL_CO\110_HYFR\AFFAIRES 2021\HYDRO KG\Devis n° 4571A - modification Safety Kit</t>
  </si>
  <si>
    <t>2021-030</t>
  </si>
  <si>
    <t>FCP AIA</t>
  </si>
  <si>
    <t>ENGINEERING AIA</t>
  </si>
  <si>
    <t>FCP OTHER AIA</t>
  </si>
  <si>
    <t>ENGINEERING IC</t>
  </si>
  <si>
    <t>SERVICE IC</t>
  </si>
  <si>
    <t>TRADING AIA</t>
  </si>
  <si>
    <t>TT-CP-00107-20</t>
  </si>
  <si>
    <t>TT-CP-00108-20</t>
  </si>
  <si>
    <t>TT-CP-00103-20</t>
  </si>
  <si>
    <t>TT-CP-00109-20</t>
  </si>
  <si>
    <t>TT-CP-00102-20</t>
  </si>
  <si>
    <t>TT-CP-00100-20</t>
  </si>
  <si>
    <t>TT-CP-00110-20</t>
  </si>
  <si>
    <t>TRADING OTHER AIA</t>
  </si>
  <si>
    <t>GSE (HYKG)</t>
  </si>
  <si>
    <t>TT-CP-00101-20</t>
  </si>
  <si>
    <t>4 2021</t>
  </si>
  <si>
    <t>5 2021</t>
  </si>
  <si>
    <t>6 2021</t>
  </si>
  <si>
    <t>7 2021</t>
  </si>
  <si>
    <t>8 2021</t>
  </si>
  <si>
    <t>9 2021</t>
  </si>
  <si>
    <t>TOTAL HYFR</t>
  </si>
  <si>
    <t>TOTAL HYFR + GSE (HYKG)</t>
  </si>
  <si>
    <t>AIRBUS OPERATIONS</t>
  </si>
  <si>
    <t>ENGINEERING IC REVENUE</t>
  </si>
  <si>
    <t>FCP AIA REVENUE</t>
  </si>
  <si>
    <t>FCP OTHER AIA REVENUE</t>
  </si>
  <si>
    <t>GSE to AIA REVENUE</t>
  </si>
  <si>
    <t>SERVICE AIA REVENUE</t>
  </si>
  <si>
    <t>SERVICE IC REVENUE</t>
  </si>
  <si>
    <t>SERVICE OTHER AIA REVENUE</t>
  </si>
  <si>
    <t>TRADING OTHER AIA REVENUE</t>
  </si>
  <si>
    <t>TRADING AIA REVENUE</t>
  </si>
  <si>
    <t>ENGINEERING AIA REV.YTD</t>
  </si>
  <si>
    <t>ENGINEERING IC REV.YTD</t>
  </si>
  <si>
    <t>FCP AIA REV.YTD</t>
  </si>
  <si>
    <t>FCP OTHER AIA REV.YTD</t>
  </si>
  <si>
    <t>GSE to AIA REV.YTD</t>
  </si>
  <si>
    <t>SERVICE AIA REV.YTD</t>
  </si>
  <si>
    <t>SERVICE IC REV.YTD</t>
  </si>
  <si>
    <t>SERVICE OTHER AIA REV.YTD</t>
  </si>
  <si>
    <t>TRADING OTHER AIA REV.YTD</t>
  </si>
  <si>
    <t>TRADING AIA REV.YTD</t>
  </si>
  <si>
    <t>CW ORDER</t>
  </si>
  <si>
    <t>CW REV</t>
  </si>
  <si>
    <t>FCP AIA OI</t>
  </si>
  <si>
    <t>FCP OTHER AIA OI</t>
  </si>
  <si>
    <t>GSE to AIA OI</t>
  </si>
  <si>
    <t>SERVICE AIA OI</t>
  </si>
  <si>
    <t>SERVICE IC OI</t>
  </si>
  <si>
    <t>SERVICE OTHER AIA OI</t>
  </si>
  <si>
    <t>TRADING OTHER AIA OI</t>
  </si>
  <si>
    <t>TRADING AIA OI</t>
  </si>
  <si>
    <t>ENGINEERING AIA OI YTD</t>
  </si>
  <si>
    <t>ENGINEERING IC OI YTD</t>
  </si>
  <si>
    <t>FCP AIA OI YTD</t>
  </si>
  <si>
    <t>FCP OTHER AIA OI YTD</t>
  </si>
  <si>
    <t>GSE to AIA OI YTD</t>
  </si>
  <si>
    <t>SERVICE AIA OI YTD</t>
  </si>
  <si>
    <t>SERVICE IC OI YTD</t>
  </si>
  <si>
    <t>SERVICE OTHER AIA OI YTD</t>
  </si>
  <si>
    <t>TRADING OTHER AIA OI YTD</t>
  </si>
  <si>
    <t>TRADING AIA OI YTD</t>
  </si>
  <si>
    <t>ENGINEERING IC OI</t>
  </si>
  <si>
    <t>ENGINEERING AIA OI</t>
  </si>
  <si>
    <t>Mar</t>
  </si>
  <si>
    <t>May</t>
  </si>
  <si>
    <t>Oct</t>
  </si>
  <si>
    <t>Dec</t>
  </si>
  <si>
    <t>100238 / Egyptair</t>
  </si>
  <si>
    <t>100043 / Air Austral</t>
  </si>
  <si>
    <t>107996 / MAZERES AERO</t>
  </si>
  <si>
    <t>∆  ACT PLAN</t>
  </si>
  <si>
    <t>k €</t>
  </si>
  <si>
    <t xml:space="preserve">ACT </t>
  </si>
  <si>
    <t xml:space="preserve">PLAN </t>
  </si>
  <si>
    <t>ORDER INTAKE</t>
  </si>
  <si>
    <t>2021-023</t>
  </si>
  <si>
    <t>ADF</t>
  </si>
  <si>
    <t>Revenue Service Station Budget</t>
  </si>
  <si>
    <t>CM2 Service Station Budget</t>
  </si>
  <si>
    <t>Primary Costs Budget</t>
  </si>
  <si>
    <t>BUDGET OI</t>
  </si>
  <si>
    <t>Revenue Service Current Cumulated</t>
  </si>
  <si>
    <t>CM2 Service Station Cumulated</t>
  </si>
  <si>
    <t>Primary Costs Cumulated</t>
  </si>
  <si>
    <t>CURRENT OI CUMULATED</t>
  </si>
  <si>
    <t>CURRENT REVENUE CUMULATED</t>
  </si>
  <si>
    <t>LATECOERE</t>
  </si>
  <si>
    <t>ENGINEERING AIA REVENUE</t>
  </si>
  <si>
    <t>Backlog excluding AIA</t>
  </si>
  <si>
    <t>2021-051</t>
  </si>
  <si>
    <t>Réparation RRT068182</t>
  </si>
  <si>
    <t>L:\KL_CO\110_HYFR\AFFAIRES 2021\ROLLS ROYCE\Devis n° 4604A - Réparation Draining Tool</t>
  </si>
  <si>
    <t>Crics C130 - RC3515B5A0A03</t>
  </si>
  <si>
    <t>L:\KL_CO\110_HYFR\AFFAIRES 2021\AIA\Devis n°4605A - DCE-REC8 LOT 1 - crics RC3515B5A0A03</t>
  </si>
  <si>
    <t>Entretien préventif et curatif des moyens de levage - Candidature</t>
  </si>
  <si>
    <t>Négo contrat cadre en cours-Décalé plus Q3 2021</t>
  </si>
  <si>
    <t>Réparation sur outil n°106</t>
  </si>
  <si>
    <t>Réparation sur outil n°125</t>
  </si>
  <si>
    <t>L:\KL_CO\110_HYFR\AFFAIRES 2021\BASE AERIENNE ISTRES\Devis n°4626A - Inspection outillage LANGA</t>
  </si>
  <si>
    <t>L:\KL_CO\110_HYFR\AFFAIRES 2021\BASE AERIENNE ISTRES\Devis n°4627A - Maintenance annuelle AGSE-Y002-G01</t>
  </si>
  <si>
    <t>L:\KL_CO\110_HYFR\AFFAIRES 2021\VALLAIR\Devis n°4630 - Calibration palans et cric TMH</t>
  </si>
  <si>
    <t>Calibration palans et cric</t>
  </si>
  <si>
    <t>L:\KL_CO\110_HYFR\AFFAIRES 2021\VALLAIR\Devis N°4631 - Réparation et Recertification MLGTMULTI</t>
  </si>
  <si>
    <t>Réparation chariots</t>
  </si>
  <si>
    <t>L:\KL_CO\110_HYFR\AFFAIRES 2021\LATECOERE\Devis n°4633A - Réparation chariots (Qty 13)</t>
  </si>
  <si>
    <t>Vérification et maintenance d'appareils de levage</t>
  </si>
  <si>
    <t>L:\KL_CO\110_HYFR\AFFAIRES 2021\BASE DE DEFENSE DE TOULON\Devis n°4634 - Vérification et maintenance des appareils de levage Toulon</t>
  </si>
  <si>
    <t>AIA BORDEAUX</t>
  </si>
  <si>
    <t>BASE DE DEFENSE DE TOULON</t>
  </si>
  <si>
    <t>Phase de candidature remise</t>
  </si>
  <si>
    <t>2021-016</t>
  </si>
  <si>
    <t>Modification de 4 Cobra</t>
  </si>
  <si>
    <t>2021-080</t>
  </si>
  <si>
    <t>Remplacement pièces MLGTMULTI-1-AA + VGP</t>
  </si>
  <si>
    <t>Fab chariot acier et bâti alu</t>
  </si>
  <si>
    <t>L:\KL_CO\110_HYFR\AFFAIRES 2021\ELECTROIMPACT\Devis n° 4656 - Fourniture de châssis suivant plans</t>
  </si>
  <si>
    <t>150 € remise si livraison groupée</t>
  </si>
  <si>
    <t>Inspection outillages LANGA (A330-92010-0001)</t>
  </si>
  <si>
    <t>Maintenance annuelle palan AGSE</t>
  </si>
  <si>
    <t>2021-061</t>
  </si>
  <si>
    <t>2021-065</t>
  </si>
  <si>
    <t>fournisseurs externes contactés (Blix)</t>
  </si>
  <si>
    <t>L:\KL_CO\110_HYFR\AFFAIRES 2021\AIA BORDEAUX\Devis n°4663A - Fabrication caisses plastique</t>
  </si>
  <si>
    <t>Attente réception moyen</t>
  </si>
  <si>
    <t>L:\KL_CO\110_HYFR\AFFAIRES 2021\IGO\Devis n°4666 - Recertification FEN122A21</t>
  </si>
  <si>
    <t>Vérification crics et vérins</t>
  </si>
  <si>
    <t>L:\KL_CO\110_HYFR\AFFAIRES 2021\AIA CF\Devis n°4668 - Maintenance Noria n°5</t>
  </si>
  <si>
    <t>Recertification FEN122A21</t>
  </si>
  <si>
    <t>Stockage container MERO</t>
  </si>
  <si>
    <t>L:\KL_CO\110_HYFR\AFFAIRES 2021\AIA CF\Devis n°4671A - DCE_Rec9_lot 1 - Fourniture d'outillages pour C130</t>
  </si>
  <si>
    <t>L:\KL_CO\110_HYFR\AFFAIRES 2021\AIA CF\Devis n°4673 -  réf. 4172117 - Conception et réalisation chariots ATL2</t>
  </si>
  <si>
    <t>Confection caissons</t>
  </si>
  <si>
    <t>L:\KL_CO\110_HYFR\AFFAIRES 2021\AIA CF\Devis n°4674 - réf. 417216 - Confection de caissons</t>
  </si>
  <si>
    <t>Remise de l'offre 16/11</t>
  </si>
  <si>
    <t>Relancé semaine 44</t>
  </si>
  <si>
    <t>Intervention sur TTR correction hauteur enrouleurs</t>
  </si>
  <si>
    <t>L:\KL_CO\110_HYFR\AFFAIRES 2021\AIRBUS OPERATIONS SAS\Devis n°4677A - Guide Câble TTRs M67</t>
  </si>
  <si>
    <t>L:\KL_CO\110_HYFR\AFFAIRES 2021\HYDRO KG\Devis n°4678A - Fourniture oil reservoir</t>
  </si>
  <si>
    <t>L:\KL_CO\110_HYFR\AFFAIRES 2021\HYDRO KG\Devis n°4679A - manille lyre</t>
  </si>
  <si>
    <t>Maintenance curative crics et vérins</t>
  </si>
  <si>
    <t>Noria n°5 remise en service</t>
  </si>
  <si>
    <t>Remise en service crics et vérins</t>
  </si>
  <si>
    <t>\\HY07\Public\KL_CO\110_HYFR\AFFAIRES 2021\AIA CF\Devis n°4683 - Maintenance Noria n°6</t>
  </si>
  <si>
    <t>\\HY07\Public\KL_CO\110_HYFR\AFFAIRES 2021\AIA CF\Devis n°4684 - Curatif Noria n°6</t>
  </si>
  <si>
    <t>Attente chiffrage HYKG</t>
  </si>
  <si>
    <t xml:space="preserve">Lot de Balls Transfer </t>
  </si>
  <si>
    <t>L:\KL_CO\110_HYFR\AFFAIRES 2021\COLLINS\Devis n°4681 - Marquage au sol pedestal A350</t>
  </si>
  <si>
    <t>Coûts main d'œuvre</t>
  </si>
  <si>
    <t>Marge</t>
  </si>
  <si>
    <t>2021-099</t>
  </si>
  <si>
    <t>Réparation cric RT4550-001</t>
  </si>
  <si>
    <t>Attente chiffrage pour mise à jour PO</t>
  </si>
  <si>
    <t>L:\KL_CO\110_HYFR\AFFAIRES 2021\HOP\Devis n°4687A - Réparation RT4550-001</t>
  </si>
  <si>
    <t>2021-098</t>
  </si>
  <si>
    <t>Marge %</t>
  </si>
  <si>
    <t>L:\KL_CO\110_HYFR\AFFAIRES 2021\ADF\Devis n°4690A - Changement kit de joints pompe</t>
  </si>
  <si>
    <t>Changement joints pompes + VGP sur site client</t>
  </si>
  <si>
    <t>Devis transféré à la DMAé, en attente de retour (relancé sem47)</t>
  </si>
  <si>
    <t>Recertification et entretien hoist</t>
  </si>
  <si>
    <t>L:\KL_CO\110_HYFR\AFFAIRES 2021\DALE\Devis n°4693A - Calibration hoist</t>
  </si>
  <si>
    <t>L:\KL_CO\110_HYFR\AFFAIRES 2021\ADF\Devis n°4691A  - Changement kit de joints pompe in-house</t>
  </si>
  <si>
    <t>Conception et facbrication chariot roues C130</t>
  </si>
  <si>
    <t>Date et heure limite de remise des plis : 13/01/2022 17:30</t>
  </si>
  <si>
    <t>L:\KL_CO\110_HYFR\AFFAIRES 2021\AIA CF\Devis N°4692 - Conception et fabrication chariots de stockage roues C130</t>
  </si>
  <si>
    <t>2021-102</t>
  </si>
  <si>
    <t>Recertification A400M tripod set</t>
  </si>
  <si>
    <t>L:\KL_CO\110_HYFR\AFFAIRES 2021\AIRBUS DEFENCE AND SPACE\Devis n°4694 - Recertification vérins A400M</t>
  </si>
  <si>
    <t>2021-101</t>
  </si>
  <si>
    <t>TOOLING AIA</t>
  </si>
  <si>
    <t>TOOLING OTHER AIA</t>
  </si>
  <si>
    <t>Fabrication flans en contreplaqué</t>
  </si>
  <si>
    <t>L:\KL_CO\110_HYFR\AFFAIRES 2021\AIA BORDEAUX\Devis n°4695A - Fabrication flans en contreplaqué</t>
  </si>
  <si>
    <t>2021-106</t>
  </si>
  <si>
    <t>Noria n°6 remise en service</t>
  </si>
  <si>
    <t>Noria n°6 maintenance curative devis à remettre le 21/12</t>
  </si>
  <si>
    <t>2021-104</t>
  </si>
  <si>
    <t>Retard de paiement à régler</t>
  </si>
  <si>
    <t>Délai 5 semaines sous réserve disponibilité panneaux</t>
  </si>
  <si>
    <t>INEO ENGIE</t>
  </si>
  <si>
    <t>2021-107</t>
  </si>
  <si>
    <t>Recertification cric RT4550-001</t>
  </si>
  <si>
    <t>L:\KL_CO\110_HYFR\AFFAIRES 2021\HOP\Devis n°4698A - Recertification RT4550-001</t>
  </si>
  <si>
    <t>L:\KL_CO\110_HYFR\AFFAIRES 2021\ENGIE SOLUTIONS\Devis n°4697A - Calibration crics RS0609A1A1A01</t>
  </si>
  <si>
    <t>Liste des moyens demandés avec S/N</t>
  </si>
  <si>
    <t>L:\KL_CO\110_HYFR\AFFAIRES 2021\AIRBUS DEFENCE AND SPACE\Devis n°4700 - Recertification vérins A400M_2ème partie</t>
  </si>
  <si>
    <t>DASSAULT</t>
  </si>
  <si>
    <t>L:\KL_CO\110_HYFR\AFFAIRES 2021\DASSAULT\Devis n° 4699A - Recertification vérins Nice et Rome</t>
  </si>
  <si>
    <t>Repair + Test statique sur site client orleans</t>
  </si>
  <si>
    <t>Test statique sur site client rome</t>
  </si>
  <si>
    <t>AIR ARABIA MAROC</t>
  </si>
  <si>
    <t>L:\KL_CO\110_HYFR\AFFAIRES 2021\AIR ARABIA MAROC\Devis n° 4701 - Réparation RT6050</t>
  </si>
  <si>
    <t>Réparation RT6050</t>
  </si>
  <si>
    <t>VGP cric F7XC203259602</t>
  </si>
  <si>
    <t>L:\KL_CO\110_HYFR\AFFAIRES 2021\DASSAULT\Devis n°4702A - Cric F7XC203259602</t>
  </si>
  <si>
    <t>BU</t>
  </si>
  <si>
    <t>TOO</t>
  </si>
  <si>
    <t>SER</t>
  </si>
  <si>
    <t>BU GSE</t>
  </si>
  <si>
    <t>BU Tooling</t>
  </si>
  <si>
    <t>BU Service</t>
  </si>
  <si>
    <t>BU_Key</t>
  </si>
  <si>
    <t>Order Intake by Business Field</t>
  </si>
  <si>
    <t>Order Intake by PSP HYFR Group</t>
  </si>
  <si>
    <t>INT</t>
  </si>
  <si>
    <t>Intercompany</t>
  </si>
  <si>
    <t>Revenue by Business Field</t>
  </si>
  <si>
    <t>Ø 2022</t>
  </si>
  <si>
    <t>2021-109</t>
  </si>
  <si>
    <t>Changement joints pompes + VGP in-house</t>
  </si>
  <si>
    <t>Réparation RRT095945</t>
  </si>
  <si>
    <t>L:\KL_CO\110_HYFR\AFFAIRES 2022\ROLLS ROYCE\Devis n° 4704 - Réparation RRT095945</t>
  </si>
  <si>
    <t>ACTEMIUM</t>
  </si>
  <si>
    <t>Calibraion PVTP91</t>
  </si>
  <si>
    <t>L:\KL_CO\110_HYFR\AFFAIRES 2022\ACTEMIUM\Devis n°4705_Calibration PVTP91-100</t>
  </si>
  <si>
    <t>C</t>
  </si>
  <si>
    <t>AIR France</t>
  </si>
  <si>
    <t>2022-005</t>
  </si>
  <si>
    <t>Travaux peinture outillage chez Air France</t>
  </si>
  <si>
    <t>Retrofit RRT111117-1</t>
  </si>
  <si>
    <t>L:\KL_CO\110_HYFR\AFFAIRES 2022\HYDRO SYSTEMS KG\Devis n°4706_Intervention Air France</t>
  </si>
  <si>
    <t>L:\KL_CO\110_HYFR\AFFAIRES 2022\AIR FRANCE\Devis n°4707_Retrofit RRT111117-1</t>
  </si>
  <si>
    <t>2022-003</t>
  </si>
  <si>
    <t>29/02</t>
  </si>
  <si>
    <t>2022-006</t>
  </si>
  <si>
    <t>Recertification MLGTMULTI</t>
  </si>
  <si>
    <t>L:\KL_CO\110_HYFR\AFFAIRES 2021\VALLAIR\Devis n°4641 - Essais en charge MLGTMULTI HYFR</t>
  </si>
  <si>
    <t>AIRBUS</t>
  </si>
  <si>
    <t>Modification cric SG278-001</t>
  </si>
  <si>
    <t>L:\KL_CO\110_HYFR\AFFAIRES 2022\AIRBUS\Devis n°4708 - Modification SG278-001</t>
  </si>
  <si>
    <t>2022-007</t>
  </si>
  <si>
    <t>\\HY07\Public\KL_CO\110_HYFR\AFFAIRES 2021\AIA CF\Devis n°4686 - Curatif Noria n°6</t>
  </si>
  <si>
    <t>\\HY07\Public\KL_CO\110_HYFR\AFFAIRES 2021\AIA CF\Devis n°4685 - Maintenance Noria n°6</t>
  </si>
  <si>
    <t>L:\KL_CO\110_HYFR\AFFAIRES 2022\AIA\Devis n°4709 - Maintenance Noria n°7</t>
  </si>
  <si>
    <t>L:\KL_CO\110_HYFR\AFFAIRES 2022\AIA\Devis n°4710 - Curatif Noria n°7</t>
  </si>
  <si>
    <t>SABENA NIMES</t>
  </si>
  <si>
    <t>Réparation RT6050-001</t>
  </si>
  <si>
    <t>L:\KL_CO\110_HYFR\AFFAIRES 2022\SABENA NIMES\Devis n° 4711 - Réparation RT6050-001</t>
  </si>
  <si>
    <t>BU GSE OI</t>
  </si>
  <si>
    <t>BU Tooling OI</t>
  </si>
  <si>
    <t>BU Service OI</t>
  </si>
  <si>
    <t>BU GSE OI YTD</t>
  </si>
  <si>
    <t>BU Tooling OI YTD</t>
  </si>
  <si>
    <t>BU Service OI YTD</t>
  </si>
  <si>
    <t>BU GSE REV.</t>
  </si>
  <si>
    <t>BU Tooling REV.</t>
  </si>
  <si>
    <t>BU Service REV.</t>
  </si>
  <si>
    <t>BU GSE REV. YTD</t>
  </si>
  <si>
    <t>BU Tooling REV. YTD</t>
  </si>
  <si>
    <t>BU Service REV. YTD</t>
  </si>
  <si>
    <t>Recertification cric RT4550-001 non conforme</t>
  </si>
  <si>
    <t>Intercompany REV. YTD</t>
  </si>
  <si>
    <t>Intercompany OI YTD</t>
  </si>
  <si>
    <t>Réparation RRT050571-3 S/N 10</t>
  </si>
  <si>
    <t>L:\KL_CO\110_HYFR\AFFAIRES 2022\ROLLS ROYCE\Devis n° 4712 - Réparation RRT050571-3</t>
  </si>
  <si>
    <t>Phase candidature déposée le 03/05 - Pour étude faisabilité uniquement</t>
  </si>
  <si>
    <t>2022-009</t>
  </si>
  <si>
    <t>Devis neuf envoyé : le client a choisi la réparation</t>
  </si>
  <si>
    <t>L:\KL_CO\110_HYFR\AFFAIRES 2022\HOP\Devis n°4713 - Recertification RT4550</t>
  </si>
  <si>
    <t>2022-010</t>
  </si>
  <si>
    <t>OPCO 2I</t>
  </si>
  <si>
    <t>NA</t>
  </si>
  <si>
    <t>2022-011</t>
  </si>
  <si>
    <t>Habilitation électrique</t>
  </si>
  <si>
    <t>2022-013</t>
  </si>
  <si>
    <t>Validé par le client, en attente de réception PO - Nouveau devis repair : attente mise à jour PO</t>
  </si>
  <si>
    <t>AIRBUS DEFENSE &amp; SPACE</t>
  </si>
  <si>
    <t>Recertification vérins A400M Clermont-Ferrand</t>
  </si>
  <si>
    <t>Commande ADS reçue à HYKG</t>
  </si>
  <si>
    <t>L:\KL_CO\110_HYFR\AFFAIRES 2022\HYDRO SYSTEMS KG\Devis n°4714 - Maintenance pour ADS vérins A400M CF</t>
  </si>
  <si>
    <t>ROYAL AIR MAROC</t>
  </si>
  <si>
    <t>Recertification outillages</t>
  </si>
  <si>
    <t>Réparation vérins</t>
  </si>
  <si>
    <t>L:\KL_CO\110_HYFR\AFFAIRES 2022\ROYAL AIR MAROC\Devis n°4716 - Calibration outillages</t>
  </si>
  <si>
    <t>L:\KL_CO\110_HYFR\AFFAIRES 2022\ROYAL AIR MAROC\Devis n°4717 - Réparation vérins</t>
  </si>
  <si>
    <t>L:\KL_CO\110_HYFR\AFFAIRES 2022\ROYAL AIR MAROC\Devis n°4718 - Calibration outillages Boeing</t>
  </si>
  <si>
    <t>2022-015</t>
  </si>
  <si>
    <t>DMAé</t>
  </si>
  <si>
    <t>Docks de nez AWACS</t>
  </si>
  <si>
    <t>L:\KL_CO\110_HYFR\AFFAIRES 2022\DMAé\Devis n° 4715 - Acquisition d'un dock de nez AWACS</t>
  </si>
  <si>
    <t>Calibration outillages</t>
  </si>
  <si>
    <t>L:\KL_CO\110_HYFR\AFFAIRES 2022\ROYAL AIR MAROC\Devis n°4719 - Calibration outillages</t>
  </si>
  <si>
    <t>Recertification bootstrap</t>
  </si>
  <si>
    <t>D</t>
  </si>
  <si>
    <t>Recertificatino vérins A400M Clermont-Ferrand</t>
  </si>
  <si>
    <t>Intervention semaine 10</t>
  </si>
  <si>
    <t>Date intervention à confirmer</t>
  </si>
  <si>
    <t>Recertification cric et vérin</t>
  </si>
  <si>
    <t>L:\KL_CO\110_HYFR\AFFAIRES 2022\TARMAC\Devis n°4721 - Recertifiation cric et vérin</t>
  </si>
  <si>
    <t>TARMAC</t>
  </si>
  <si>
    <t>P/N non identifié, manuel demandé au client</t>
  </si>
  <si>
    <t>Calibration hoist K20008-55</t>
  </si>
  <si>
    <t>L:\KL_CO\110_HYFR\AFFAIRES 2022\ROYAL AIR MAROC\Devis n°4722 - Calibration hoist</t>
  </si>
  <si>
    <t>Calibration manomètre</t>
  </si>
  <si>
    <t>L:\KL_CO\110_HYFR\AFFAIRES 2022\ROYAL AIR MAROC\Devis n°4723 - Calibration mano</t>
  </si>
  <si>
    <t>Calibration sling equipment</t>
  </si>
  <si>
    <t>2AS</t>
  </si>
  <si>
    <t>in-house. Client a demandé chiffrage sur site, mais trop cher</t>
  </si>
  <si>
    <t>L:\KL_CO\110_HYFR\AFFAIRES 2022\2AS\Devis n°4720 - Recertification crics</t>
  </si>
  <si>
    <t>L:\KL_CO\110_HYFR\AFFAIRES 2022\ROYAL AIR MAROC\Devis n°4724 - Calibration Sling</t>
  </si>
  <si>
    <t>2022-016</t>
  </si>
  <si>
    <t>Réception moyen prévue semaine 7</t>
  </si>
  <si>
    <t>Formation COBRA</t>
  </si>
  <si>
    <t>L:\KL_CO\110_HYFR\AFFAIRES 2022\AIRBUS\Devis n°4727 - Formation COBRA</t>
  </si>
  <si>
    <t>Commissioning SG248</t>
  </si>
  <si>
    <t>L:\KL_CO\110_HYFR\AFFAIRES 2022\HYDRO SYSTEMS KG\Devis n°4726 - Commissioning pour ADS kits SG248</t>
  </si>
  <si>
    <t>DGA</t>
  </si>
  <si>
    <t>DT0623K1D1B01A0 en remplacement D01258</t>
  </si>
  <si>
    <t>L:\KL_CO\110_HYFR\AFFAIRES 2022\DGA\Devis n°4725 -  DT0623K1D1B01A0 en remplacement du D01258</t>
  </si>
  <si>
    <t>2022-018</t>
  </si>
  <si>
    <t>Offre envoyée en précisant hors transport, hors frais de douanes</t>
  </si>
  <si>
    <t>Recertifications moyens on-site Azereix</t>
  </si>
  <si>
    <t>L:\KL_CO\110_HYFR\AFFAIRES 2022\TARMAC\Devis n°4728 - Recertification on-site</t>
  </si>
  <si>
    <t>L:\KL_CO\110_HYFR\AFFAIRES 2022\AIA\Devis n°4729 - Maintenance Noria n°8</t>
  </si>
  <si>
    <t>L:\KL_CO\110_HYFR\AFFAIRES 2022\AIA\Devis n°4730 - Curatif Noria n°8</t>
  </si>
  <si>
    <t>SPIE</t>
  </si>
  <si>
    <t>Maintenance moyens Hydro sur Airbus SNZ</t>
  </si>
  <si>
    <t>L:\KL_CO\110_HYFR\AFFAIRES 2022\SPIE\Devis n°4731 - Maintenance moyens HYDRO</t>
  </si>
  <si>
    <t>L:\KL_CO\110_HYFR\AFFAIRES 2022\TARMAC\Devis n°4733 - Réparation et recertification</t>
  </si>
  <si>
    <t>2022-004</t>
  </si>
  <si>
    <t>2022-017</t>
  </si>
  <si>
    <t>Réception moyen prévue semaine 8-9</t>
  </si>
  <si>
    <t>2022-020</t>
  </si>
  <si>
    <t>Intervention demandée courant avril</t>
  </si>
  <si>
    <t>2022-021</t>
  </si>
  <si>
    <t>Recertification cric</t>
  </si>
  <si>
    <t>Réparation palan</t>
  </si>
  <si>
    <t>Réception prévue semaine 8</t>
  </si>
  <si>
    <t>2022-008</t>
  </si>
  <si>
    <t>AIR CARAIBES</t>
  </si>
  <si>
    <t>2021-093</t>
  </si>
  <si>
    <t>Annulation facture 5177</t>
  </si>
  <si>
    <t>Refacturation facture 5177 sans TVA</t>
  </si>
  <si>
    <t>L:\KL_CO\110_HYFR\AFFAIRES 2021\AIR CARAIBES\Devis 4661 - Réparation sur site N3</t>
  </si>
  <si>
    <t>2022-014</t>
  </si>
  <si>
    <t>Autorisation de conduite R484</t>
  </si>
  <si>
    <t>L:\KL_CO\110_HYFR\AFFAIRES 2022\IGO\Devis n°4734 - Réparation crics et palans</t>
  </si>
  <si>
    <t>Attente mise à jour PO client</t>
  </si>
  <si>
    <t>2022-023</t>
  </si>
  <si>
    <t>Réalisation d'un chariot ATL2</t>
  </si>
  <si>
    <t>Conception d'un chariot ATL2</t>
  </si>
  <si>
    <t>2022-022</t>
  </si>
  <si>
    <t>L:\KL_CO\110_HYFR\AFFAIRES 2022\ROYAL AIR MAROC\Devis n°4732 - Calibration Sling</t>
  </si>
  <si>
    <t>Attente retour fournisseurs - Remise de l'offre 15/11 - Déclaré sans suite le 18/02/2022</t>
  </si>
  <si>
    <t>SABENA PERPIGNAN</t>
  </si>
  <si>
    <t>L:\KL_CO\110_HYFR\AFFAIRES 2022\SABENA PERPIGNAN\Devis n° 4738 - Réparation cric RH1029A1A0A01</t>
  </si>
  <si>
    <t>Moyen non conforme</t>
  </si>
  <si>
    <t>2022-024</t>
  </si>
  <si>
    <t>2022-025</t>
  </si>
  <si>
    <t>AIR CORSICA</t>
  </si>
  <si>
    <t>Calibration in-house crics</t>
  </si>
  <si>
    <t>Calibration on-site vérins</t>
  </si>
  <si>
    <t>Fourniture shearpins</t>
  </si>
  <si>
    <t>L:\KL_CO\110_HYFR\AFFAIRES 2022\AIR CORSICA\Devis n°4739 - Calibration in-house crics</t>
  </si>
  <si>
    <t>L:\KL_CO\110_HYFR\AFFAIRES 2022\AIR CORSICA\Devis n°4740 - Calibration on-site vérins</t>
  </si>
  <si>
    <t>L:\KL_CO\110_HYFR\AFFAIRES 2022\AIA\Devis n°4741 - Fourniture spare</t>
  </si>
  <si>
    <t>2022-026</t>
  </si>
  <si>
    <t>Calibration cric RA4510K2A0A10</t>
  </si>
  <si>
    <t>L:\KL_CO\110_HYFR\AFFAIRES 2022\AIR CORSICA\Devis n°4742 - Calibration in-house cric</t>
  </si>
  <si>
    <t>2022-027</t>
  </si>
  <si>
    <t>2022-028</t>
  </si>
  <si>
    <t>L:\KL_CO\110_HYFR\AFFAIRES 2022\HOP\Devis n°4743 - Calibration RT4550</t>
  </si>
  <si>
    <t>Fait par HYKG car pas possible de créer fournisseur HYFR</t>
  </si>
  <si>
    <t>L:\KL_CO\110_HYFR\AFFAIRES 2022\ROYAL AIR MAROC\Devis n°4747 - Calibration outillages</t>
  </si>
  <si>
    <t>2022-029</t>
  </si>
  <si>
    <t>ASL AIRLINES</t>
  </si>
  <si>
    <t>2022-030</t>
  </si>
  <si>
    <t>L:\KL_CO\110_HYFR\AFFAIRES 2022\ASL AIRLINES\Devis n°4744 - Recertification et réparation crics</t>
  </si>
  <si>
    <t>2022-031</t>
  </si>
  <si>
    <t>2022-032</t>
  </si>
  <si>
    <t>L:\KL_CO\110_HYFR\AFFAIRES 2022\TARMAC\Devis n°4749 - Calibration TR19-10-00</t>
  </si>
  <si>
    <t>2022-033</t>
  </si>
  <si>
    <t>Attente réception moyen + moyen de test HYKG</t>
  </si>
  <si>
    <t>Noria n°6 (anciennement n°7) remise en service - 1ère partie</t>
  </si>
  <si>
    <t>Noria n°6 (anciennement n°7) remise en service - 2ème partie</t>
  </si>
  <si>
    <t>Noria n°7 - Remise en service 1ère partie (moyen non réparable)</t>
  </si>
  <si>
    <t>Noria n° 7 - devis maintenance curative à remettre le 02/03/2022 - Envoyé le 23/02/2022</t>
  </si>
  <si>
    <t>Noria n°6 (anciennement n°7) maintenance curative - 2 moyens non réparables</t>
  </si>
  <si>
    <t>Plus besoin</t>
  </si>
  <si>
    <t>Besoin plus d'actualité</t>
  </si>
  <si>
    <t>Fait par HYKG</t>
  </si>
  <si>
    <t>Changement flexibles et vidange suite calibration RT4550-001</t>
  </si>
  <si>
    <t>Réponse envoyée le 08/03/22</t>
  </si>
  <si>
    <t>Noria n°9 - Remise en service</t>
  </si>
  <si>
    <t>2022-034</t>
  </si>
  <si>
    <t>2022-035</t>
  </si>
  <si>
    <t>Moyen à recevoir</t>
  </si>
  <si>
    <t>Manuels non fournis par le client qui a envoyé l'outillage chez un autre fournisseur</t>
  </si>
  <si>
    <t>Noria n°8 - Remise en service - PO à confirmer, en attente modification AIA</t>
  </si>
  <si>
    <t>2022-036</t>
  </si>
  <si>
    <t>L:\KL_CO\110_HYFR\AFFAIRES 2022\HOP\Devis n°4758 - Réparation RT4550</t>
  </si>
  <si>
    <t>L:\KL_CO\110_HYFR\AFFAIRES 2022\ROYAL AIR MAROC\Devis n°4757 - Calibration altimètre_DRA707</t>
  </si>
  <si>
    <t>L:\KL_CO\110_HYFR\AFFAIRES 2022\ROYAL AIR MAROC\Devis n°4756 - Calibration chain drive hoist_AP6108-6-25</t>
  </si>
  <si>
    <t>L:\KL_CO\110_HYFR\AFFAIRES 2022\ROYAL AIR MAROC\Devis n°4755 - Calibration wattmetre_43</t>
  </si>
  <si>
    <t>L:\KL_CO\110_HYFR\AFFAIRES 2022\ROYAL AIR MAROC\Devis n°4754 - Calibration test set_TR-36</t>
  </si>
  <si>
    <t>Offre budgétaire : le client utilisera ces tarifs tout au long de l'année</t>
  </si>
  <si>
    <t>BABCOCK</t>
  </si>
  <si>
    <t>Réparation vérin in-house D00406C1B1A02A0</t>
  </si>
  <si>
    <t xml:space="preserve">Réparation RT4550-001 in-house </t>
  </si>
  <si>
    <t xml:space="preserve">Calibration DRA707 in-house </t>
  </si>
  <si>
    <t xml:space="preserve">Caliration AP6108 in-house </t>
  </si>
  <si>
    <t xml:space="preserve">Calibration 43 in-house </t>
  </si>
  <si>
    <t xml:space="preserve">Calibration TR-36 in-house </t>
  </si>
  <si>
    <t xml:space="preserve">Recertification cric in-house </t>
  </si>
  <si>
    <t xml:space="preserve">Calibration TR19-00-00 in-house </t>
  </si>
  <si>
    <t xml:space="preserve">Réparation et calibration circs in-house </t>
  </si>
  <si>
    <t xml:space="preserve">Calibration outillages in-house </t>
  </si>
  <si>
    <t xml:space="preserve">Calibration cric RT4550-001 in-house </t>
  </si>
  <si>
    <t xml:space="preserve">Réparation cric RH1029A1A0A01 in-house </t>
  </si>
  <si>
    <t xml:space="preserve">Réparation et recertification crics in-house </t>
  </si>
  <si>
    <t>In-house/
On-site</t>
  </si>
  <si>
    <t>In-House</t>
  </si>
  <si>
    <t>On-Site</t>
  </si>
  <si>
    <t>Offre irrégulière car 100% du 1er poste doit être fait par Hydro</t>
  </si>
  <si>
    <t>Réparation cric RA4510K2A0A10</t>
  </si>
  <si>
    <t>L:\KL_CO\110_HYFR\AFFAIRES 2022\AIR CORSICA\Devis n°4751 - Calibration in-house cric</t>
  </si>
  <si>
    <t>L:\KL_CO\110_HYFR\AFFAIRES 2022\AIR CORSICA\Devis n°4750 - Calibration in-house cric</t>
  </si>
  <si>
    <t>L:\KL_CO\110_HYFR\AFFAIRES 2022\AIA\Devis n°4752 - Maintenance Noria n°9</t>
  </si>
  <si>
    <t>L:\KL_CO\110_HYFR\AFFAIRES 2022\AIA\Devis n°4753 - Curatif Noria n°9</t>
  </si>
  <si>
    <t>L:\KL_CO\110_HYFR\AFFAIRES 2022\BABCOCK\Devis n°4759 - Réparation vérins</t>
  </si>
  <si>
    <t xml:space="preserve">Réparation et calibration circ in-house </t>
  </si>
  <si>
    <t>2022-038</t>
  </si>
  <si>
    <t>Noria n°9 - Maintenance curative - Devis curatif à remettre le 12/04/2022</t>
  </si>
  <si>
    <t>Noria n°7 - Remise en service 2ème partie (moyen non réparable)</t>
  </si>
  <si>
    <t>Noria n°8 - Remise en service - Moyens non réparables</t>
  </si>
  <si>
    <t>2022-040</t>
  </si>
  <si>
    <t>2022-041</t>
  </si>
  <si>
    <t>L:\KL_CO\110_HYFR\AFFAIRES 2022\AIA\Devis n°4764 - Maintenance Noria n°10</t>
  </si>
  <si>
    <t>L:\KL_CO\110_HYFR\AFFAIRES 2022\AIA\Devis n°4765 - Curatif Noria n°10</t>
  </si>
  <si>
    <t>2022-039</t>
  </si>
  <si>
    <t>2022-042</t>
  </si>
  <si>
    <t>2022-044</t>
  </si>
  <si>
    <t>Formation</t>
  </si>
  <si>
    <t>2022-043</t>
  </si>
  <si>
    <t>Pré-paiement</t>
  </si>
  <si>
    <t xml:space="preserve">Réparation palans in-house </t>
  </si>
  <si>
    <t xml:space="preserve">Recertification palans in-house </t>
  </si>
  <si>
    <t>2022-046</t>
  </si>
  <si>
    <t>Attention Pré-paiement - pas d'appro sans réception du paiement client</t>
  </si>
  <si>
    <t>Noria n°7 - Remise en service 3ème partie</t>
  </si>
  <si>
    <t>Noria n°7 - devis maintenance curative à remettre le 02/03/2022 - Envoyé le 23/02/2022</t>
  </si>
  <si>
    <t>Noria n°8 - Maintenance curative</t>
  </si>
  <si>
    <t>2022-047</t>
  </si>
  <si>
    <t>Noria n°10</t>
  </si>
  <si>
    <t>Noria n°10 - curatif à remettre le 29/04/22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</si>
</sst>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5" formatCode="#,##0\ &quot;€&quot;;\-#,##0\ &quot;€&quot;"/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(&quot;$&quot;* #,##0.00_);_(&quot;$&quot;* \(#,##0.00\);_(&quot;$&quot;* &quot;-&quot;??_);_(@_)"/>
    <numFmt numFmtId="165" formatCode="#,##0.00\ &quot;€&quot;"/>
    <numFmt numFmtId="166" formatCode="#,##0\ &quot;€&quot;"/>
    <numFmt numFmtId="167" formatCode="_-* #,##0\ [$€-407]_-;\-* #,##0\ [$€-407]_-;_-* &quot;-&quot;??\ [$€-407]_-;_-@_-"/>
    <numFmt numFmtId="168" formatCode="_-* #,##0.0\ &quot;€&quot;_-;\-* #,##0.0\ &quot;€&quot;_-;_-* &quot;-&quot;??\ &quot;€&quot;_-;_-@_-"/>
    <numFmt numFmtId="169" formatCode="_-* #,##0\ &quot;€&quot;_-;\-* #,##0\ &quot;€&quot;_-;_-* &quot;-&quot;??\ &quot;€&quot;_-;_-@_-"/>
    <numFmt numFmtId="170" formatCode="_-* #,##0\ &quot;€&quot;_-;\-* #,##0\ &quot;€&quot;_-;_-* &quot;-&quot;?\ &quot;€&quot;_-;_-@_-"/>
    <numFmt numFmtId="171" formatCode="0;;;@"/>
    <numFmt numFmtId="172" formatCode="mmm"/>
    <numFmt numFmtId="173" formatCode="[$-809]mmm"/>
    <numFmt numFmtId="174" formatCode="_-* #,##0\ [$€-40C]_-;\-* #,##0\ [$€-40C]_-;_-* &quot;-&quot;??\ [$€-40C]_-;_-@_-"/>
    <numFmt numFmtId="175" formatCode="_-* #,##0.00\ [$€-40C]_-;\-* #,##0.00\ [$€-40C]_-;_-* &quot;-&quot;??\ [$€-40C]_-;_-@_-"/>
    <numFmt numFmtId="176" formatCode="0.0"/>
    <numFmt numFmtId="177" formatCode="#,##0.00_ ;[Red]\-#,##0.00;\-"/>
    <numFmt numFmtId="178" formatCode="dd/mm/yy;@"/>
    <numFmt numFmtId="179" formatCode="###0"/>
    <numFmt numFmtId="180" formatCode="dd\.mm\.yyyy"/>
    <numFmt numFmtId="181" formatCode="0.0%"/>
    <numFmt numFmtId="182" formatCode="#,##0,"/>
    <numFmt numFmtId="183" formatCode="#,##0.0,"/>
    <numFmt numFmtId="184" formatCode="#,##0.0,,,"/>
  </numFmts>
  <fonts count="6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303030"/>
      <name val="Arial"/>
      <family val="2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8"/>
      <name val="Trebuchet MS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8"/>
      <color rgb="FFFF0000"/>
      <name val="Arial"/>
      <family val="2"/>
    </font>
    <font>
      <sz val="8"/>
      <color rgb="FFFF0000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theme="1" tint="0.1499984740745262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0"/>
      <name val="Calibri"/>
      <family val="2"/>
      <scheme val="minor"/>
    </font>
    <font>
      <b/>
      <strike/>
      <u/>
      <sz val="11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BF2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theme="4"/>
        <bgColor theme="4"/>
      </patternFill>
    </fill>
    <fill>
      <patternFill patternType="solid">
        <fgColor rgb="FF7030A0"/>
        <bgColor theme="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rgb="FFC5D9F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7B5DD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4" tint="0.79998168889431442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E7E9E9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/>
      <diagonal/>
    </border>
  </borders>
  <cellStyleXfs count="26881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7" fillId="0" borderId="0"/>
    <xf numFmtId="0" fontId="31" fillId="0" borderId="0"/>
    <xf numFmtId="44" fontId="31" fillId="0" borderId="0" applyFont="0" applyFill="0" applyBorder="0" applyAlignment="0" applyProtection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6" fillId="35" borderId="0"/>
    <xf numFmtId="0" fontId="17" fillId="35" borderId="0"/>
    <xf numFmtId="0" fontId="32" fillId="35" borderId="0"/>
    <xf numFmtId="0" fontId="32" fillId="35" borderId="0"/>
    <xf numFmtId="0" fontId="32" fillId="35" borderId="0"/>
    <xf numFmtId="0" fontId="32" fillId="35" borderId="0"/>
    <xf numFmtId="0" fontId="32" fillId="35" borderId="0"/>
    <xf numFmtId="0" fontId="32" fillId="35" borderId="0"/>
    <xf numFmtId="0" fontId="33" fillId="35" borderId="0"/>
    <xf numFmtId="0" fontId="34" fillId="35" borderId="0"/>
    <xf numFmtId="0" fontId="29" fillId="35" borderId="0"/>
    <xf numFmtId="177" fontId="15" fillId="36" borderId="13"/>
    <xf numFmtId="177" fontId="15" fillId="36" borderId="13"/>
    <xf numFmtId="177" fontId="15" fillId="36" borderId="13"/>
    <xf numFmtId="177" fontId="15" fillId="36" borderId="13"/>
    <xf numFmtId="177" fontId="15" fillId="36" borderId="13"/>
    <xf numFmtId="177" fontId="15" fillId="36" borderId="13"/>
    <xf numFmtId="177" fontId="15" fillId="36" borderId="13"/>
    <xf numFmtId="177" fontId="15" fillId="36" borderId="13"/>
    <xf numFmtId="177" fontId="15" fillId="36" borderId="13"/>
    <xf numFmtId="177" fontId="15" fillId="36" borderId="13"/>
    <xf numFmtId="177" fontId="15" fillId="36" borderId="13"/>
    <xf numFmtId="0" fontId="17" fillId="36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6" fillId="35" borderId="0"/>
    <xf numFmtId="0" fontId="17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15" fillId="35" borderId="0"/>
    <xf numFmtId="0" fontId="33" fillId="35" borderId="0"/>
    <xf numFmtId="0" fontId="34" fillId="35" borderId="0"/>
    <xf numFmtId="0" fontId="29" fillId="35" borderId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6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6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6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6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6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6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6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6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6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6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6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6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6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4" fontId="15" fillId="0" borderId="0" applyFont="0" applyFill="0" applyBorder="0" applyAlignment="0" applyProtection="0"/>
    <xf numFmtId="0" fontId="38" fillId="0" borderId="0"/>
    <xf numFmtId="44" fontId="38" fillId="0" borderId="0" applyFont="0" applyFill="0" applyBorder="0" applyAlignment="0" applyProtection="0"/>
    <xf numFmtId="0" fontId="42" fillId="0" borderId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8" fillId="0" borderId="0"/>
    <xf numFmtId="9" fontId="15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888">
    <xf numFmtId="0" fontId="0" fillId="0" borderId="0" xfId="0"/>
    <xf numFmtId="0" fontId="0" fillId="3" borderId="0" xfId="0" applyFill="1"/>
    <xf numFmtId="0" fontId="0" fillId="3" borderId="0" xfId="0" applyNumberFormat="1" applyFill="1" applyAlignment="1">
      <alignment horizontal="center"/>
    </xf>
    <xf numFmtId="0" fontId="4" fillId="5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4" fillId="9" borderId="0" xfId="0" applyFont="1" applyFill="1"/>
    <xf numFmtId="0" fontId="6" fillId="11" borderId="0" xfId="0" applyFont="1" applyFill="1"/>
    <xf numFmtId="165" fontId="0" fillId="0" borderId="0" xfId="0" applyNumberFormat="1"/>
    <xf numFmtId="0" fontId="0" fillId="0" borderId="0" xfId="0" applyAlignment="1">
      <alignment horizontal="right"/>
    </xf>
    <xf numFmtId="0" fontId="6" fillId="10" borderId="0" xfId="0" applyFont="1" applyFill="1" applyAlignment="1">
      <alignment horizontal="center"/>
    </xf>
    <xf numFmtId="14" fontId="0" fillId="4" borderId="0" xfId="0" applyNumberFormat="1" applyFill="1"/>
    <xf numFmtId="166" fontId="0" fillId="4" borderId="0" xfId="0" applyNumberFormat="1" applyFill="1"/>
    <xf numFmtId="166" fontId="0" fillId="0" borderId="0" xfId="0" applyNumberFormat="1"/>
    <xf numFmtId="0" fontId="0" fillId="0" borderId="1" xfId="0" applyBorder="1"/>
    <xf numFmtId="167" fontId="0" fillId="0" borderId="0" xfId="0" applyNumberFormat="1"/>
    <xf numFmtId="167" fontId="0" fillId="0" borderId="1" xfId="0" applyNumberFormat="1" applyBorder="1"/>
    <xf numFmtId="0" fontId="2" fillId="0" borderId="1" xfId="0" applyFont="1" applyBorder="1" applyAlignment="1">
      <alignment horizontal="center"/>
    </xf>
    <xf numFmtId="169" fontId="0" fillId="0" borderId="0" xfId="1" applyNumberFormat="1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6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" borderId="0" xfId="0" applyFill="1"/>
    <xf numFmtId="0" fontId="0" fillId="21" borderId="0" xfId="0" applyFill="1"/>
    <xf numFmtId="0" fontId="0" fillId="13" borderId="1" xfId="0" applyFill="1" applyBorder="1"/>
    <xf numFmtId="169" fontId="0" fillId="0" borderId="1" xfId="1" applyNumberFormat="1" applyFont="1" applyBorder="1"/>
    <xf numFmtId="169" fontId="0" fillId="0" borderId="2" xfId="0" applyNumberFormat="1" applyBorder="1"/>
    <xf numFmtId="14" fontId="0" fillId="3" borderId="1" xfId="0" applyNumberFormat="1" applyFill="1" applyBorder="1"/>
    <xf numFmtId="0" fontId="0" fillId="3" borderId="1" xfId="0" applyFill="1" applyBorder="1"/>
    <xf numFmtId="166" fontId="0" fillId="3" borderId="1" xfId="0" applyNumberFormat="1" applyFill="1" applyBorder="1"/>
    <xf numFmtId="14" fontId="0" fillId="0" borderId="0" xfId="0" applyNumberFormat="1"/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Fill="1" applyBorder="1"/>
    <xf numFmtId="9" fontId="0" fillId="0" borderId="0" xfId="2" applyFont="1"/>
    <xf numFmtId="167" fontId="2" fillId="0" borderId="0" xfId="0" applyNumberFormat="1" applyFont="1" applyAlignment="1">
      <alignment horizontal="right"/>
    </xf>
    <xf numFmtId="14" fontId="0" fillId="16" borderId="4" xfId="0" applyNumberFormat="1" applyFill="1" applyBorder="1"/>
    <xf numFmtId="0" fontId="0" fillId="16" borderId="4" xfId="0" applyFill="1" applyBorder="1"/>
    <xf numFmtId="166" fontId="0" fillId="16" borderId="4" xfId="0" applyNumberFormat="1" applyFill="1" applyBorder="1"/>
    <xf numFmtId="14" fontId="0" fillId="16" borderId="0" xfId="0" applyNumberFormat="1" applyFill="1" applyBorder="1"/>
    <xf numFmtId="0" fontId="0" fillId="16" borderId="0" xfId="0" applyFill="1" applyBorder="1"/>
    <xf numFmtId="166" fontId="0" fillId="16" borderId="0" xfId="0" applyNumberFormat="1" applyFill="1" applyBorder="1"/>
    <xf numFmtId="0" fontId="10" fillId="0" borderId="6" xfId="0" applyFont="1" applyBorder="1" applyAlignment="1">
      <alignment horizontal="left" vertical="center" indent="2"/>
    </xf>
    <xf numFmtId="0" fontId="0" fillId="25" borderId="0" xfId="0" applyFill="1"/>
    <xf numFmtId="14" fontId="0" fillId="25" borderId="0" xfId="0" applyNumberFormat="1" applyFill="1"/>
    <xf numFmtId="165" fontId="0" fillId="25" borderId="0" xfId="0" applyNumberFormat="1" applyFill="1"/>
    <xf numFmtId="14" fontId="0" fillId="0" borderId="1" xfId="0" applyNumberFormat="1" applyBorder="1"/>
    <xf numFmtId="166" fontId="0" fillId="0" borderId="1" xfId="0" applyNumberFormat="1" applyBorder="1"/>
    <xf numFmtId="0" fontId="2" fillId="0" borderId="0" xfId="0" applyFont="1"/>
    <xf numFmtId="167" fontId="0" fillId="0" borderId="0" xfId="0" applyNumberFormat="1" applyAlignment="1">
      <alignment horizontal="right"/>
    </xf>
    <xf numFmtId="167" fontId="0" fillId="0" borderId="1" xfId="0" applyNumberFormat="1" applyBorder="1" applyAlignment="1">
      <alignment horizontal="right"/>
    </xf>
    <xf numFmtId="167" fontId="2" fillId="0" borderId="0" xfId="0" applyNumberFormat="1" applyFont="1"/>
    <xf numFmtId="0" fontId="2" fillId="0" borderId="0" xfId="0" applyFont="1" applyFill="1" applyBorder="1"/>
    <xf numFmtId="0" fontId="2" fillId="0" borderId="0" xfId="0" applyFont="1" applyBorder="1"/>
    <xf numFmtId="167" fontId="0" fillId="0" borderId="5" xfId="0" applyNumberFormat="1" applyBorder="1"/>
    <xf numFmtId="0" fontId="0" fillId="0" borderId="5" xfId="0" applyFill="1" applyBorder="1"/>
    <xf numFmtId="9" fontId="0" fillId="0" borderId="0" xfId="2" applyFont="1" applyAlignment="1">
      <alignment horizontal="center"/>
    </xf>
    <xf numFmtId="14" fontId="0" fillId="0" borderId="0" xfId="0" applyNumberFormat="1" applyBorder="1"/>
    <xf numFmtId="0" fontId="0" fillId="13" borderId="0" xfId="0" applyFill="1" applyAlignment="1">
      <alignment horizontal="center"/>
    </xf>
    <xf numFmtId="0" fontId="0" fillId="26" borderId="0" xfId="0" applyFill="1"/>
    <xf numFmtId="0" fontId="0" fillId="26" borderId="0" xfId="0" applyFill="1" applyAlignment="1">
      <alignment horizontal="right"/>
    </xf>
    <xf numFmtId="0" fontId="0" fillId="26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Font="1" applyFill="1" applyBorder="1"/>
    <xf numFmtId="167" fontId="0" fillId="0" borderId="1" xfId="0" applyNumberFormat="1" applyBorder="1" applyAlignment="1"/>
    <xf numFmtId="169" fontId="0" fillId="0" borderId="0" xfId="0" applyNumberFormat="1"/>
    <xf numFmtId="169" fontId="0" fillId="0" borderId="1" xfId="0" applyNumberFormat="1" applyBorder="1"/>
    <xf numFmtId="0" fontId="11" fillId="0" borderId="0" xfId="0" applyFont="1" applyAlignment="1">
      <alignment horizontal="centerContinuous"/>
    </xf>
    <xf numFmtId="4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172" fontId="0" fillId="0" borderId="0" xfId="0" applyNumberFormat="1" applyAlignment="1">
      <alignment horizontal="right"/>
    </xf>
    <xf numFmtId="4" fontId="0" fillId="0" borderId="0" xfId="0" applyNumberFormat="1"/>
    <xf numFmtId="0" fontId="0" fillId="3" borderId="0" xfId="0" applyFill="1" applyAlignment="1">
      <alignment horizontal="centerContinuous"/>
    </xf>
    <xf numFmtId="0" fontId="0" fillId="3" borderId="0" xfId="0" quotePrefix="1" applyFill="1" applyAlignment="1">
      <alignment horizontal="centerContinuous"/>
    </xf>
    <xf numFmtId="0" fontId="0" fillId="28" borderId="0" xfId="0" applyFill="1" applyAlignment="1">
      <alignment horizontal="centerContinuous"/>
    </xf>
    <xf numFmtId="4" fontId="0" fillId="28" borderId="0" xfId="0" applyNumberFormat="1" applyFill="1" applyAlignment="1">
      <alignment horizontal="centerContinuous"/>
    </xf>
    <xf numFmtId="0" fontId="0" fillId="29" borderId="0" xfId="0" applyFill="1" applyAlignment="1">
      <alignment horizontal="centerContinuous"/>
    </xf>
    <xf numFmtId="0" fontId="0" fillId="30" borderId="0" xfId="0" quotePrefix="1" applyFill="1" applyAlignment="1">
      <alignment horizontal="centerContinuous"/>
    </xf>
    <xf numFmtId="4" fontId="0" fillId="29" borderId="0" xfId="0" applyNumberFormat="1" applyFill="1" applyAlignment="1">
      <alignment horizontal="centerContinuous"/>
    </xf>
    <xf numFmtId="0" fontId="0" fillId="30" borderId="0" xfId="0" applyFill="1" applyAlignment="1">
      <alignment horizontal="centerContinuous"/>
    </xf>
    <xf numFmtId="4" fontId="0" fillId="3" borderId="0" xfId="0" applyNumberFormat="1" applyFill="1" applyAlignment="1">
      <alignment horizontal="centerContinuous"/>
    </xf>
    <xf numFmtId="4" fontId="2" fillId="0" borderId="0" xfId="0" applyNumberFormat="1" applyFont="1"/>
    <xf numFmtId="14" fontId="0" fillId="26" borderId="0" xfId="0" applyNumberFormat="1" applyFill="1"/>
    <xf numFmtId="4" fontId="0" fillId="26" borderId="0" xfId="0" applyNumberFormat="1" applyFill="1"/>
    <xf numFmtId="167" fontId="2" fillId="23" borderId="0" xfId="0" applyNumberFormat="1" applyFont="1" applyFill="1" applyBorder="1" applyAlignment="1">
      <alignment horizontal="center"/>
    </xf>
    <xf numFmtId="0" fontId="0" fillId="27" borderId="0" xfId="0" applyFont="1" applyFill="1" applyAlignment="1">
      <alignment horizontal="center"/>
    </xf>
    <xf numFmtId="0" fontId="0" fillId="27" borderId="0" xfId="0" applyFill="1" applyBorder="1" applyAlignment="1">
      <alignment horizontal="center"/>
    </xf>
    <xf numFmtId="0" fontId="0" fillId="27" borderId="1" xfId="0" applyFill="1" applyBorder="1"/>
    <xf numFmtId="167" fontId="0" fillId="23" borderId="0" xfId="0" applyNumberFormat="1" applyFont="1" applyFill="1" applyBorder="1" applyAlignment="1">
      <alignment horizontal="center"/>
    </xf>
    <xf numFmtId="167" fontId="0" fillId="23" borderId="0" xfId="0" applyNumberFormat="1" applyFill="1" applyAlignment="1">
      <alignment horizontal="center"/>
    </xf>
    <xf numFmtId="0" fontId="0" fillId="23" borderId="1" xfId="0" applyFill="1" applyBorder="1"/>
    <xf numFmtId="1" fontId="0" fillId="0" borderId="0" xfId="0" applyNumberFormat="1"/>
    <xf numFmtId="166" fontId="0" fillId="0" borderId="0" xfId="0" applyNumberFormat="1" applyBorder="1"/>
    <xf numFmtId="167" fontId="3" fillId="0" borderId="0" xfId="0" applyNumberFormat="1" applyFont="1"/>
    <xf numFmtId="0" fontId="3" fillId="0" borderId="0" xfId="0" applyFont="1"/>
    <xf numFmtId="0" fontId="2" fillId="3" borderId="0" xfId="0" applyFont="1" applyFill="1" applyBorder="1" applyAlignment="1">
      <alignment horizontal="center"/>
    </xf>
    <xf numFmtId="0" fontId="4" fillId="26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5" borderId="0" xfId="0" applyFill="1" applyBorder="1"/>
    <xf numFmtId="0" fontId="0" fillId="0" borderId="0" xfId="0" applyAlignment="1">
      <alignment vertical="top"/>
    </xf>
    <xf numFmtId="4" fontId="0" fillId="3" borderId="0" xfId="0" applyNumberFormat="1" applyFill="1"/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31" borderId="0" xfId="0" applyFill="1"/>
    <xf numFmtId="4" fontId="0" fillId="31" borderId="0" xfId="0" applyNumberFormat="1" applyFill="1"/>
    <xf numFmtId="1" fontId="0" fillId="0" borderId="0" xfId="0" applyNumberFormat="1" applyFill="1" applyBorder="1"/>
    <xf numFmtId="174" fontId="0" fillId="0" borderId="0" xfId="0" applyNumberFormat="1"/>
    <xf numFmtId="1" fontId="0" fillId="0" borderId="1" xfId="0" applyNumberFormat="1" applyFill="1" applyBorder="1"/>
    <xf numFmtId="0" fontId="0" fillId="0" borderId="1" xfId="0" applyFill="1" applyBorder="1"/>
    <xf numFmtId="1" fontId="0" fillId="0" borderId="0" xfId="0" applyNumberFormat="1" applyAlignment="1">
      <alignment horizontal="center"/>
    </xf>
    <xf numFmtId="1" fontId="0" fillId="0" borderId="0" xfId="1" applyNumberFormat="1" applyFont="1"/>
    <xf numFmtId="1" fontId="1" fillId="0" borderId="0" xfId="0" applyNumberFormat="1" applyFont="1"/>
    <xf numFmtId="1" fontId="2" fillId="32" borderId="0" xfId="0" applyNumberFormat="1" applyFont="1" applyFill="1"/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25" borderId="1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167" fontId="21" fillId="0" borderId="0" xfId="0" applyNumberFormat="1" applyFont="1"/>
    <xf numFmtId="44" fontId="21" fillId="0" borderId="0" xfId="1" applyFont="1"/>
    <xf numFmtId="169" fontId="21" fillId="0" borderId="0" xfId="1" applyNumberFormat="1" applyFont="1"/>
    <xf numFmtId="171" fontId="21" fillId="0" borderId="0" xfId="0" applyNumberFormat="1" applyFont="1"/>
    <xf numFmtId="167" fontId="22" fillId="0" borderId="0" xfId="0" applyNumberFormat="1" applyFont="1"/>
    <xf numFmtId="167" fontId="21" fillId="0" borderId="0" xfId="1" applyNumberFormat="1" applyFont="1"/>
    <xf numFmtId="167" fontId="21" fillId="0" borderId="1" xfId="0" applyNumberFormat="1" applyFont="1" applyBorder="1"/>
    <xf numFmtId="167" fontId="22" fillId="0" borderId="1" xfId="0" applyNumberFormat="1" applyFont="1" applyBorder="1"/>
    <xf numFmtId="167" fontId="21" fillId="0" borderId="1" xfId="1" applyNumberFormat="1" applyFont="1" applyBorder="1"/>
    <xf numFmtId="167" fontId="22" fillId="0" borderId="1" xfId="1" applyNumberFormat="1" applyFont="1" applyBorder="1"/>
    <xf numFmtId="169" fontId="21" fillId="0" borderId="1" xfId="1" applyNumberFormat="1" applyFont="1" applyBorder="1"/>
    <xf numFmtId="171" fontId="21" fillId="0" borderId="1" xfId="0" applyNumberFormat="1" applyFont="1" applyBorder="1"/>
    <xf numFmtId="167" fontId="23" fillId="0" borderId="0" xfId="0" applyNumberFormat="1" applyFont="1"/>
    <xf numFmtId="167" fontId="23" fillId="0" borderId="0" xfId="0" applyNumberFormat="1" applyFont="1" applyAlignment="1">
      <alignment horizontal="center"/>
    </xf>
    <xf numFmtId="0" fontId="23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167" fontId="21" fillId="26" borderId="9" xfId="0" applyNumberFormat="1" applyFont="1" applyFill="1" applyBorder="1"/>
    <xf numFmtId="167" fontId="21" fillId="0" borderId="0" xfId="0" applyNumberFormat="1" applyFont="1" applyAlignment="1">
      <alignment horizontal="center"/>
    </xf>
    <xf numFmtId="0" fontId="21" fillId="0" borderId="1" xfId="0" applyFont="1" applyBorder="1" applyAlignment="1">
      <alignment horizontal="center"/>
    </xf>
    <xf numFmtId="167" fontId="21" fillId="0" borderId="10" xfId="0" applyNumberFormat="1" applyFont="1" applyBorder="1"/>
    <xf numFmtId="0" fontId="21" fillId="0" borderId="1" xfId="0" applyFont="1" applyBorder="1"/>
    <xf numFmtId="2" fontId="21" fillId="0" borderId="0" xfId="0" applyNumberFormat="1" applyFont="1" applyAlignment="1">
      <alignment horizontal="right"/>
    </xf>
    <xf numFmtId="2" fontId="21" fillId="0" borderId="0" xfId="1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" fontId="21" fillId="0" borderId="1" xfId="1" applyNumberFormat="1" applyFont="1" applyBorder="1" applyAlignment="1">
      <alignment horizontal="center"/>
    </xf>
    <xf numFmtId="1" fontId="21" fillId="0" borderId="1" xfId="0" applyNumberFormat="1" applyFont="1" applyBorder="1" applyAlignment="1">
      <alignment horizontal="center"/>
    </xf>
    <xf numFmtId="1" fontId="21" fillId="0" borderId="0" xfId="0" applyNumberFormat="1" applyFont="1" applyAlignment="1">
      <alignment horizontal="center"/>
    </xf>
    <xf numFmtId="1" fontId="21" fillId="0" borderId="0" xfId="1" applyNumberFormat="1" applyFont="1"/>
    <xf numFmtId="1" fontId="21" fillId="0" borderId="0" xfId="0" applyNumberFormat="1" applyFont="1"/>
    <xf numFmtId="1" fontId="21" fillId="0" borderId="1" xfId="1" applyNumberFormat="1" applyFont="1" applyBorder="1"/>
    <xf numFmtId="1" fontId="21" fillId="0" borderId="1" xfId="0" applyNumberFormat="1" applyFont="1" applyBorder="1"/>
    <xf numFmtId="0" fontId="19" fillId="0" borderId="0" xfId="0" applyFont="1"/>
    <xf numFmtId="1" fontId="2" fillId="0" borderId="0" xfId="0" applyNumberFormat="1" applyFont="1" applyFill="1"/>
    <xf numFmtId="167" fontId="2" fillId="0" borderId="0" xfId="0" applyNumberFormat="1" applyFont="1" applyFill="1" applyAlignment="1">
      <alignment horizontal="center"/>
    </xf>
    <xf numFmtId="167" fontId="19" fillId="0" borderId="0" xfId="0" applyNumberFormat="1" applyFont="1" applyAlignment="1">
      <alignment horizontal="center"/>
    </xf>
    <xf numFmtId="167" fontId="19" fillId="0" borderId="1" xfId="0" applyNumberFormat="1" applyFont="1" applyBorder="1" applyAlignment="1">
      <alignment horizontal="center"/>
    </xf>
    <xf numFmtId="1" fontId="21" fillId="0" borderId="0" xfId="0" applyNumberFormat="1" applyFont="1" applyBorder="1" applyAlignment="1">
      <alignment horizontal="right"/>
    </xf>
    <xf numFmtId="1" fontId="21" fillId="0" borderId="0" xfId="1" applyNumberFormat="1" applyFont="1" applyBorder="1" applyAlignment="1">
      <alignment horizontal="center"/>
    </xf>
    <xf numFmtId="1" fontId="21" fillId="0" borderId="0" xfId="0" applyNumberFormat="1" applyFont="1" applyBorder="1" applyAlignment="1">
      <alignment horizontal="center"/>
    </xf>
    <xf numFmtId="166" fontId="2" fillId="26" borderId="0" xfId="0" applyNumberFormat="1" applyFont="1" applyFill="1"/>
    <xf numFmtId="0" fontId="19" fillId="33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1" fillId="0" borderId="0" xfId="0" applyFont="1" applyFill="1"/>
    <xf numFmtId="14" fontId="19" fillId="0" borderId="1" xfId="0" applyNumberFormat="1" applyFont="1" applyFill="1" applyBorder="1"/>
    <xf numFmtId="0" fontId="19" fillId="0" borderId="1" xfId="0" applyFont="1" applyFill="1" applyBorder="1"/>
    <xf numFmtId="166" fontId="19" fillId="0" borderId="1" xfId="0" applyNumberFormat="1" applyFont="1" applyFill="1" applyBorder="1"/>
    <xf numFmtId="14" fontId="0" fillId="0" borderId="0" xfId="0" applyNumberFormat="1" applyFill="1" applyBorder="1"/>
    <xf numFmtId="14" fontId="0" fillId="0" borderId="1" xfId="0" applyNumberFormat="1" applyFill="1" applyBorder="1"/>
    <xf numFmtId="166" fontId="0" fillId="0" borderId="1" xfId="0" applyNumberFormat="1" applyFill="1" applyBorder="1"/>
    <xf numFmtId="0" fontId="21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21" fillId="0" borderId="0" xfId="0" applyNumberFormat="1" applyFont="1" applyFill="1" applyAlignment="1">
      <alignment horizontal="center"/>
    </xf>
    <xf numFmtId="1" fontId="24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/>
    <xf numFmtId="14" fontId="0" fillId="0" borderId="0" xfId="0" applyNumberFormat="1"/>
    <xf numFmtId="1" fontId="26" fillId="0" borderId="0" xfId="0" applyNumberFormat="1" applyFont="1" applyFill="1" applyAlignment="1">
      <alignment horizontal="center"/>
    </xf>
    <xf numFmtId="1" fontId="24" fillId="0" borderId="1" xfId="0" applyNumberFormat="1" applyFont="1" applyFill="1" applyBorder="1" applyAlignment="1">
      <alignment horizontal="center"/>
    </xf>
    <xf numFmtId="171" fontId="21" fillId="34" borderId="0" xfId="0" applyNumberFormat="1" applyFont="1" applyFill="1"/>
    <xf numFmtId="171" fontId="21" fillId="34" borderId="1" xfId="0" applyNumberFormat="1" applyFont="1" applyFill="1" applyBorder="1"/>
    <xf numFmtId="0" fontId="20" fillId="34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171" fontId="21" fillId="0" borderId="0" xfId="0" applyNumberFormat="1" applyFont="1" applyAlignment="1">
      <alignment horizontal="center"/>
    </xf>
    <xf numFmtId="171" fontId="21" fillId="0" borderId="1" xfId="0" applyNumberFormat="1" applyFont="1" applyBorder="1" applyAlignment="1">
      <alignment horizontal="center"/>
    </xf>
    <xf numFmtId="1" fontId="26" fillId="0" borderId="1" xfId="0" applyNumberFormat="1" applyFont="1" applyFill="1" applyBorder="1" applyAlignment="1">
      <alignment horizontal="center"/>
    </xf>
    <xf numFmtId="0" fontId="0" fillId="4" borderId="0" xfId="0" applyFill="1" applyBorder="1"/>
    <xf numFmtId="0" fontId="21" fillId="4" borderId="0" xfId="0" applyFont="1" applyFill="1"/>
    <xf numFmtId="0" fontId="0" fillId="4" borderId="0" xfId="0" applyFill="1" applyAlignment="1">
      <alignment horizontal="center"/>
    </xf>
    <xf numFmtId="14" fontId="1" fillId="4" borderId="0" xfId="0" applyNumberFormat="1" applyFont="1" applyFill="1"/>
    <xf numFmtId="0" fontId="21" fillId="4" borderId="0" xfId="0" applyFont="1" applyFill="1" applyBorder="1"/>
    <xf numFmtId="14" fontId="0" fillId="4" borderId="0" xfId="0" applyNumberFormat="1" applyFill="1" applyBorder="1"/>
    <xf numFmtId="14" fontId="1" fillId="4" borderId="0" xfId="0" applyNumberFormat="1" applyFont="1" applyFill="1" applyBorder="1"/>
    <xf numFmtId="166" fontId="0" fillId="4" borderId="0" xfId="0" applyNumberFormat="1" applyFill="1" applyBorder="1"/>
    <xf numFmtId="0" fontId="0" fillId="0" borderId="0" xfId="0" applyNumberFormat="1" applyAlignment="1">
      <alignment vertical="top"/>
    </xf>
    <xf numFmtId="174" fontId="0" fillId="0" borderId="2" xfId="0" applyNumberFormat="1" applyBorder="1"/>
    <xf numFmtId="0" fontId="1" fillId="0" borderId="0" xfId="0" applyFont="1"/>
    <xf numFmtId="174" fontId="0" fillId="0" borderId="0" xfId="0" applyNumberFormat="1" applyFill="1" applyBorder="1"/>
    <xf numFmtId="174" fontId="0" fillId="0" borderId="1" xfId="0" applyNumberFormat="1" applyFill="1" applyBorder="1"/>
    <xf numFmtId="0" fontId="21" fillId="25" borderId="0" xfId="0" applyFont="1" applyFill="1" applyBorder="1"/>
    <xf numFmtId="14" fontId="0" fillId="25" borderId="0" xfId="0" applyNumberFormat="1" applyFill="1" applyBorder="1"/>
    <xf numFmtId="0" fontId="0" fillId="25" borderId="0" xfId="0" applyFill="1" applyBorder="1" applyAlignment="1">
      <alignment horizontal="center"/>
    </xf>
    <xf numFmtId="0" fontId="28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167" fontId="21" fillId="0" borderId="1" xfId="0" applyNumberFormat="1" applyFont="1" applyBorder="1" applyAlignment="1">
      <alignment horizontal="center"/>
    </xf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/>
    <xf numFmtId="4" fontId="0" fillId="0" borderId="0" xfId="0" applyNumberFormat="1"/>
    <xf numFmtId="14" fontId="0" fillId="0" borderId="0" xfId="0" applyNumberFormat="1"/>
    <xf numFmtId="4" fontId="0" fillId="0" borderId="0" xfId="0" applyNumberFormat="1"/>
    <xf numFmtId="169" fontId="0" fillId="27" borderId="0" xfId="0" applyNumberFormat="1" applyFill="1" applyAlignment="1">
      <alignment horizontal="center"/>
    </xf>
    <xf numFmtId="166" fontId="0" fillId="25" borderId="0" xfId="0" applyNumberFormat="1" applyFill="1" applyBorder="1"/>
    <xf numFmtId="1" fontId="0" fillId="25" borderId="0" xfId="0" applyNumberFormat="1" applyFill="1" applyBorder="1"/>
    <xf numFmtId="0" fontId="0" fillId="25" borderId="0" xfId="0" applyFill="1" applyAlignment="1">
      <alignment horizontal="right"/>
    </xf>
    <xf numFmtId="14" fontId="2" fillId="8" borderId="1" xfId="0" applyNumberFormat="1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left"/>
    </xf>
    <xf numFmtId="10" fontId="0" fillId="0" borderId="0" xfId="2" applyNumberFormat="1" applyFont="1" applyAlignment="1">
      <alignment horizontal="center"/>
    </xf>
    <xf numFmtId="10" fontId="0" fillId="0" borderId="0" xfId="0" applyNumberFormat="1"/>
    <xf numFmtId="10" fontId="9" fillId="0" borderId="0" xfId="0" applyNumberFormat="1" applyFont="1"/>
    <xf numFmtId="0" fontId="9" fillId="0" borderId="0" xfId="0" applyFont="1"/>
    <xf numFmtId="0" fontId="2" fillId="26" borderId="0" xfId="0" applyFont="1" applyFill="1" applyAlignment="1">
      <alignment horizontal="left"/>
    </xf>
    <xf numFmtId="10" fontId="2" fillId="0" borderId="0" xfId="2" applyNumberFormat="1" applyFont="1" applyAlignment="1">
      <alignment horizontal="center"/>
    </xf>
    <xf numFmtId="169" fontId="3" fillId="0" borderId="0" xfId="1" applyNumberFormat="1" applyFont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9" borderId="0" xfId="0" applyFill="1" applyAlignment="1">
      <alignment horizontal="center"/>
    </xf>
    <xf numFmtId="10" fontId="2" fillId="3" borderId="0" xfId="0" applyNumberFormat="1" applyFont="1" applyFill="1"/>
    <xf numFmtId="10" fontId="2" fillId="6" borderId="0" xfId="0" applyNumberFormat="1" applyFont="1" applyFill="1"/>
    <xf numFmtId="10" fontId="2" fillId="19" borderId="0" xfId="0" applyNumberFormat="1" applyFont="1" applyFill="1"/>
    <xf numFmtId="0" fontId="0" fillId="25" borderId="0" xfId="0" applyFill="1" applyAlignment="1">
      <alignment horizontal="center"/>
    </xf>
    <xf numFmtId="165" fontId="0" fillId="0" borderId="0" xfId="0" applyNumberFormat="1"/>
    <xf numFmtId="14" fontId="0" fillId="0" borderId="0" xfId="0" applyNumberFormat="1"/>
    <xf numFmtId="44" fontId="0" fillId="0" borderId="0" xfId="1" applyFont="1"/>
    <xf numFmtId="167" fontId="0" fillId="0" borderId="0" xfId="0" applyNumberFormat="1"/>
    <xf numFmtId="0" fontId="0" fillId="0" borderId="0" xfId="0"/>
    <xf numFmtId="0" fontId="0" fillId="7" borderId="0" xfId="0" applyFill="1"/>
    <xf numFmtId="0" fontId="0" fillId="0" borderId="0" xfId="0" applyAlignment="1">
      <alignment horizontal="center"/>
    </xf>
    <xf numFmtId="0" fontId="0" fillId="7" borderId="0" xfId="0" applyFill="1" applyBorder="1"/>
    <xf numFmtId="0" fontId="0" fillId="25" borderId="0" xfId="0" applyFill="1"/>
    <xf numFmtId="14" fontId="0" fillId="25" borderId="0" xfId="0" applyNumberFormat="1" applyFill="1"/>
    <xf numFmtId="165" fontId="0" fillId="25" borderId="0" xfId="0" applyNumberFormat="1" applyFill="1"/>
    <xf numFmtId="167" fontId="9" fillId="0" borderId="0" xfId="0" applyNumberFormat="1" applyFont="1"/>
    <xf numFmtId="167" fontId="5" fillId="32" borderId="0" xfId="0" applyNumberFormat="1" applyFont="1" applyFill="1" applyAlignment="1">
      <alignment horizontal="center"/>
    </xf>
    <xf numFmtId="176" fontId="21" fillId="0" borderId="9" xfId="0" applyNumberFormat="1" applyFont="1" applyFill="1" applyBorder="1" applyAlignment="1">
      <alignment horizontal="center"/>
    </xf>
    <xf numFmtId="176" fontId="24" fillId="0" borderId="0" xfId="0" applyNumberFormat="1" applyFont="1" applyFill="1" applyAlignment="1">
      <alignment horizontal="center"/>
    </xf>
    <xf numFmtId="176" fontId="21" fillId="0" borderId="0" xfId="0" applyNumberFormat="1" applyFont="1" applyFill="1" applyAlignment="1">
      <alignment horizontal="center"/>
    </xf>
    <xf numFmtId="2" fontId="21" fillId="0" borderId="0" xfId="0" applyNumberFormat="1" applyFont="1" applyFill="1" applyAlignment="1">
      <alignment horizontal="center"/>
    </xf>
    <xf numFmtId="1" fontId="21" fillId="0" borderId="9" xfId="0" applyNumberFormat="1" applyFont="1" applyFill="1" applyBorder="1" applyAlignment="1">
      <alignment horizontal="center"/>
    </xf>
    <xf numFmtId="1" fontId="24" fillId="0" borderId="0" xfId="0" applyNumberFormat="1" applyFont="1" applyFill="1" applyBorder="1" applyAlignment="1">
      <alignment horizontal="center"/>
    </xf>
    <xf numFmtId="176" fontId="21" fillId="0" borderId="10" xfId="0" applyNumberFormat="1" applyFont="1" applyFill="1" applyBorder="1" applyAlignment="1">
      <alignment horizontal="center"/>
    </xf>
    <xf numFmtId="176" fontId="26" fillId="0" borderId="1" xfId="0" applyNumberFormat="1" applyFont="1" applyFill="1" applyBorder="1" applyAlignment="1">
      <alignment horizontal="center"/>
    </xf>
    <xf numFmtId="176" fontId="24" fillId="0" borderId="1" xfId="0" applyNumberFormat="1" applyFont="1" applyFill="1" applyBorder="1" applyAlignment="1">
      <alignment horizontal="center"/>
    </xf>
    <xf numFmtId="176" fontId="21" fillId="0" borderId="1" xfId="0" applyNumberFormat="1" applyFont="1" applyFill="1" applyBorder="1" applyAlignment="1">
      <alignment horizontal="center"/>
    </xf>
    <xf numFmtId="1" fontId="21" fillId="0" borderId="0" xfId="0" applyNumberFormat="1" applyFont="1" applyFill="1"/>
    <xf numFmtId="1" fontId="21" fillId="0" borderId="10" xfId="0" applyNumberFormat="1" applyFont="1" applyFill="1" applyBorder="1" applyAlignment="1">
      <alignment horizontal="center"/>
    </xf>
    <xf numFmtId="1" fontId="21" fillId="0" borderId="1" xfId="0" applyNumberFormat="1" applyFont="1" applyFill="1" applyBorder="1" applyAlignment="1">
      <alignment horizontal="center"/>
    </xf>
    <xf numFmtId="1" fontId="21" fillId="0" borderId="1" xfId="0" applyNumberFormat="1" applyFont="1" applyFill="1" applyBorder="1"/>
    <xf numFmtId="174" fontId="0" fillId="0" borderId="0" xfId="1" applyNumberFormat="1" applyFont="1"/>
    <xf numFmtId="174" fontId="0" fillId="0" borderId="2" xfId="1" applyNumberFormat="1" applyFont="1" applyBorder="1"/>
    <xf numFmtId="174" fontId="0" fillId="0" borderId="1" xfId="0" applyNumberFormat="1" applyBorder="1"/>
    <xf numFmtId="174" fontId="0" fillId="0" borderId="3" xfId="0" applyNumberFormat="1" applyBorder="1"/>
    <xf numFmtId="174" fontId="0" fillId="0" borderId="1" xfId="1" applyNumberFormat="1" applyFont="1" applyBorder="1"/>
    <xf numFmtId="174" fontId="0" fillId="0" borderId="3" xfId="1" applyNumberFormat="1" applyFont="1" applyBorder="1"/>
    <xf numFmtId="1" fontId="2" fillId="27" borderId="0" xfId="0" applyNumberFormat="1" applyFont="1" applyFill="1" applyAlignment="1">
      <alignment vertical="top"/>
    </xf>
    <xf numFmtId="167" fontId="5" fillId="27" borderId="0" xfId="0" applyNumberFormat="1" applyFont="1" applyFill="1" applyAlignment="1">
      <alignment horizontal="center" vertical="top"/>
    </xf>
    <xf numFmtId="0" fontId="0" fillId="0" borderId="0" xfId="0" applyFill="1" applyAlignment="1">
      <alignment horizontal="center"/>
    </xf>
    <xf numFmtId="0" fontId="29" fillId="0" borderId="0" xfId="4" applyFont="1" applyAlignment="1">
      <alignment vertical="top"/>
    </xf>
    <xf numFmtId="0" fontId="30" fillId="0" borderId="0" xfId="0" applyFont="1"/>
    <xf numFmtId="0" fontId="30" fillId="0" borderId="0" xfId="0" applyFont="1" applyAlignment="1">
      <alignment wrapText="1"/>
    </xf>
    <xf numFmtId="0" fontId="30" fillId="0" borderId="2" xfId="0" applyFont="1" applyBorder="1" applyAlignment="1">
      <alignment wrapText="1"/>
    </xf>
    <xf numFmtId="0" fontId="30" fillId="0" borderId="0" xfId="0" applyFont="1" applyAlignment="1">
      <alignment horizontal="center" wrapText="1"/>
    </xf>
    <xf numFmtId="0" fontId="30" fillId="0" borderId="2" xfId="0" applyFont="1" applyBorder="1"/>
    <xf numFmtId="0" fontId="30" fillId="0" borderId="2" xfId="0" applyFont="1" applyBorder="1" applyAlignment="1">
      <alignment horizontal="left" vertical="top" wrapText="1"/>
    </xf>
    <xf numFmtId="44" fontId="3" fillId="22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9" fillId="47" borderId="16" xfId="0" applyFont="1" applyFill="1" applyBorder="1"/>
    <xf numFmtId="0" fontId="39" fillId="48" borderId="16" xfId="0" applyFont="1" applyFill="1" applyBorder="1"/>
    <xf numFmtId="0" fontId="39" fillId="48" borderId="17" xfId="0" applyFont="1" applyFill="1" applyBorder="1"/>
    <xf numFmtId="4" fontId="0" fillId="16" borderId="16" xfId="0" applyNumberFormat="1" applyFont="1" applyFill="1" applyBorder="1"/>
    <xf numFmtId="4" fontId="0" fillId="16" borderId="17" xfId="0" applyNumberFormat="1" applyFont="1" applyFill="1" applyBorder="1"/>
    <xf numFmtId="0" fontId="39" fillId="47" borderId="14" xfId="0" applyFont="1" applyFill="1" applyBorder="1"/>
    <xf numFmtId="4" fontId="0" fillId="16" borderId="16" xfId="0" applyNumberFormat="1" applyFill="1" applyBorder="1"/>
    <xf numFmtId="4" fontId="0" fillId="16" borderId="17" xfId="0" applyNumberFormat="1" applyFill="1" applyBorder="1"/>
    <xf numFmtId="4" fontId="0" fillId="0" borderId="0" xfId="0" applyNumberFormat="1" applyBorder="1"/>
    <xf numFmtId="4" fontId="0" fillId="16" borderId="15" xfId="0" applyNumberFormat="1" applyFill="1" applyBorder="1"/>
    <xf numFmtId="4" fontId="0" fillId="16" borderId="18" xfId="0" applyNumberFormat="1" applyFill="1" applyBorder="1"/>
    <xf numFmtId="0" fontId="2" fillId="3" borderId="0" xfId="0" applyNumberFormat="1" applyFont="1" applyFill="1" applyAlignment="1">
      <alignment horizontal="center"/>
    </xf>
    <xf numFmtId="178" fontId="0" fillId="25" borderId="0" xfId="0" applyNumberFormat="1" applyFill="1"/>
    <xf numFmtId="178" fontId="0" fillId="0" borderId="0" xfId="0" applyNumberFormat="1"/>
    <xf numFmtId="178" fontId="2" fillId="8" borderId="1" xfId="0" applyNumberFormat="1" applyFont="1" applyFill="1" applyBorder="1" applyAlignment="1">
      <alignment horizontal="center" vertical="center" wrapText="1"/>
    </xf>
    <xf numFmtId="171" fontId="2" fillId="3" borderId="0" xfId="0" applyNumberFormat="1" applyFont="1" applyFill="1" applyBorder="1" applyAlignment="1">
      <alignment horizontal="center"/>
    </xf>
    <xf numFmtId="171" fontId="2" fillId="3" borderId="1" xfId="0" applyNumberFormat="1" applyFont="1" applyFill="1" applyBorder="1" applyAlignment="1">
      <alignment horizontal="center" vertical="center"/>
    </xf>
    <xf numFmtId="171" fontId="0" fillId="4" borderId="0" xfId="0" applyNumberFormat="1" applyFill="1"/>
    <xf numFmtId="171" fontId="0" fillId="0" borderId="0" xfId="0" applyNumberFormat="1"/>
    <xf numFmtId="171" fontId="0" fillId="3" borderId="0" xfId="0" applyNumberFormat="1" applyFill="1" applyAlignment="1">
      <alignment horizontal="center"/>
    </xf>
    <xf numFmtId="171" fontId="2" fillId="6" borderId="1" xfId="0" applyNumberFormat="1" applyFont="1" applyFill="1" applyBorder="1" applyAlignment="1">
      <alignment horizontal="center" vertical="center" wrapText="1"/>
    </xf>
    <xf numFmtId="171" fontId="0" fillId="25" borderId="0" xfId="0" applyNumberFormat="1" applyFill="1" applyAlignment="1">
      <alignment horizontal="center"/>
    </xf>
    <xf numFmtId="171" fontId="0" fillId="0" borderId="0" xfId="0" applyNumberFormat="1" applyAlignment="1">
      <alignment horizontal="center"/>
    </xf>
    <xf numFmtId="0" fontId="0" fillId="0" borderId="1" xfId="0" applyBorder="1" applyAlignment="1">
      <alignment horizontal="right"/>
    </xf>
    <xf numFmtId="169" fontId="2" fillId="6" borderId="1" xfId="1" applyNumberFormat="1" applyFont="1" applyFill="1" applyBorder="1" applyAlignment="1">
      <alignment horizontal="center" vertical="center" wrapText="1"/>
    </xf>
    <xf numFmtId="169" fontId="0" fillId="25" borderId="0" xfId="1" applyNumberFormat="1" applyFont="1" applyFill="1" applyAlignment="1">
      <alignment horizontal="right"/>
    </xf>
    <xf numFmtId="0" fontId="40" fillId="0" borderId="0" xfId="0" applyFont="1" applyAlignment="1">
      <alignment wrapText="1"/>
    </xf>
    <xf numFmtId="0" fontId="41" fillId="0" borderId="0" xfId="0" applyFont="1" applyAlignment="1">
      <alignment horizontal="center" wrapText="1"/>
    </xf>
    <xf numFmtId="0" fontId="29" fillId="0" borderId="0" xfId="0" applyFont="1" applyAlignment="1">
      <alignment wrapText="1"/>
    </xf>
    <xf numFmtId="8" fontId="30" fillId="0" borderId="0" xfId="0" applyNumberFormat="1" applyFont="1" applyAlignment="1">
      <alignment wrapText="1"/>
    </xf>
    <xf numFmtId="0" fontId="29" fillId="0" borderId="0" xfId="0" applyFont="1" applyFill="1" applyAlignment="1">
      <alignment wrapText="1"/>
    </xf>
    <xf numFmtId="173" fontId="2" fillId="25" borderId="1" xfId="0" applyNumberFormat="1" applyFont="1" applyFill="1" applyBorder="1" applyAlignment="1">
      <alignment horizontal="center"/>
    </xf>
    <xf numFmtId="173" fontId="2" fillId="25" borderId="3" xfId="0" applyNumberFormat="1" applyFont="1" applyFill="1" applyBorder="1" applyAlignment="1">
      <alignment horizontal="center"/>
    </xf>
    <xf numFmtId="9" fontId="4" fillId="0" borderId="0" xfId="2" applyFont="1"/>
    <xf numFmtId="167" fontId="25" fillId="0" borderId="0" xfId="0" applyNumberFormat="1" applyFont="1" applyAlignment="1">
      <alignment horizontal="center"/>
    </xf>
    <xf numFmtId="0" fontId="0" fillId="7" borderId="4" xfId="0" applyFill="1" applyBorder="1"/>
    <xf numFmtId="171" fontId="21" fillId="0" borderId="8" xfId="0" applyNumberFormat="1" applyFont="1" applyBorder="1"/>
    <xf numFmtId="171" fontId="21" fillId="0" borderId="2" xfId="0" applyNumberFormat="1" applyFont="1" applyBorder="1"/>
    <xf numFmtId="171" fontId="21" fillId="0" borderId="3" xfId="0" applyNumberFormat="1" applyFont="1" applyBorder="1"/>
    <xf numFmtId="0" fontId="9" fillId="0" borderId="0" xfId="0" applyFont="1" applyAlignment="1">
      <alignment horizontal="center"/>
    </xf>
    <xf numFmtId="169" fontId="0" fillId="0" borderId="0" xfId="0" applyNumberFormat="1" applyFill="1"/>
    <xf numFmtId="169" fontId="0" fillId="0" borderId="0" xfId="1" applyNumberFormat="1" applyFont="1" applyFill="1"/>
    <xf numFmtId="167" fontId="3" fillId="24" borderId="0" xfId="0" applyNumberFormat="1" applyFont="1" applyFill="1"/>
    <xf numFmtId="167" fontId="3" fillId="24" borderId="0" xfId="0" applyNumberFormat="1" applyFont="1" applyFill="1" applyAlignment="1">
      <alignment horizontal="right"/>
    </xf>
    <xf numFmtId="0" fontId="3" fillId="24" borderId="0" xfId="0" applyFont="1" applyFill="1"/>
    <xf numFmtId="0" fontId="3" fillId="24" borderId="1" xfId="0" applyFont="1" applyFill="1" applyBorder="1"/>
    <xf numFmtId="167" fontId="3" fillId="24" borderId="1" xfId="0" applyNumberFormat="1" applyFont="1" applyFill="1" applyBorder="1" applyAlignment="1">
      <alignment horizontal="right"/>
    </xf>
    <xf numFmtId="167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Alignment="1">
      <alignment horizontal="right"/>
    </xf>
    <xf numFmtId="0" fontId="0" fillId="13" borderId="0" xfId="0" applyFill="1" applyAlignment="1">
      <alignment horizontal="left"/>
    </xf>
    <xf numFmtId="5" fontId="0" fillId="0" borderId="0" xfId="1" applyNumberFormat="1" applyFont="1" applyAlignment="1">
      <alignment horizontal="left"/>
    </xf>
    <xf numFmtId="5" fontId="0" fillId="13" borderId="0" xfId="1" applyNumberFormat="1" applyFont="1" applyFill="1" applyAlignment="1">
      <alignment horizontal="left"/>
    </xf>
    <xf numFmtId="0" fontId="0" fillId="13" borderId="0" xfId="0" applyFill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 applyFill="1"/>
    <xf numFmtId="5" fontId="2" fillId="0" borderId="0" xfId="1" applyNumberFormat="1" applyFont="1" applyAlignment="1">
      <alignment horizontal="left"/>
    </xf>
    <xf numFmtId="5" fontId="2" fillId="0" borderId="1" xfId="1" applyNumberFormat="1" applyFont="1" applyBorder="1" applyAlignment="1">
      <alignment horizontal="left"/>
    </xf>
    <xf numFmtId="5" fontId="0" fillId="0" borderId="0" xfId="0" applyNumberFormat="1"/>
    <xf numFmtId="10" fontId="0" fillId="0" borderId="0" xfId="2" applyNumberFormat="1" applyFont="1"/>
    <xf numFmtId="167" fontId="0" fillId="0" borderId="0" xfId="0" applyNumberFormat="1" applyFill="1"/>
    <xf numFmtId="169" fontId="0" fillId="0" borderId="5" xfId="1" applyNumberFormat="1" applyFont="1" applyFill="1" applyBorder="1"/>
    <xf numFmtId="170" fontId="0" fillId="0" borderId="5" xfId="0" applyNumberFormat="1" applyFill="1" applyBorder="1"/>
    <xf numFmtId="167" fontId="0" fillId="0" borderId="1" xfId="0" applyNumberFormat="1" applyFont="1" applyFill="1" applyBorder="1"/>
    <xf numFmtId="167" fontId="0" fillId="0" borderId="5" xfId="0" applyNumberFormat="1" applyFill="1" applyBorder="1"/>
    <xf numFmtId="169" fontId="2" fillId="0" borderId="0" xfId="1" applyNumberFormat="1" applyFont="1" applyFill="1" applyBorder="1"/>
    <xf numFmtId="170" fontId="2" fillId="0" borderId="0" xfId="0" applyNumberFormat="1" applyFont="1" applyFill="1" applyBorder="1"/>
    <xf numFmtId="170" fontId="0" fillId="0" borderId="0" xfId="0" applyNumberFormat="1" applyFill="1" applyBorder="1"/>
    <xf numFmtId="167" fontId="0" fillId="0" borderId="0" xfId="0" applyNumberFormat="1" applyFill="1" applyBorder="1"/>
    <xf numFmtId="169" fontId="1" fillId="0" borderId="1" xfId="1" applyNumberFormat="1" applyFont="1" applyFill="1" applyBorder="1"/>
    <xf numFmtId="170" fontId="1" fillId="0" borderId="1" xfId="0" applyNumberFormat="1" applyFont="1" applyFill="1" applyBorder="1"/>
    <xf numFmtId="167" fontId="1" fillId="0" borderId="1" xfId="0" applyNumberFormat="1" applyFont="1" applyFill="1" applyBorder="1"/>
    <xf numFmtId="169" fontId="1" fillId="0" borderId="1" xfId="0" applyNumberFormat="1" applyFont="1" applyFill="1" applyBorder="1"/>
    <xf numFmtId="169" fontId="0" fillId="0" borderId="1" xfId="0" applyNumberFormat="1" applyFill="1" applyBorder="1"/>
    <xf numFmtId="168" fontId="8" fillId="0" borderId="0" xfId="0" applyNumberFormat="1" applyFont="1" applyFill="1"/>
    <xf numFmtId="169" fontId="2" fillId="0" borderId="0" xfId="0" applyNumberFormat="1" applyFont="1" applyFill="1"/>
    <xf numFmtId="169" fontId="9" fillId="0" borderId="0" xfId="0" applyNumberFormat="1" applyFont="1" applyFill="1" applyBorder="1"/>
    <xf numFmtId="167" fontId="0" fillId="0" borderId="1" xfId="0" applyNumberFormat="1" applyFill="1" applyBorder="1"/>
    <xf numFmtId="0" fontId="0" fillId="0" borderId="0" xfId="0" applyFill="1" applyAlignment="1">
      <alignment horizontal="right"/>
    </xf>
    <xf numFmtId="0" fontId="0" fillId="0" borderId="0" xfId="0" applyBorder="1" applyAlignment="1">
      <alignment horizontal="center"/>
    </xf>
    <xf numFmtId="167" fontId="0" fillId="25" borderId="0" xfId="0" applyNumberFormat="1" applyFill="1"/>
    <xf numFmtId="169" fontId="8" fillId="25" borderId="0" xfId="1" applyNumberFormat="1" applyFont="1" applyFill="1"/>
    <xf numFmtId="167" fontId="0" fillId="25" borderId="1" xfId="0" applyNumberFormat="1" applyFill="1" applyBorder="1"/>
    <xf numFmtId="0" fontId="0" fillId="25" borderId="1" xfId="0" applyFill="1" applyBorder="1" applyAlignment="1">
      <alignment horizontal="right"/>
    </xf>
    <xf numFmtId="169" fontId="8" fillId="25" borderId="1" xfId="1" applyNumberFormat="1" applyFont="1" applyFill="1" applyBorder="1"/>
    <xf numFmtId="0" fontId="0" fillId="0" borderId="0" xfId="0" applyAlignment="1">
      <alignment horizontal="center"/>
    </xf>
    <xf numFmtId="167" fontId="0" fillId="0" borderId="0" xfId="0" applyNumberFormat="1"/>
    <xf numFmtId="169" fontId="0" fillId="0" borderId="2" xfId="0" applyNumberFormat="1" applyBorder="1"/>
    <xf numFmtId="14" fontId="0" fillId="0" borderId="0" xfId="0" applyNumberFormat="1"/>
    <xf numFmtId="0" fontId="0" fillId="25" borderId="0" xfId="0" applyFill="1"/>
    <xf numFmtId="14" fontId="0" fillId="25" borderId="0" xfId="0" applyNumberFormat="1" applyFill="1"/>
    <xf numFmtId="0" fontId="0" fillId="4" borderId="0" xfId="0" applyFill="1" applyBorder="1"/>
    <xf numFmtId="0" fontId="0" fillId="0" borderId="0" xfId="0" applyFill="1"/>
    <xf numFmtId="0" fontId="0" fillId="0" borderId="0" xfId="0"/>
    <xf numFmtId="0" fontId="0" fillId="7" borderId="0" xfId="0" applyFill="1"/>
    <xf numFmtId="0" fontId="0" fillId="0" borderId="1" xfId="0" applyBorder="1"/>
    <xf numFmtId="0" fontId="0" fillId="7" borderId="1" xfId="0" applyFill="1" applyBorder="1"/>
    <xf numFmtId="169" fontId="0" fillId="0" borderId="0" xfId="1" applyNumberFormat="1" applyFont="1"/>
    <xf numFmtId="169" fontId="0" fillId="0" borderId="1" xfId="1" applyNumberFormat="1" applyFont="1" applyBorder="1"/>
    <xf numFmtId="0" fontId="0" fillId="0" borderId="2" xfId="0" applyBorder="1"/>
    <xf numFmtId="0" fontId="0" fillId="0" borderId="3" xfId="0" applyFill="1" applyBorder="1"/>
    <xf numFmtId="169" fontId="0" fillId="0" borderId="3" xfId="0" applyNumberFormat="1" applyBorder="1"/>
    <xf numFmtId="169" fontId="0" fillId="0" borderId="2" xfId="0" applyNumberFormat="1" applyBorder="1"/>
    <xf numFmtId="0" fontId="0" fillId="0" borderId="0" xfId="0" applyFill="1" applyBorder="1"/>
    <xf numFmtId="169" fontId="2" fillId="0" borderId="2" xfId="0" applyNumberFormat="1" applyFont="1" applyBorder="1"/>
    <xf numFmtId="169" fontId="0" fillId="22" borderId="0" xfId="1" applyNumberFormat="1" applyFont="1" applyFill="1"/>
    <xf numFmtId="44" fontId="0" fillId="0" borderId="0" xfId="1" applyFont="1"/>
    <xf numFmtId="169" fontId="0" fillId="0" borderId="0" xfId="0" applyNumberFormat="1"/>
    <xf numFmtId="169" fontId="0" fillId="27" borderId="3" xfId="0" applyNumberFormat="1" applyFill="1" applyBorder="1"/>
    <xf numFmtId="172" fontId="0" fillId="25" borderId="3" xfId="0" applyNumberFormat="1" applyFill="1" applyBorder="1" applyAlignment="1">
      <alignment horizontal="center"/>
    </xf>
    <xf numFmtId="172" fontId="0" fillId="25" borderId="1" xfId="0" applyNumberFormat="1" applyFill="1" applyBorder="1" applyAlignment="1">
      <alignment horizontal="center"/>
    </xf>
    <xf numFmtId="169" fontId="2" fillId="57" borderId="1" xfId="0" applyNumberFormat="1" applyFont="1" applyFill="1" applyBorder="1"/>
    <xf numFmtId="169" fontId="2" fillId="27" borderId="1" xfId="0" applyNumberFormat="1" applyFont="1" applyFill="1" applyBorder="1"/>
    <xf numFmtId="169" fontId="0" fillId="27" borderId="8" xfId="0" applyNumberFormat="1" applyFill="1" applyBorder="1"/>
    <xf numFmtId="169" fontId="0" fillId="22" borderId="2" xfId="0" applyNumberFormat="1" applyFill="1" applyBorder="1"/>
    <xf numFmtId="169" fontId="0" fillId="22" borderId="3" xfId="0" applyNumberFormat="1" applyFill="1" applyBorder="1"/>
    <xf numFmtId="169" fontId="0" fillId="0" borderId="21" xfId="1" applyNumberFormat="1" applyFont="1" applyBorder="1"/>
    <xf numFmtId="169" fontId="0" fillId="0" borderId="8" xfId="1" applyNumberFormat="1" applyFont="1" applyBorder="1"/>
    <xf numFmtId="0" fontId="0" fillId="0" borderId="0" xfId="0"/>
    <xf numFmtId="0" fontId="0" fillId="0" borderId="1" xfId="0" applyBorder="1"/>
    <xf numFmtId="169" fontId="0" fillId="0" borderId="2" xfId="1" applyNumberFormat="1" applyFont="1" applyBorder="1"/>
    <xf numFmtId="169" fontId="0" fillId="0" borderId="3" xfId="1" applyNumberFormat="1" applyFont="1" applyBorder="1"/>
    <xf numFmtId="169" fontId="0" fillId="0" borderId="2" xfId="0" applyNumberFormat="1" applyBorder="1"/>
    <xf numFmtId="0" fontId="0" fillId="0" borderId="3" xfId="0" applyBorder="1" applyAlignment="1">
      <alignment horizontal="center"/>
    </xf>
    <xf numFmtId="169" fontId="2" fillId="0" borderId="2" xfId="0" applyNumberFormat="1" applyFont="1" applyBorder="1"/>
    <xf numFmtId="169" fontId="0" fillId="22" borderId="0" xfId="1" applyNumberFormat="1" applyFont="1" applyFill="1"/>
    <xf numFmtId="169" fontId="2" fillId="0" borderId="3" xfId="0" applyNumberFormat="1" applyFont="1" applyBorder="1"/>
    <xf numFmtId="169" fontId="0" fillId="27" borderId="0" xfId="1" applyNumberFormat="1" applyFont="1" applyFill="1"/>
    <xf numFmtId="173" fontId="0" fillId="25" borderId="3" xfId="0" applyNumberFormat="1" applyFill="1" applyBorder="1" applyAlignment="1">
      <alignment horizontal="center"/>
    </xf>
    <xf numFmtId="173" fontId="0" fillId="25" borderId="1" xfId="0" applyNumberFormat="1" applyFill="1" applyBorder="1" applyAlignment="1">
      <alignment horizontal="center"/>
    </xf>
    <xf numFmtId="172" fontId="0" fillId="25" borderId="3" xfId="0" applyNumberFormat="1" applyFill="1" applyBorder="1" applyAlignment="1">
      <alignment horizontal="center"/>
    </xf>
    <xf numFmtId="172" fontId="0" fillId="25" borderId="1" xfId="0" applyNumberFormat="1" applyFill="1" applyBorder="1" applyAlignment="1">
      <alignment horizontal="center"/>
    </xf>
    <xf numFmtId="169" fontId="0" fillId="27" borderId="1" xfId="1" applyNumberFormat="1" applyFont="1" applyFill="1" applyBorder="1"/>
    <xf numFmtId="169" fontId="0" fillId="0" borderId="4" xfId="1" applyNumberFormat="1" applyFont="1" applyBorder="1"/>
    <xf numFmtId="167" fontId="0" fillId="22" borderId="1" xfId="1" applyNumberFormat="1" applyFont="1" applyFill="1" applyBorder="1"/>
    <xf numFmtId="0" fontId="0" fillId="0" borderId="0" xfId="0"/>
    <xf numFmtId="169" fontId="0" fillId="0" borderId="0" xfId="1" applyNumberFormat="1" applyFont="1"/>
    <xf numFmtId="169" fontId="0" fillId="0" borderId="0" xfId="0" applyNumberFormat="1"/>
    <xf numFmtId="0" fontId="0" fillId="25" borderId="0" xfId="0" applyFill="1" applyBorder="1"/>
    <xf numFmtId="0" fontId="30" fillId="0" borderId="0" xfId="0" applyFont="1" applyAlignment="1">
      <alignment wrapText="1"/>
    </xf>
    <xf numFmtId="0" fontId="29" fillId="0" borderId="0" xfId="0" applyFont="1" applyAlignment="1">
      <alignment wrapText="1"/>
    </xf>
    <xf numFmtId="169" fontId="2" fillId="0" borderId="0" xfId="0" applyNumberFormat="1" applyFont="1" applyAlignment="1">
      <alignment horizontal="left"/>
    </xf>
    <xf numFmtId="173" fontId="2" fillId="25" borderId="10" xfId="0" applyNumberFormat="1" applyFont="1" applyFill="1" applyBorder="1" applyAlignment="1">
      <alignment horizontal="center"/>
    </xf>
    <xf numFmtId="10" fontId="3" fillId="0" borderId="10" xfId="0" applyNumberFormat="1" applyFont="1" applyBorder="1"/>
    <xf numFmtId="169" fontId="0" fillId="0" borderId="0" xfId="0" applyNumberFormat="1" applyBorder="1"/>
    <xf numFmtId="9" fontId="0" fillId="0" borderId="0" xfId="2" applyFont="1" applyBorder="1" applyAlignment="1">
      <alignment horizontal="center"/>
    </xf>
    <xf numFmtId="10" fontId="3" fillId="20" borderId="23" xfId="0" applyNumberFormat="1" applyFont="1" applyFill="1" applyBorder="1"/>
    <xf numFmtId="169" fontId="15" fillId="0" borderId="1" xfId="1" applyNumberFormat="1" applyFont="1" applyBorder="1"/>
    <xf numFmtId="169" fontId="15" fillId="0" borderId="1" xfId="1" applyNumberFormat="1" applyFont="1" applyFill="1" applyBorder="1"/>
    <xf numFmtId="6" fontId="0" fillId="19" borderId="0" xfId="0" applyNumberFormat="1" applyFill="1" applyBorder="1"/>
    <xf numFmtId="0" fontId="0" fillId="58" borderId="0" xfId="0" applyFill="1" applyBorder="1"/>
    <xf numFmtId="169" fontId="0" fillId="58" borderId="0" xfId="0" applyNumberFormat="1" applyFill="1" applyBorder="1"/>
    <xf numFmtId="169" fontId="44" fillId="0" borderId="0" xfId="0" applyNumberFormat="1" applyFont="1" applyFill="1" applyBorder="1"/>
    <xf numFmtId="0" fontId="44" fillId="0" borderId="0" xfId="0" applyFont="1" applyFill="1"/>
    <xf numFmtId="0" fontId="2" fillId="0" borderId="30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0" fillId="0" borderId="28" xfId="0" applyFont="1" applyFill="1" applyBorder="1"/>
    <xf numFmtId="167" fontId="0" fillId="0" borderId="29" xfId="0" applyNumberFormat="1" applyFont="1" applyFill="1" applyBorder="1"/>
    <xf numFmtId="167" fontId="0" fillId="0" borderId="11" xfId="0" applyNumberFormat="1" applyFont="1" applyFill="1" applyBorder="1"/>
    <xf numFmtId="0" fontId="0" fillId="0" borderId="25" xfId="0" applyFont="1" applyFill="1" applyBorder="1"/>
    <xf numFmtId="167" fontId="0" fillId="0" borderId="26" xfId="0" applyNumberFormat="1" applyFont="1" applyFill="1" applyBorder="1"/>
    <xf numFmtId="167" fontId="0" fillId="0" borderId="12" xfId="0" applyNumberFormat="1" applyFont="1" applyFill="1" applyBorder="1"/>
    <xf numFmtId="0" fontId="0" fillId="0" borderId="27" xfId="0" applyFont="1" applyFill="1" applyBorder="1"/>
    <xf numFmtId="167" fontId="0" fillId="0" borderId="19" xfId="0" applyNumberFormat="1" applyFont="1" applyFill="1" applyBorder="1"/>
    <xf numFmtId="167" fontId="0" fillId="0" borderId="7" xfId="0" applyNumberFormat="1" applyFont="1" applyFill="1" applyBorder="1"/>
    <xf numFmtId="0" fontId="0" fillId="0" borderId="30" xfId="0" applyFont="1" applyFill="1" applyBorder="1"/>
    <xf numFmtId="167" fontId="0" fillId="0" borderId="31" xfId="0" applyNumberFormat="1" applyFont="1" applyFill="1" applyBorder="1"/>
    <xf numFmtId="0" fontId="2" fillId="0" borderId="32" xfId="0" applyFont="1" applyFill="1" applyBorder="1" applyAlignment="1">
      <alignment horizontal="center"/>
    </xf>
    <xf numFmtId="167" fontId="0" fillId="0" borderId="34" xfId="0" applyNumberFormat="1" applyFont="1" applyFill="1" applyBorder="1"/>
    <xf numFmtId="167" fontId="0" fillId="0" borderId="33" xfId="0" applyNumberFormat="1" applyFont="1" applyFill="1" applyBorder="1"/>
    <xf numFmtId="0" fontId="0" fillId="26" borderId="5" xfId="0" applyFill="1" applyBorder="1" applyAlignment="1">
      <alignment horizontal="right"/>
    </xf>
    <xf numFmtId="169" fontId="0" fillId="26" borderId="5" xfId="1" applyNumberFormat="1" applyFont="1" applyFill="1" applyBorder="1"/>
    <xf numFmtId="169" fontId="0" fillId="26" borderId="23" xfId="1" applyNumberFormat="1" applyFont="1" applyFill="1" applyBorder="1"/>
    <xf numFmtId="169" fontId="0" fillId="26" borderId="24" xfId="1" applyNumberFormat="1" applyFont="1" applyFill="1" applyBorder="1"/>
    <xf numFmtId="175" fontId="0" fillId="27" borderId="1" xfId="1" applyNumberFormat="1" applyFont="1" applyFill="1" applyBorder="1"/>
    <xf numFmtId="169" fontId="0" fillId="0" borderId="0" xfId="1" applyNumberFormat="1" applyFont="1" applyFill="1" applyBorder="1"/>
    <xf numFmtId="169" fontId="15" fillId="0" borderId="0" xfId="1" applyNumberFormat="1" applyFont="1" applyFill="1" applyBorder="1"/>
    <xf numFmtId="169" fontId="0" fillId="0" borderId="10" xfId="1" applyNumberFormat="1" applyFont="1" applyBorder="1"/>
    <xf numFmtId="169" fontId="15" fillId="0" borderId="10" xfId="1" applyNumberFormat="1" applyFont="1" applyBorder="1"/>
    <xf numFmtId="169" fontId="0" fillId="0" borderId="9" xfId="1" applyNumberFormat="1" applyFont="1" applyFill="1" applyBorder="1"/>
    <xf numFmtId="169" fontId="0" fillId="58" borderId="9" xfId="0" applyNumberFormat="1" applyFill="1" applyBorder="1"/>
    <xf numFmtId="169" fontId="0" fillId="0" borderId="23" xfId="0" applyNumberFormat="1" applyBorder="1"/>
    <xf numFmtId="0" fontId="0" fillId="0" borderId="0" xfId="0" applyAlignment="1">
      <alignment horizontal="left"/>
    </xf>
    <xf numFmtId="169" fontId="2" fillId="0" borderId="0" xfId="0" applyNumberFormat="1" applyFont="1" applyBorder="1"/>
    <xf numFmtId="169" fontId="2" fillId="0" borderId="9" xfId="0" applyNumberFormat="1" applyFont="1" applyBorder="1"/>
    <xf numFmtId="0" fontId="2" fillId="58" borderId="0" xfId="0" applyFont="1" applyFill="1" applyBorder="1"/>
    <xf numFmtId="169" fontId="2" fillId="58" borderId="0" xfId="0" applyNumberFormat="1" applyFont="1" applyFill="1" applyBorder="1"/>
    <xf numFmtId="169" fontId="2" fillId="58" borderId="9" xfId="0" applyNumberFormat="1" applyFont="1" applyFill="1" applyBorder="1"/>
    <xf numFmtId="169" fontId="0" fillId="0" borderId="2" xfId="0" applyNumberFormat="1" applyFill="1" applyBorder="1"/>
    <xf numFmtId="169" fontId="2" fillId="0" borderId="22" xfId="0" applyNumberFormat="1" applyFont="1" applyFill="1" applyBorder="1"/>
    <xf numFmtId="169" fontId="2" fillId="0" borderId="20" xfId="0" applyNumberFormat="1" applyFont="1" applyFill="1" applyBorder="1"/>
    <xf numFmtId="167" fontId="2" fillId="0" borderId="20" xfId="0" applyNumberFormat="1" applyFont="1" applyFill="1" applyBorder="1"/>
    <xf numFmtId="167" fontId="2" fillId="0" borderId="19" xfId="0" applyNumberFormat="1" applyFont="1" applyFill="1" applyBorder="1"/>
    <xf numFmtId="169" fontId="0" fillId="0" borderId="3" xfId="0" applyNumberFormat="1" applyFill="1" applyBorder="1"/>
    <xf numFmtId="0" fontId="0" fillId="59" borderId="0" xfId="0" applyFill="1"/>
    <xf numFmtId="9" fontId="0" fillId="59" borderId="0" xfId="2" applyFont="1" applyFill="1"/>
    <xf numFmtId="169" fontId="0" fillId="59" borderId="2" xfId="1" applyNumberFormat="1" applyFont="1" applyFill="1" applyBorder="1"/>
    <xf numFmtId="169" fontId="0" fillId="59" borderId="4" xfId="1" applyNumberFormat="1" applyFont="1" applyFill="1" applyBorder="1"/>
    <xf numFmtId="169" fontId="0" fillId="59" borderId="9" xfId="1" applyNumberFormat="1" applyFont="1" applyFill="1" applyBorder="1"/>
    <xf numFmtId="169" fontId="0" fillId="59" borderId="0" xfId="1" applyNumberFormat="1" applyFont="1" applyFill="1" applyBorder="1"/>
    <xf numFmtId="169" fontId="0" fillId="59" borderId="20" xfId="1" applyNumberFormat="1" applyFont="1" applyFill="1" applyBorder="1"/>
    <xf numFmtId="0" fontId="0" fillId="59" borderId="1" xfId="0" applyFill="1" applyBorder="1"/>
    <xf numFmtId="9" fontId="0" fillId="59" borderId="1" xfId="2" applyFont="1" applyFill="1" applyBorder="1"/>
    <xf numFmtId="169" fontId="0" fillId="59" borderId="3" xfId="1" applyNumberFormat="1" applyFont="1" applyFill="1" applyBorder="1"/>
    <xf numFmtId="0" fontId="0" fillId="59" borderId="0" xfId="0" applyFill="1" applyBorder="1"/>
    <xf numFmtId="9" fontId="0" fillId="59" borderId="0" xfId="2" applyFont="1" applyFill="1" applyBorder="1"/>
    <xf numFmtId="0" fontId="2" fillId="59" borderId="0" xfId="0" applyFont="1" applyFill="1" applyBorder="1"/>
    <xf numFmtId="0" fontId="0" fillId="0" borderId="8" xfId="0" applyBorder="1"/>
    <xf numFmtId="0" fontId="0" fillId="0" borderId="3" xfId="0" applyBorder="1"/>
    <xf numFmtId="0" fontId="2" fillId="0" borderId="2" xfId="0" applyFont="1" applyBorder="1"/>
    <xf numFmtId="0" fontId="2" fillId="7" borderId="0" xfId="0" applyFont="1" applyFill="1" applyBorder="1"/>
    <xf numFmtId="169" fontId="0" fillId="0" borderId="0" xfId="0" applyNumberFormat="1" applyFill="1" applyBorder="1"/>
    <xf numFmtId="0" fontId="0" fillId="56" borderId="0" xfId="0" applyFill="1" applyBorder="1"/>
    <xf numFmtId="169" fontId="0" fillId="56" borderId="9" xfId="0" applyNumberFormat="1" applyFill="1" applyBorder="1"/>
    <xf numFmtId="0" fontId="0" fillId="56" borderId="0" xfId="0" applyFill="1"/>
    <xf numFmtId="9" fontId="3" fillId="56" borderId="0" xfId="0" applyNumberFormat="1" applyFont="1" applyFill="1"/>
    <xf numFmtId="169" fontId="0" fillId="56" borderId="2" xfId="1" applyNumberFormat="1" applyFont="1" applyFill="1" applyBorder="1"/>
    <xf numFmtId="169" fontId="7" fillId="56" borderId="0" xfId="1" applyNumberFormat="1" applyFont="1" applyFill="1"/>
    <xf numFmtId="169" fontId="7" fillId="56" borderId="21" xfId="1" applyNumberFormat="1" applyFont="1" applyFill="1" applyBorder="1"/>
    <xf numFmtId="169" fontId="7" fillId="56" borderId="0" xfId="1" applyNumberFormat="1" applyFont="1" applyFill="1" applyBorder="1"/>
    <xf numFmtId="169" fontId="0" fillId="56" borderId="0" xfId="1" applyNumberFormat="1" applyFont="1" applyFill="1" applyBorder="1"/>
    <xf numFmtId="0" fontId="0" fillId="56" borderId="4" xfId="0" applyFill="1" applyBorder="1"/>
    <xf numFmtId="10" fontId="3" fillId="56" borderId="21" xfId="0" applyNumberFormat="1" applyFont="1" applyFill="1" applyBorder="1"/>
    <xf numFmtId="169" fontId="7" fillId="56" borderId="8" xfId="1" applyNumberFormat="1" applyFont="1" applyFill="1" applyBorder="1"/>
    <xf numFmtId="169" fontId="7" fillId="56" borderId="4" xfId="1" applyNumberFormat="1" applyFont="1" applyFill="1" applyBorder="1"/>
    <xf numFmtId="169" fontId="3" fillId="56" borderId="4" xfId="1" applyNumberFormat="1" applyFont="1" applyFill="1" applyBorder="1"/>
    <xf numFmtId="169" fontId="3" fillId="56" borderId="21" xfId="1" applyNumberFormat="1" applyFont="1" applyFill="1" applyBorder="1"/>
    <xf numFmtId="10" fontId="3" fillId="56" borderId="9" xfId="0" applyNumberFormat="1" applyFont="1" applyFill="1" applyBorder="1"/>
    <xf numFmtId="169" fontId="7" fillId="56" borderId="2" xfId="1" applyNumberFormat="1" applyFont="1" applyFill="1" applyBorder="1"/>
    <xf numFmtId="169" fontId="7" fillId="56" borderId="9" xfId="1" applyNumberFormat="1" applyFont="1" applyFill="1" applyBorder="1"/>
    <xf numFmtId="169" fontId="3" fillId="56" borderId="0" xfId="1" applyNumberFormat="1" applyFont="1" applyFill="1" applyBorder="1"/>
    <xf numFmtId="169" fontId="3" fillId="56" borderId="9" xfId="1" applyNumberFormat="1" applyFont="1" applyFill="1" applyBorder="1"/>
    <xf numFmtId="0" fontId="0" fillId="56" borderId="1" xfId="0" applyFill="1" applyBorder="1"/>
    <xf numFmtId="10" fontId="3" fillId="56" borderId="10" xfId="0" applyNumberFormat="1" applyFont="1" applyFill="1" applyBorder="1"/>
    <xf numFmtId="169" fontId="7" fillId="56" borderId="3" xfId="1" applyNumberFormat="1" applyFont="1" applyFill="1" applyBorder="1"/>
    <xf numFmtId="169" fontId="7" fillId="56" borderId="1" xfId="1" applyNumberFormat="1" applyFont="1" applyFill="1" applyBorder="1"/>
    <xf numFmtId="169" fontId="7" fillId="56" borderId="10" xfId="1" applyNumberFormat="1" applyFont="1" applyFill="1" applyBorder="1"/>
    <xf numFmtId="169" fontId="3" fillId="56" borderId="1" xfId="1" applyNumberFormat="1" applyFont="1" applyFill="1" applyBorder="1"/>
    <xf numFmtId="169" fontId="3" fillId="56" borderId="10" xfId="1" applyNumberFormat="1" applyFont="1" applyFill="1" applyBorder="1"/>
    <xf numFmtId="0" fontId="2" fillId="56" borderId="0" xfId="0" applyFont="1" applyFill="1"/>
    <xf numFmtId="10" fontId="4" fillId="56" borderId="0" xfId="0" applyNumberFormat="1" applyFont="1" applyFill="1"/>
    <xf numFmtId="10" fontId="3" fillId="56" borderId="0" xfId="0" applyNumberFormat="1" applyFont="1" applyFill="1"/>
    <xf numFmtId="10" fontId="3" fillId="56" borderId="1" xfId="0" applyNumberFormat="1" applyFont="1" applyFill="1" applyBorder="1"/>
    <xf numFmtId="169" fontId="0" fillId="56" borderId="3" xfId="1" applyNumberFormat="1" applyFont="1" applyFill="1" applyBorder="1"/>
    <xf numFmtId="169" fontId="0" fillId="56" borderId="1" xfId="1" applyNumberFormat="1" applyFont="1" applyFill="1" applyBorder="1"/>
    <xf numFmtId="0" fontId="0" fillId="56" borderId="0" xfId="0" applyFont="1" applyFill="1"/>
    <xf numFmtId="169" fontId="0" fillId="56" borderId="0" xfId="0" applyNumberFormat="1" applyFill="1"/>
    <xf numFmtId="0" fontId="3" fillId="0" borderId="0" xfId="0" applyFont="1" applyBorder="1" applyAlignment="1">
      <alignment horizontal="center"/>
    </xf>
    <xf numFmtId="173" fontId="2" fillId="25" borderId="2" xfId="0" applyNumberFormat="1" applyFont="1" applyFill="1" applyBorder="1" applyAlignment="1">
      <alignment horizontal="center"/>
    </xf>
    <xf numFmtId="173" fontId="2" fillId="25" borderId="0" xfId="0" applyNumberFormat="1" applyFont="1" applyFill="1" applyBorder="1" applyAlignment="1">
      <alignment horizontal="center"/>
    </xf>
    <xf numFmtId="173" fontId="2" fillId="25" borderId="9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5" fillId="0" borderId="0" xfId="0" applyFont="1" applyFill="1" applyBorder="1"/>
    <xf numFmtId="169" fontId="2" fillId="0" borderId="0" xfId="0" applyNumberFormat="1" applyFont="1" applyFill="1" applyBorder="1"/>
    <xf numFmtId="169" fontId="2" fillId="0" borderId="9" xfId="0" applyNumberFormat="1" applyFont="1" applyFill="1" applyBorder="1"/>
    <xf numFmtId="0" fontId="0" fillId="0" borderId="9" xfId="0" applyFill="1" applyBorder="1"/>
    <xf numFmtId="0" fontId="0" fillId="60" borderId="0" xfId="0" applyFill="1" applyBorder="1"/>
    <xf numFmtId="169" fontId="0" fillId="60" borderId="0" xfId="0" applyNumberFormat="1" applyFill="1" applyBorder="1"/>
    <xf numFmtId="169" fontId="0" fillId="60" borderId="9" xfId="0" applyNumberFormat="1" applyFill="1" applyBorder="1"/>
    <xf numFmtId="0" fontId="2" fillId="60" borderId="0" xfId="0" applyFont="1" applyFill="1" applyBorder="1"/>
    <xf numFmtId="169" fontId="2" fillId="60" borderId="0" xfId="0" applyNumberFormat="1" applyFont="1" applyFill="1" applyBorder="1"/>
    <xf numFmtId="169" fontId="2" fillId="60" borderId="9" xfId="0" applyNumberFormat="1" applyFont="1" applyFill="1" applyBorder="1"/>
    <xf numFmtId="0" fontId="0" fillId="58" borderId="1" xfId="0" applyFill="1" applyBorder="1"/>
    <xf numFmtId="0" fontId="0" fillId="58" borderId="0" xfId="0" applyFont="1" applyFill="1" applyBorder="1"/>
    <xf numFmtId="169" fontId="0" fillId="58" borderId="0" xfId="0" applyNumberFormat="1" applyFont="1" applyFill="1" applyBorder="1"/>
    <xf numFmtId="169" fontId="0" fillId="58" borderId="9" xfId="0" applyNumberFormat="1" applyFont="1" applyFill="1" applyBorder="1"/>
    <xf numFmtId="169" fontId="0" fillId="0" borderId="21" xfId="1" applyNumberFormat="1" applyFont="1" applyFill="1" applyBorder="1"/>
    <xf numFmtId="6" fontId="0" fillId="19" borderId="9" xfId="0" applyNumberFormat="1" applyFill="1" applyBorder="1"/>
    <xf numFmtId="169" fontId="2" fillId="0" borderId="35" xfId="0" applyNumberFormat="1" applyFont="1" applyBorder="1"/>
    <xf numFmtId="0" fontId="0" fillId="60" borderId="0" xfId="0" applyFont="1" applyFill="1" applyBorder="1"/>
    <xf numFmtId="169" fontId="0" fillId="60" borderId="0" xfId="0" applyNumberFormat="1" applyFont="1" applyFill="1" applyBorder="1"/>
    <xf numFmtId="169" fontId="0" fillId="60" borderId="9" xfId="0" applyNumberFormat="1" applyFont="1" applyFill="1" applyBorder="1"/>
    <xf numFmtId="0" fontId="0" fillId="61" borderId="0" xfId="0" applyFill="1" applyBorder="1"/>
    <xf numFmtId="169" fontId="0" fillId="61" borderId="0" xfId="0" applyNumberFormat="1" applyFill="1" applyBorder="1"/>
    <xf numFmtId="169" fontId="0" fillId="61" borderId="9" xfId="0" applyNumberFormat="1" applyFill="1" applyBorder="1"/>
    <xf numFmtId="0" fontId="0" fillId="61" borderId="1" xfId="0" applyFill="1" applyBorder="1"/>
    <xf numFmtId="169" fontId="0" fillId="61" borderId="0" xfId="0" applyNumberFormat="1" applyFont="1" applyFill="1" applyBorder="1"/>
    <xf numFmtId="169" fontId="0" fillId="61" borderId="9" xfId="0" applyNumberFormat="1" applyFont="1" applyFill="1" applyBorder="1"/>
    <xf numFmtId="0" fontId="0" fillId="61" borderId="1" xfId="0" applyFont="1" applyFill="1" applyBorder="1"/>
    <xf numFmtId="0" fontId="0" fillId="61" borderId="0" xfId="0" applyFont="1" applyFill="1" applyBorder="1"/>
    <xf numFmtId="0" fontId="2" fillId="61" borderId="0" xfId="0" applyFont="1" applyFill="1" applyBorder="1"/>
    <xf numFmtId="169" fontId="2" fillId="61" borderId="0" xfId="0" applyNumberFormat="1" applyFont="1" applyFill="1" applyBorder="1"/>
    <xf numFmtId="169" fontId="2" fillId="61" borderId="9" xfId="0" applyNumberFormat="1" applyFont="1" applyFill="1" applyBorder="1"/>
    <xf numFmtId="0" fontId="8" fillId="58" borderId="0" xfId="0" applyFont="1" applyFill="1" applyBorder="1"/>
    <xf numFmtId="0" fontId="2" fillId="58" borderId="1" xfId="0" applyFont="1" applyFill="1" applyBorder="1"/>
    <xf numFmtId="169" fontId="1" fillId="0" borderId="0" xfId="0" applyNumberFormat="1" applyFont="1" applyFill="1" applyBorder="1"/>
    <xf numFmtId="9" fontId="25" fillId="0" borderId="0" xfId="2" applyNumberFormat="1" applyFont="1" applyAlignment="1">
      <alignment horizontal="center"/>
    </xf>
    <xf numFmtId="169" fontId="15" fillId="0" borderId="2" xfId="1" applyNumberFormat="1" applyFont="1" applyBorder="1"/>
    <xf numFmtId="0" fontId="0" fillId="56" borderId="21" xfId="0" applyFill="1" applyBorder="1"/>
    <xf numFmtId="169" fontId="4" fillId="56" borderId="0" xfId="1" applyNumberFormat="1" applyFont="1" applyFill="1" applyBorder="1"/>
    <xf numFmtId="169" fontId="4" fillId="56" borderId="2" xfId="1" applyNumberFormat="1" applyFont="1" applyFill="1" applyBorder="1"/>
    <xf numFmtId="169" fontId="4" fillId="56" borderId="9" xfId="1" applyNumberFormat="1" applyFont="1" applyFill="1" applyBorder="1"/>
    <xf numFmtId="173" fontId="2" fillId="25" borderId="4" xfId="0" applyNumberFormat="1" applyFont="1" applyFill="1" applyBorder="1" applyAlignment="1">
      <alignment horizontal="center"/>
    </xf>
    <xf numFmtId="173" fontId="2" fillId="25" borderId="8" xfId="0" applyNumberFormat="1" applyFont="1" applyFill="1" applyBorder="1" applyAlignment="1">
      <alignment horizontal="center"/>
    </xf>
    <xf numFmtId="169" fontId="9" fillId="0" borderId="2" xfId="1" applyNumberFormat="1" applyFont="1" applyFill="1" applyBorder="1"/>
    <xf numFmtId="169" fontId="2" fillId="34" borderId="0" xfId="1" applyNumberFormat="1" applyFont="1" applyFill="1" applyBorder="1" applyAlignment="1"/>
    <xf numFmtId="5" fontId="0" fillId="34" borderId="0" xfId="1" applyNumberFormat="1" applyFont="1" applyFill="1" applyBorder="1" applyAlignment="1">
      <alignment horizontal="right"/>
    </xf>
    <xf numFmtId="4" fontId="0" fillId="16" borderId="14" xfId="0" applyNumberFormat="1" applyFill="1" applyBorder="1"/>
    <xf numFmtId="0" fontId="47" fillId="48" borderId="0" xfId="0" applyFont="1" applyFill="1"/>
    <xf numFmtId="9" fontId="0" fillId="58" borderId="0" xfId="2" applyFont="1" applyFill="1" applyBorder="1"/>
    <xf numFmtId="9" fontId="2" fillId="0" borderId="0" xfId="2" applyFont="1" applyFill="1" applyBorder="1"/>
    <xf numFmtId="0" fontId="5" fillId="58" borderId="0" xfId="0" applyFont="1" applyFill="1" applyBorder="1"/>
    <xf numFmtId="169" fontId="5" fillId="58" borderId="0" xfId="0" applyNumberFormat="1" applyFont="1" applyFill="1" applyBorder="1"/>
    <xf numFmtId="169" fontId="5" fillId="58" borderId="9" xfId="0" applyNumberFormat="1" applyFont="1" applyFill="1" applyBorder="1"/>
    <xf numFmtId="9" fontId="5" fillId="58" borderId="0" xfId="2" applyFont="1" applyFill="1" applyBorder="1"/>
    <xf numFmtId="169" fontId="0" fillId="25" borderId="0" xfId="1" applyNumberFormat="1" applyFont="1" applyFill="1"/>
    <xf numFmtId="169" fontId="0" fillId="0" borderId="37" xfId="1" applyNumberFormat="1" applyFont="1" applyBorder="1"/>
    <xf numFmtId="169" fontId="0" fillId="0" borderId="38" xfId="0" applyNumberFormat="1" applyBorder="1"/>
    <xf numFmtId="169" fontId="0" fillId="0" borderId="39" xfId="1" applyNumberFormat="1" applyFont="1" applyBorder="1"/>
    <xf numFmtId="0" fontId="0" fillId="0" borderId="37" xfId="0" applyBorder="1"/>
    <xf numFmtId="169" fontId="0" fillId="0" borderId="38" xfId="1" applyNumberFormat="1" applyFont="1" applyBorder="1"/>
    <xf numFmtId="178" fontId="0" fillId="25" borderId="0" xfId="0" applyNumberFormat="1" applyFill="1" applyAlignment="1">
      <alignment horizontal="center"/>
    </xf>
    <xf numFmtId="0" fontId="2" fillId="61" borderId="1" xfId="0" applyFont="1" applyFill="1" applyBorder="1"/>
    <xf numFmtId="0" fontId="49" fillId="61" borderId="0" xfId="0" applyFont="1" applyFill="1" applyBorder="1"/>
    <xf numFmtId="0" fontId="49" fillId="58" borderId="0" xfId="0" applyFont="1" applyFill="1" applyBorder="1"/>
    <xf numFmtId="0" fontId="49" fillId="58" borderId="1" xfId="0" applyFont="1" applyFill="1" applyBorder="1"/>
    <xf numFmtId="169" fontId="49" fillId="58" borderId="0" xfId="0" applyNumberFormat="1" applyFont="1" applyFill="1" applyBorder="1"/>
    <xf numFmtId="169" fontId="49" fillId="58" borderId="9" xfId="0" applyNumberFormat="1" applyFont="1" applyFill="1" applyBorder="1"/>
    <xf numFmtId="169" fontId="49" fillId="58" borderId="1" xfId="0" applyNumberFormat="1" applyFont="1" applyFill="1" applyBorder="1"/>
    <xf numFmtId="0" fontId="50" fillId="58" borderId="0" xfId="0" applyFont="1" applyFill="1" applyBorder="1"/>
    <xf numFmtId="169" fontId="50" fillId="58" borderId="1" xfId="0" applyNumberFormat="1" applyFont="1" applyFill="1" applyBorder="1"/>
    <xf numFmtId="169" fontId="50" fillId="58" borderId="0" xfId="0" applyNumberFormat="1" applyFont="1" applyFill="1" applyBorder="1"/>
    <xf numFmtId="169" fontId="50" fillId="60" borderId="0" xfId="0" applyNumberFormat="1" applyFont="1" applyFill="1" applyBorder="1"/>
    <xf numFmtId="169" fontId="50" fillId="60" borderId="9" xfId="0" applyNumberFormat="1" applyFont="1" applyFill="1" applyBorder="1"/>
    <xf numFmtId="0" fontId="50" fillId="61" borderId="1" xfId="0" applyFont="1" applyFill="1" applyBorder="1"/>
    <xf numFmtId="169" fontId="50" fillId="61" borderId="1" xfId="0" applyNumberFormat="1" applyFont="1" applyFill="1" applyBorder="1"/>
    <xf numFmtId="0" fontId="2" fillId="61" borderId="41" xfId="0" applyFont="1" applyFill="1" applyBorder="1"/>
    <xf numFmtId="0" fontId="49" fillId="61" borderId="40" xfId="0" applyFont="1" applyFill="1" applyBorder="1"/>
    <xf numFmtId="0" fontId="0" fillId="61" borderId="40" xfId="0" applyFont="1" applyFill="1" applyBorder="1"/>
    <xf numFmtId="169" fontId="50" fillId="61" borderId="40" xfId="0" applyNumberFormat="1" applyFont="1" applyFill="1" applyBorder="1"/>
    <xf numFmtId="0" fontId="50" fillId="58" borderId="1" xfId="0" applyFont="1" applyFill="1" applyBorder="1"/>
    <xf numFmtId="0" fontId="50" fillId="60" borderId="0" xfId="0" applyFont="1" applyFill="1" applyBorder="1"/>
    <xf numFmtId="0" fontId="49" fillId="61" borderId="1" xfId="0" applyFont="1" applyFill="1" applyBorder="1"/>
    <xf numFmtId="169" fontId="49" fillId="61" borderId="1" xfId="0" applyNumberFormat="1" applyFont="1" applyFill="1" applyBorder="1"/>
    <xf numFmtId="169" fontId="49" fillId="61" borderId="10" xfId="0" applyNumberFormat="1" applyFont="1" applyFill="1" applyBorder="1"/>
    <xf numFmtId="169" fontId="0" fillId="0" borderId="0" xfId="1" applyNumberFormat="1" applyFont="1" applyBorder="1"/>
    <xf numFmtId="8" fontId="29" fillId="0" borderId="0" xfId="0" applyNumberFormat="1" applyFont="1" applyAlignment="1">
      <alignment wrapText="1"/>
    </xf>
    <xf numFmtId="0" fontId="0" fillId="0" borderId="0" xfId="0" applyNumberFormat="1"/>
    <xf numFmtId="174" fontId="0" fillId="0" borderId="0" xfId="0" quotePrefix="1" applyNumberFormat="1"/>
    <xf numFmtId="0" fontId="2" fillId="25" borderId="1" xfId="0" applyFont="1" applyFill="1" applyBorder="1" applyAlignment="1">
      <alignment horizontal="center"/>
    </xf>
    <xf numFmtId="0" fontId="8" fillId="25" borderId="1" xfId="0" applyFont="1" applyFill="1" applyBorder="1" applyAlignment="1">
      <alignment horizontal="center"/>
    </xf>
    <xf numFmtId="0" fontId="8" fillId="62" borderId="1" xfId="0" applyFont="1" applyFill="1" applyBorder="1" applyAlignment="1">
      <alignment horizontal="center"/>
    </xf>
    <xf numFmtId="0" fontId="2" fillId="62" borderId="1" xfId="0" applyFont="1" applyFill="1" applyBorder="1" applyAlignment="1">
      <alignment horizontal="center"/>
    </xf>
    <xf numFmtId="178" fontId="0" fillId="25" borderId="0" xfId="0" applyNumberFormat="1" applyFill="1" applyBorder="1"/>
    <xf numFmtId="178" fontId="2" fillId="8" borderId="0" xfId="0" applyNumberFormat="1" applyFont="1" applyFill="1" applyBorder="1" applyAlignment="1">
      <alignment horizontal="center" vertical="center" wrapText="1"/>
    </xf>
    <xf numFmtId="178" fontId="0" fillId="4" borderId="0" xfId="0" applyNumberFormat="1" applyFill="1"/>
    <xf numFmtId="0" fontId="0" fillId="0" borderId="0" xfId="0" pivotButton="1"/>
    <xf numFmtId="169" fontId="0" fillId="0" borderId="0" xfId="0" pivotButton="1" applyNumberFormat="1"/>
    <xf numFmtId="0" fontId="30" fillId="0" borderId="0" xfId="0" pivotButton="1" applyFont="1" applyAlignment="1">
      <alignment wrapText="1"/>
    </xf>
    <xf numFmtId="0" fontId="1" fillId="0" borderId="0" xfId="0" pivotButton="1" applyFont="1"/>
    <xf numFmtId="0" fontId="28" fillId="0" borderId="0" xfId="0" pivotButton="1" applyFont="1" applyAlignment="1">
      <alignment horizontal="center" wrapText="1"/>
    </xf>
    <xf numFmtId="169" fontId="0" fillId="61" borderId="0" xfId="0" applyNumberFormat="1" applyFill="1"/>
    <xf numFmtId="169" fontId="0" fillId="26" borderId="0" xfId="0" applyNumberFormat="1" applyFill="1" applyBorder="1"/>
    <xf numFmtId="0" fontId="2" fillId="0" borderId="0" xfId="0" applyFont="1" applyAlignment="1">
      <alignment horizontal="center"/>
    </xf>
    <xf numFmtId="175" fontId="0" fillId="0" borderId="0" xfId="0" applyNumberFormat="1" applyAlignment="1">
      <alignment horizontal="center"/>
    </xf>
    <xf numFmtId="169" fontId="0" fillId="0" borderId="1" xfId="0" applyNumberForma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2" fillId="56" borderId="0" xfId="0" applyNumberFormat="1" applyFont="1" applyFill="1" applyAlignment="1">
      <alignment horizontal="center"/>
    </xf>
    <xf numFmtId="182" fontId="2" fillId="5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9" fontId="0" fillId="0" borderId="42" xfId="1" applyNumberFormat="1" applyFont="1" applyBorder="1"/>
    <xf numFmtId="0" fontId="0" fillId="0" borderId="36" xfId="0" applyBorder="1" applyAlignment="1">
      <alignment horizontal="left"/>
    </xf>
    <xf numFmtId="0" fontId="2" fillId="25" borderId="0" xfId="0" applyFont="1" applyFill="1" applyAlignment="1">
      <alignment horizontal="center"/>
    </xf>
    <xf numFmtId="182" fontId="2" fillId="25" borderId="0" xfId="0" applyNumberFormat="1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26" borderId="0" xfId="0" applyFill="1" applyBorder="1"/>
    <xf numFmtId="169" fontId="2" fillId="26" borderId="0" xfId="0" applyNumberFormat="1" applyFont="1" applyFill="1" applyBorder="1"/>
    <xf numFmtId="169" fontId="2" fillId="26" borderId="9" xfId="0" applyNumberFormat="1" applyFont="1" applyFill="1" applyBorder="1"/>
    <xf numFmtId="0" fontId="2" fillId="26" borderId="0" xfId="0" applyFont="1" applyFill="1" applyBorder="1"/>
    <xf numFmtId="169" fontId="2" fillId="25" borderId="2" xfId="0" applyNumberFormat="1" applyFont="1" applyFill="1" applyBorder="1"/>
    <xf numFmtId="169" fontId="2" fillId="25" borderId="3" xfId="0" applyNumberFormat="1" applyFont="1" applyFill="1" applyBorder="1"/>
    <xf numFmtId="0" fontId="2" fillId="0" borderId="0" xfId="0" applyFont="1" applyAlignment="1">
      <alignment horizontal="center"/>
    </xf>
    <xf numFmtId="0" fontId="0" fillId="0" borderId="43" xfId="0" applyBorder="1"/>
    <xf numFmtId="169" fontId="0" fillId="0" borderId="44" xfId="1" applyNumberFormat="1" applyFont="1" applyBorder="1"/>
    <xf numFmtId="0" fontId="2" fillId="0" borderId="44" xfId="0" applyFont="1" applyBorder="1" applyAlignment="1">
      <alignment horizontal="center"/>
    </xf>
    <xf numFmtId="169" fontId="0" fillId="0" borderId="45" xfId="1" applyNumberFormat="1" applyFont="1" applyBorder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2" xfId="0" applyNumberFormat="1" applyFont="1" applyBorder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25" borderId="0" xfId="0" applyFont="1" applyFill="1"/>
    <xf numFmtId="0" fontId="0" fillId="25" borderId="0" xfId="0" applyFont="1" applyFill="1"/>
    <xf numFmtId="1" fontId="0" fillId="25" borderId="0" xfId="0" applyNumberFormat="1" applyFont="1" applyFill="1" applyAlignment="1">
      <alignment horizontal="center"/>
    </xf>
    <xf numFmtId="182" fontId="0" fillId="25" borderId="0" xfId="0" applyNumberFormat="1" applyFont="1" applyFill="1" applyAlignment="1">
      <alignment horizontal="center"/>
    </xf>
    <xf numFmtId="1" fontId="55" fillId="25" borderId="0" xfId="0" applyNumberFormat="1" applyFont="1" applyFill="1" applyAlignment="1">
      <alignment horizontal="center"/>
    </xf>
    <xf numFmtId="1" fontId="56" fillId="25" borderId="0" xfId="0" applyNumberFormat="1" applyFont="1" applyFill="1" applyAlignment="1">
      <alignment horizontal="center"/>
    </xf>
    <xf numFmtId="1" fontId="1" fillId="25" borderId="0" xfId="0" applyNumberFormat="1" applyFont="1" applyFill="1" applyAlignment="1">
      <alignment horizontal="center"/>
    </xf>
    <xf numFmtId="1" fontId="2" fillId="63" borderId="0" xfId="0" applyNumberFormat="1" applyFont="1" applyFill="1" applyAlignment="1">
      <alignment horizontal="center"/>
    </xf>
    <xf numFmtId="1" fontId="0" fillId="25" borderId="0" xfId="0" applyNumberFormat="1" applyFill="1" applyAlignment="1">
      <alignment horizontal="center"/>
    </xf>
    <xf numFmtId="0" fontId="2" fillId="64" borderId="0" xfId="0" applyFont="1" applyFill="1" applyAlignment="1">
      <alignment horizontal="center" vertical="center"/>
    </xf>
    <xf numFmtId="0" fontId="2" fillId="64" borderId="0" xfId="0" quotePrefix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83" fontId="0" fillId="25" borderId="0" xfId="0" applyNumberFormat="1" applyFill="1" applyAlignment="1">
      <alignment horizontal="center"/>
    </xf>
    <xf numFmtId="184" fontId="0" fillId="25" borderId="0" xfId="0" applyNumberFormat="1" applyFont="1" applyFill="1" applyAlignment="1">
      <alignment horizontal="center"/>
    </xf>
    <xf numFmtId="184" fontId="55" fillId="25" borderId="0" xfId="0" applyNumberFormat="1" applyFont="1" applyFill="1" applyAlignment="1">
      <alignment horizontal="center"/>
    </xf>
    <xf numFmtId="184" fontId="1" fillId="25" borderId="0" xfId="0" applyNumberFormat="1" applyFont="1" applyFill="1" applyAlignment="1">
      <alignment horizontal="center"/>
    </xf>
    <xf numFmtId="184" fontId="2" fillId="25" borderId="0" xfId="0" applyNumberFormat="1" applyFont="1" applyFill="1" applyAlignment="1">
      <alignment horizontal="center"/>
    </xf>
    <xf numFmtId="184" fontId="2" fillId="25" borderId="0" xfId="1" applyNumberFormat="1" applyFont="1" applyFill="1" applyAlignment="1">
      <alignment horizontal="center"/>
    </xf>
    <xf numFmtId="184" fontId="0" fillId="4" borderId="0" xfId="0" applyNumberFormat="1" applyFill="1" applyAlignment="1">
      <alignment horizontal="center"/>
    </xf>
    <xf numFmtId="184" fontId="0" fillId="4" borderId="0" xfId="1" applyNumberFormat="1" applyFont="1" applyFill="1" applyAlignment="1">
      <alignment horizontal="center"/>
    </xf>
    <xf numFmtId="184" fontId="2" fillId="0" borderId="0" xfId="0" applyNumberFormat="1" applyFont="1" applyAlignment="1">
      <alignment horizontal="center"/>
    </xf>
    <xf numFmtId="184" fontId="0" fillId="0" borderId="0" xfId="0" applyNumberFormat="1" applyAlignment="1">
      <alignment horizontal="center"/>
    </xf>
    <xf numFmtId="184" fontId="2" fillId="63" borderId="0" xfId="0" applyNumberFormat="1" applyFont="1" applyFill="1" applyAlignment="1">
      <alignment horizontal="center"/>
    </xf>
    <xf numFmtId="184" fontId="2" fillId="7" borderId="0" xfId="0" applyNumberFormat="1" applyFont="1" applyFill="1" applyAlignment="1">
      <alignment horizontal="center"/>
    </xf>
    <xf numFmtId="184" fontId="2" fillId="5" borderId="0" xfId="0" applyNumberFormat="1" applyFont="1" applyFill="1" applyAlignment="1">
      <alignment horizontal="center"/>
    </xf>
    <xf numFmtId="183" fontId="0" fillId="25" borderId="0" xfId="1" applyNumberFormat="1" applyFont="1" applyFill="1" applyAlignment="1">
      <alignment horizontal="center"/>
    </xf>
    <xf numFmtId="183" fontId="2" fillId="25" borderId="0" xfId="0" applyNumberFormat="1" applyFont="1" applyFill="1" applyAlignment="1">
      <alignment horizontal="center"/>
    </xf>
    <xf numFmtId="183" fontId="2" fillId="25" borderId="0" xfId="1" applyNumberFormat="1" applyFont="1" applyFill="1" applyAlignment="1">
      <alignment horizontal="center"/>
    </xf>
    <xf numFmtId="183" fontId="0" fillId="4" borderId="0" xfId="0" applyNumberFormat="1" applyFill="1" applyAlignment="1">
      <alignment horizontal="center"/>
    </xf>
    <xf numFmtId="183" fontId="0" fillId="4" borderId="0" xfId="1" applyNumberFormat="1" applyFont="1" applyFill="1" applyAlignment="1">
      <alignment horizontal="center"/>
    </xf>
    <xf numFmtId="183" fontId="2" fillId="25" borderId="0" xfId="0" applyNumberFormat="1" applyFont="1" applyFill="1"/>
    <xf numFmtId="183" fontId="0" fillId="25" borderId="0" xfId="1" applyNumberFormat="1" applyFont="1" applyFill="1"/>
    <xf numFmtId="183" fontId="0" fillId="4" borderId="0" xfId="1" applyNumberFormat="1" applyFont="1" applyFill="1"/>
    <xf numFmtId="183" fontId="0" fillId="0" borderId="0" xfId="0" applyNumberFormat="1" applyAlignment="1">
      <alignment horizontal="center"/>
    </xf>
    <xf numFmtId="183" fontId="0" fillId="0" borderId="0" xfId="0" applyNumberFormat="1"/>
    <xf numFmtId="183" fontId="2" fillId="5" borderId="0" xfId="0" applyNumberFormat="1" applyFont="1" applyFill="1" applyAlignment="1">
      <alignment horizontal="center"/>
    </xf>
    <xf numFmtId="183" fontId="0" fillId="4" borderId="0" xfId="0" applyNumberFormat="1" applyFill="1"/>
    <xf numFmtId="1" fontId="39" fillId="65" borderId="0" xfId="0" applyNumberFormat="1" applyFont="1" applyFill="1" applyAlignment="1">
      <alignment horizontal="center"/>
    </xf>
    <xf numFmtId="0" fontId="2" fillId="25" borderId="0" xfId="0" applyFont="1" applyFill="1" applyAlignment="1">
      <alignment horizontal="left" indent="1"/>
    </xf>
    <xf numFmtId="0" fontId="0" fillId="25" borderId="0" xfId="0" applyFont="1" applyFill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4" borderId="0" xfId="0" applyFont="1" applyFill="1" applyAlignment="1">
      <alignment horizontal="left" indent="1"/>
    </xf>
    <xf numFmtId="0" fontId="2" fillId="0" borderId="0" xfId="0" applyFont="1" applyFill="1" applyAlignment="1">
      <alignment horizontal="left" indent="1"/>
    </xf>
    <xf numFmtId="0" fontId="0" fillId="0" borderId="0" xfId="0" applyAlignment="1">
      <alignment horizontal="left" indent="1"/>
    </xf>
    <xf numFmtId="1" fontId="39" fillId="66" borderId="0" xfId="0" applyNumberFormat="1" applyFont="1" applyFill="1" applyAlignment="1">
      <alignment horizontal="center"/>
    </xf>
    <xf numFmtId="1" fontId="2" fillId="67" borderId="0" xfId="0" applyNumberFormat="1" applyFont="1" applyFill="1" applyAlignment="1">
      <alignment horizontal="center"/>
    </xf>
    <xf numFmtId="0" fontId="57" fillId="25" borderId="0" xfId="0" applyFont="1" applyFill="1" applyAlignment="1">
      <alignment horizontal="left" indent="1"/>
    </xf>
    <xf numFmtId="183" fontId="0" fillId="25" borderId="0" xfId="0" applyNumberFormat="1" applyFill="1"/>
    <xf numFmtId="18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83" fontId="2" fillId="4" borderId="0" xfId="0" applyNumberFormat="1" applyFont="1" applyFill="1" applyAlignment="1">
      <alignment horizontal="center"/>
    </xf>
    <xf numFmtId="166" fontId="7" fillId="0" borderId="0" xfId="2" applyNumberFormat="1" applyFont="1" applyAlignment="1">
      <alignment horizontal="center"/>
    </xf>
    <xf numFmtId="169" fontId="2" fillId="0" borderId="0" xfId="1" applyNumberFormat="1" applyFont="1" applyAlignment="1">
      <alignment horizontal="center"/>
    </xf>
    <xf numFmtId="0" fontId="58" fillId="0" borderId="0" xfId="0" applyFont="1"/>
    <xf numFmtId="0" fontId="58" fillId="25" borderId="0" xfId="0" applyFont="1" applyFill="1" applyAlignment="1">
      <alignment horizontal="center"/>
    </xf>
    <xf numFmtId="0" fontId="59" fillId="25" borderId="0" xfId="0" applyFont="1" applyFill="1"/>
    <xf numFmtId="1" fontId="58" fillId="63" borderId="0" xfId="0" applyNumberFormat="1" applyFont="1" applyFill="1" applyAlignment="1">
      <alignment horizontal="center"/>
    </xf>
    <xf numFmtId="1" fontId="60" fillId="66" borderId="0" xfId="0" applyNumberFormat="1" applyFont="1" applyFill="1" applyAlignment="1">
      <alignment horizontal="center"/>
    </xf>
    <xf numFmtId="1" fontId="58" fillId="67" borderId="0" xfId="0" applyNumberFormat="1" applyFont="1" applyFill="1" applyAlignment="1">
      <alignment horizontal="center"/>
    </xf>
    <xf numFmtId="0" fontId="59" fillId="0" borderId="0" xfId="0" applyFont="1"/>
    <xf numFmtId="182" fontId="58" fillId="5" borderId="0" xfId="0" applyNumberFormat="1" applyFont="1" applyFill="1" applyAlignment="1">
      <alignment horizontal="center"/>
    </xf>
    <xf numFmtId="0" fontId="58" fillId="64" borderId="0" xfId="0" applyFont="1" applyFill="1" applyAlignment="1">
      <alignment horizontal="center" vertical="center"/>
    </xf>
    <xf numFmtId="1" fontId="58" fillId="56" borderId="0" xfId="0" applyNumberFormat="1" applyFont="1" applyFill="1" applyAlignment="1">
      <alignment horizontal="center"/>
    </xf>
    <xf numFmtId="0" fontId="58" fillId="0" borderId="0" xfId="0" applyFont="1" applyFill="1"/>
    <xf numFmtId="0" fontId="58" fillId="0" borderId="0" xfId="0" applyFont="1" applyFill="1" applyAlignment="1">
      <alignment horizontal="center"/>
    </xf>
    <xf numFmtId="0" fontId="58" fillId="64" borderId="0" xfId="0" quotePrefix="1" applyFont="1" applyFill="1" applyAlignment="1">
      <alignment horizontal="center" vertical="center"/>
    </xf>
    <xf numFmtId="0" fontId="61" fillId="25" borderId="0" xfId="0" applyFont="1" applyFill="1" applyAlignment="1">
      <alignment horizontal="left" indent="1"/>
    </xf>
    <xf numFmtId="0" fontId="58" fillId="25" borderId="0" xfId="0" applyFont="1" applyFill="1" applyAlignment="1">
      <alignment horizontal="left" indent="1"/>
    </xf>
    <xf numFmtId="183" fontId="59" fillId="25" borderId="0" xfId="0" applyNumberFormat="1" applyFont="1" applyFill="1" applyAlignment="1">
      <alignment horizontal="center"/>
    </xf>
    <xf numFmtId="183" fontId="59" fillId="25" borderId="0" xfId="0" applyNumberFormat="1" applyFont="1" applyFill="1"/>
    <xf numFmtId="178" fontId="0" fillId="0" borderId="0" xfId="0" applyNumberFormat="1" applyBorder="1"/>
    <xf numFmtId="0" fontId="39" fillId="7" borderId="15" xfId="0" applyFont="1" applyFill="1" applyBorder="1" applyAlignment="1">
      <alignment horizontal="center" vertical="center"/>
    </xf>
    <xf numFmtId="0" fontId="39" fillId="3" borderId="15" xfId="0" applyFont="1" applyFill="1" applyBorder="1" applyAlignment="1">
      <alignment horizontal="center" vertical="center"/>
    </xf>
    <xf numFmtId="178" fontId="39" fillId="3" borderId="15" xfId="0" applyNumberFormat="1" applyFont="1" applyFill="1" applyBorder="1" applyAlignment="1">
      <alignment horizontal="center" vertical="center"/>
    </xf>
    <xf numFmtId="0" fontId="53" fillId="3" borderId="15" xfId="0" applyFont="1" applyFill="1" applyBorder="1" applyAlignment="1">
      <alignment horizontal="center" vertical="center"/>
    </xf>
    <xf numFmtId="0" fontId="53" fillId="3" borderId="15" xfId="0" applyFont="1" applyFill="1" applyBorder="1" applyAlignment="1">
      <alignment horizontal="center" vertical="center" wrapText="1"/>
    </xf>
    <xf numFmtId="166" fontId="53" fillId="3" borderId="15" xfId="0" applyNumberFormat="1" applyFont="1" applyFill="1" applyBorder="1" applyAlignment="1">
      <alignment horizontal="center" vertical="center" wrapText="1"/>
    </xf>
    <xf numFmtId="0" fontId="53" fillId="7" borderId="15" xfId="0" applyFont="1" applyFill="1" applyBorder="1" applyAlignment="1">
      <alignment horizontal="center" vertical="center"/>
    </xf>
    <xf numFmtId="0" fontId="53" fillId="6" borderId="15" xfId="0" applyFont="1" applyFill="1" applyBorder="1" applyAlignment="1">
      <alignment horizontal="center" vertical="center" wrapText="1"/>
    </xf>
    <xf numFmtId="14" fontId="53" fillId="6" borderId="15" xfId="0" applyNumberFormat="1" applyFont="1" applyFill="1" applyBorder="1" applyAlignment="1">
      <alignment horizontal="center" vertical="center" wrapText="1"/>
    </xf>
    <xf numFmtId="169" fontId="53" fillId="6" borderId="15" xfId="1" applyNumberFormat="1" applyFont="1" applyFill="1" applyBorder="1" applyAlignment="1">
      <alignment horizontal="center" vertical="center" wrapText="1"/>
    </xf>
    <xf numFmtId="165" fontId="53" fillId="6" borderId="15" xfId="0" applyNumberFormat="1" applyFont="1" applyFill="1" applyBorder="1" applyAlignment="1">
      <alignment horizontal="center" vertical="center" wrapText="1"/>
    </xf>
    <xf numFmtId="178" fontId="39" fillId="8" borderId="15" xfId="0" applyNumberFormat="1" applyFont="1" applyFill="1" applyBorder="1" applyAlignment="1">
      <alignment horizontal="center" vertical="center" wrapText="1"/>
    </xf>
    <xf numFmtId="0" fontId="39" fillId="8" borderId="15" xfId="0" applyFont="1" applyFill="1" applyBorder="1" applyAlignment="1">
      <alignment horizontal="center" vertical="center"/>
    </xf>
    <xf numFmtId="1" fontId="39" fillId="8" borderId="15" xfId="0" applyNumberFormat="1" applyFont="1" applyFill="1" applyBorder="1" applyAlignment="1">
      <alignment horizontal="center" vertical="center"/>
    </xf>
    <xf numFmtId="14" fontId="39" fillId="8" borderId="15" xfId="0" applyNumberFormat="1" applyFont="1" applyFill="1" applyBorder="1" applyAlignment="1">
      <alignment horizontal="center" vertical="center"/>
    </xf>
    <xf numFmtId="165" fontId="39" fillId="8" borderId="15" xfId="0" applyNumberFormat="1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26" borderId="15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/>
    </xf>
    <xf numFmtId="44" fontId="39" fillId="22" borderId="15" xfId="1" applyNumberFormat="1" applyFont="1" applyFill="1" applyBorder="1" applyAlignment="1">
      <alignment horizontal="center" vertical="center" wrapText="1"/>
    </xf>
    <xf numFmtId="44" fontId="39" fillId="22" borderId="18" xfId="1" applyNumberFormat="1" applyFont="1" applyFill="1" applyBorder="1" applyAlignment="1">
      <alignment horizontal="center" vertical="center" wrapText="1"/>
    </xf>
    <xf numFmtId="0" fontId="0" fillId="7" borderId="15" xfId="0" applyFont="1" applyFill="1" applyBorder="1"/>
    <xf numFmtId="0" fontId="0" fillId="4" borderId="15" xfId="0" applyFont="1" applyFill="1" applyBorder="1"/>
    <xf numFmtId="178" fontId="0" fillId="4" borderId="15" xfId="0" applyNumberFormat="1" applyFont="1" applyFill="1" applyBorder="1"/>
    <xf numFmtId="166" fontId="0" fillId="4" borderId="15" xfId="0" applyNumberFormat="1" applyFont="1" applyFill="1" applyBorder="1"/>
    <xf numFmtId="0" fontId="0" fillId="7" borderId="4" xfId="0" applyFont="1" applyFill="1" applyBorder="1"/>
    <xf numFmtId="0" fontId="0" fillId="25" borderId="4" xfId="0" applyFont="1" applyFill="1" applyBorder="1"/>
    <xf numFmtId="14" fontId="0" fillId="25" borderId="4" xfId="0" applyNumberFormat="1" applyFont="1" applyFill="1" applyBorder="1"/>
    <xf numFmtId="1" fontId="0" fillId="25" borderId="4" xfId="0" applyNumberFormat="1" applyFont="1" applyFill="1" applyBorder="1"/>
    <xf numFmtId="0" fontId="0" fillId="68" borderId="4" xfId="0" applyFont="1" applyFill="1" applyBorder="1"/>
    <xf numFmtId="0" fontId="0" fillId="4" borderId="4" xfId="0" applyFont="1" applyFill="1" applyBorder="1"/>
    <xf numFmtId="0" fontId="0" fillId="68" borderId="4" xfId="0" applyFont="1" applyFill="1" applyBorder="1" applyAlignment="1">
      <alignment horizontal="center"/>
    </xf>
    <xf numFmtId="44" fontId="0" fillId="68" borderId="4" xfId="1" applyNumberFormat="1" applyFont="1" applyFill="1" applyBorder="1" applyAlignment="1">
      <alignment horizontal="center"/>
    </xf>
    <xf numFmtId="0" fontId="9" fillId="4" borderId="15" xfId="0" applyFont="1" applyFill="1" applyBorder="1"/>
    <xf numFmtId="0" fontId="0" fillId="25" borderId="15" xfId="0" applyFont="1" applyFill="1" applyBorder="1"/>
    <xf numFmtId="14" fontId="0" fillId="25" borderId="15" xfId="0" applyNumberFormat="1" applyFont="1" applyFill="1" applyBorder="1"/>
    <xf numFmtId="0" fontId="0" fillId="25" borderId="15" xfId="0" applyFont="1" applyFill="1" applyBorder="1" applyAlignment="1">
      <alignment horizontal="right"/>
    </xf>
    <xf numFmtId="169" fontId="0" fillId="25" borderId="15" xfId="1" applyNumberFormat="1" applyFont="1" applyFill="1" applyBorder="1"/>
    <xf numFmtId="165" fontId="0" fillId="25" borderId="15" xfId="0" applyNumberFormat="1" applyFont="1" applyFill="1" applyBorder="1"/>
    <xf numFmtId="178" fontId="0" fillId="25" borderId="15" xfId="0" applyNumberFormat="1" applyFont="1" applyFill="1" applyBorder="1" applyAlignment="1">
      <alignment horizontal="center"/>
    </xf>
    <xf numFmtId="178" fontId="0" fillId="25" borderId="15" xfId="0" applyNumberFormat="1" applyFont="1" applyFill="1" applyBorder="1"/>
    <xf numFmtId="1" fontId="0" fillId="25" borderId="15" xfId="0" applyNumberFormat="1" applyFont="1" applyFill="1" applyBorder="1"/>
    <xf numFmtId="0" fontId="0" fillId="0" borderId="15" xfId="0" applyFont="1" applyBorder="1"/>
    <xf numFmtId="0" fontId="0" fillId="0" borderId="15" xfId="0" applyFont="1" applyBorder="1" applyAlignment="1">
      <alignment horizontal="center"/>
    </xf>
    <xf numFmtId="44" fontId="0" fillId="0" borderId="15" xfId="1" applyNumberFormat="1" applyFont="1" applyBorder="1" applyAlignment="1">
      <alignment horizontal="center"/>
    </xf>
    <xf numFmtId="44" fontId="0" fillId="0" borderId="18" xfId="1" applyNumberFormat="1" applyFont="1" applyBorder="1" applyAlignment="1">
      <alignment horizontal="center"/>
    </xf>
    <xf numFmtId="1" fontId="0" fillId="4" borderId="15" xfId="0" applyNumberFormat="1" applyFont="1" applyFill="1" applyBorder="1"/>
    <xf numFmtId="0" fontId="0" fillId="68" borderId="15" xfId="0" applyFont="1" applyFill="1" applyBorder="1"/>
    <xf numFmtId="0" fontId="9" fillId="68" borderId="15" xfId="3" applyFont="1" applyFill="1" applyBorder="1"/>
    <xf numFmtId="0" fontId="0" fillId="68" borderId="15" xfId="0" applyFont="1" applyFill="1" applyBorder="1" applyAlignment="1">
      <alignment horizontal="center"/>
    </xf>
    <xf numFmtId="44" fontId="0" fillId="68" borderId="15" xfId="1" applyNumberFormat="1" applyFont="1" applyFill="1" applyBorder="1" applyAlignment="1">
      <alignment horizontal="center"/>
    </xf>
    <xf numFmtId="14" fontId="0" fillId="0" borderId="15" xfId="0" applyNumberFormat="1" applyFont="1" applyBorder="1"/>
    <xf numFmtId="1" fontId="0" fillId="0" borderId="15" xfId="0" applyNumberFormat="1" applyFont="1" applyBorder="1"/>
    <xf numFmtId="169" fontId="0" fillId="0" borderId="15" xfId="1" applyNumberFormat="1" applyFont="1" applyBorder="1"/>
    <xf numFmtId="14" fontId="0" fillId="4" borderId="15" xfId="0" applyNumberFormat="1" applyFont="1" applyFill="1" applyBorder="1"/>
    <xf numFmtId="0" fontId="0" fillId="4" borderId="15" xfId="0" applyFont="1" applyFill="1" applyBorder="1" applyAlignment="1">
      <alignment horizontal="right"/>
    </xf>
    <xf numFmtId="169" fontId="0" fillId="4" borderId="15" xfId="1" applyNumberFormat="1" applyFont="1" applyFill="1" applyBorder="1"/>
    <xf numFmtId="165" fontId="0" fillId="4" borderId="15" xfId="0" applyNumberFormat="1" applyFont="1" applyFill="1" applyBorder="1"/>
    <xf numFmtId="178" fontId="0" fillId="4" borderId="15" xfId="0" applyNumberFormat="1" applyFont="1" applyFill="1" applyBorder="1" applyAlignment="1">
      <alignment horizontal="center"/>
    </xf>
    <xf numFmtId="169" fontId="0" fillId="68" borderId="15" xfId="1" applyNumberFormat="1" applyFont="1" applyFill="1" applyBorder="1"/>
    <xf numFmtId="178" fontId="0" fillId="4" borderId="4" xfId="0" applyNumberFormat="1" applyFont="1" applyFill="1" applyBorder="1"/>
    <xf numFmtId="166" fontId="0" fillId="4" borderId="4" xfId="0" applyNumberFormat="1" applyFont="1" applyFill="1" applyBorder="1"/>
    <xf numFmtId="166" fontId="0" fillId="25" borderId="15" xfId="0" applyNumberFormat="1" applyFont="1" applyFill="1" applyBorder="1"/>
    <xf numFmtId="0" fontId="0" fillId="25" borderId="15" xfId="0" applyNumberFormat="1" applyFont="1" applyFill="1" applyBorder="1"/>
    <xf numFmtId="0" fontId="0" fillId="7" borderId="16" xfId="0" applyFont="1" applyFill="1" applyBorder="1"/>
    <xf numFmtId="0" fontId="0" fillId="25" borderId="16" xfId="0" applyFont="1" applyFill="1" applyBorder="1"/>
    <xf numFmtId="178" fontId="0" fillId="25" borderId="16" xfId="0" applyNumberFormat="1" applyFont="1" applyFill="1" applyBorder="1"/>
    <xf numFmtId="1" fontId="0" fillId="25" borderId="16" xfId="0" applyNumberFormat="1" applyFont="1" applyFill="1" applyBorder="1"/>
    <xf numFmtId="166" fontId="0" fillId="25" borderId="16" xfId="0" applyNumberFormat="1" applyFont="1" applyFill="1" applyBorder="1"/>
    <xf numFmtId="0" fontId="0" fillId="25" borderId="16" xfId="0" applyNumberFormat="1" applyFont="1" applyFill="1" applyBorder="1"/>
    <xf numFmtId="14" fontId="0" fillId="25" borderId="16" xfId="0" applyNumberFormat="1" applyFont="1" applyFill="1" applyBorder="1"/>
    <xf numFmtId="169" fontId="0" fillId="25" borderId="16" xfId="1" applyNumberFormat="1" applyFont="1" applyFill="1" applyBorder="1"/>
    <xf numFmtId="165" fontId="0" fillId="25" borderId="16" xfId="0" applyNumberFormat="1" applyFont="1" applyFill="1" applyBorder="1"/>
    <xf numFmtId="178" fontId="0" fillId="25" borderId="16" xfId="0" applyNumberFormat="1" applyFont="1" applyFill="1" applyBorder="1" applyAlignment="1">
      <alignment horizontal="center"/>
    </xf>
    <xf numFmtId="0" fontId="0" fillId="0" borderId="16" xfId="0" applyFont="1" applyBorder="1"/>
    <xf numFmtId="178" fontId="39" fillId="4" borderId="15" xfId="0" applyNumberFormat="1" applyFont="1" applyFill="1" applyBorder="1" applyAlignment="1">
      <alignment horizontal="center" vertical="center"/>
    </xf>
    <xf numFmtId="0" fontId="0" fillId="7" borderId="0" xfId="0" applyFont="1" applyFill="1" applyBorder="1"/>
    <xf numFmtId="0" fontId="0" fillId="0" borderId="0" xfId="0" applyFont="1" applyBorder="1"/>
    <xf numFmtId="178" fontId="0" fillId="25" borderId="0" xfId="0" applyNumberFormat="1" applyFont="1" applyFill="1" applyBorder="1"/>
    <xf numFmtId="0" fontId="0" fillId="25" borderId="0" xfId="0" applyFont="1" applyFill="1" applyBorder="1"/>
    <xf numFmtId="166" fontId="0" fillId="25" borderId="0" xfId="0" applyNumberFormat="1" applyFont="1" applyFill="1" applyBorder="1"/>
    <xf numFmtId="1" fontId="0" fillId="25" borderId="0" xfId="0" applyNumberFormat="1" applyFont="1" applyFill="1" applyBorder="1"/>
    <xf numFmtId="0" fontId="0" fillId="25" borderId="0" xfId="0" applyNumberFormat="1" applyFont="1" applyFill="1" applyBorder="1"/>
    <xf numFmtId="14" fontId="0" fillId="25" borderId="0" xfId="0" applyNumberFormat="1" applyFont="1" applyFill="1" applyBorder="1"/>
    <xf numFmtId="169" fontId="0" fillId="25" borderId="0" xfId="1" applyNumberFormat="1" applyFont="1" applyFill="1" applyBorder="1"/>
    <xf numFmtId="165" fontId="0" fillId="25" borderId="0" xfId="0" applyNumberFormat="1" applyFont="1" applyFill="1" applyBorder="1"/>
    <xf numFmtId="178" fontId="0" fillId="25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9" fontId="0" fillId="0" borderId="18" xfId="2" applyFont="1" applyBorder="1" applyAlignment="1">
      <alignment horizontal="center"/>
    </xf>
    <xf numFmtId="169" fontId="3" fillId="56" borderId="9" xfId="1" quotePrefix="1" applyNumberFormat="1" applyFont="1" applyFill="1" applyBorder="1"/>
    <xf numFmtId="1" fontId="0" fillId="25" borderId="15" xfId="0" quotePrefix="1" applyNumberFormat="1" applyFont="1" applyFill="1" applyBorder="1"/>
    <xf numFmtId="0" fontId="2" fillId="0" borderId="0" xfId="0" applyFont="1" applyAlignment="1">
      <alignment horizontal="center"/>
    </xf>
    <xf numFmtId="0" fontId="0" fillId="4" borderId="16" xfId="0" applyFont="1" applyFill="1" applyBorder="1"/>
    <xf numFmtId="0" fontId="0" fillId="66" borderId="0" xfId="0" applyFill="1"/>
    <xf numFmtId="0" fontId="0" fillId="27" borderId="0" xfId="0" applyFill="1"/>
    <xf numFmtId="0" fontId="2" fillId="25" borderId="0" xfId="0" applyFont="1" applyFill="1" applyAlignment="1"/>
    <xf numFmtId="0" fontId="9" fillId="25" borderId="15" xfId="0" applyFont="1" applyFill="1" applyBorder="1"/>
    <xf numFmtId="14" fontId="0" fillId="4" borderId="4" xfId="0" applyNumberFormat="1" applyFont="1" applyFill="1" applyBorder="1"/>
    <xf numFmtId="0" fontId="0" fillId="4" borderId="4" xfId="0" applyFont="1" applyFill="1" applyBorder="1" applyAlignment="1">
      <alignment horizontal="right"/>
    </xf>
    <xf numFmtId="169" fontId="0" fillId="4" borderId="4" xfId="1" applyNumberFormat="1" applyFont="1" applyFill="1" applyBorder="1"/>
    <xf numFmtId="165" fontId="0" fillId="4" borderId="4" xfId="0" applyNumberFormat="1" applyFont="1" applyFill="1" applyBorder="1"/>
    <xf numFmtId="178" fontId="0" fillId="4" borderId="4" xfId="0" applyNumberFormat="1" applyFont="1" applyFill="1" applyBorder="1" applyAlignment="1">
      <alignment horizontal="center"/>
    </xf>
    <xf numFmtId="0" fontId="0" fillId="0" borderId="15" xfId="0" applyFill="1" applyBorder="1"/>
    <xf numFmtId="1" fontId="0" fillId="4" borderId="4" xfId="0" applyNumberFormat="1" applyFont="1" applyFill="1" applyBorder="1"/>
    <xf numFmtId="0" fontId="14" fillId="0" borderId="15" xfId="3" applyBorder="1"/>
    <xf numFmtId="0" fontId="0" fillId="0" borderId="0" xfId="0" applyFont="1" applyFill="1" applyBorder="1" applyAlignment="1">
      <alignment horizontal="right"/>
    </xf>
    <xf numFmtId="0" fontId="0" fillId="69" borderId="15" xfId="0" applyFont="1" applyFill="1" applyBorder="1"/>
    <xf numFmtId="169" fontId="0" fillId="25" borderId="4" xfId="1" applyNumberFormat="1" applyFont="1" applyFill="1" applyBorder="1"/>
    <xf numFmtId="0" fontId="39" fillId="7" borderId="15" xfId="0" applyFont="1" applyFill="1" applyBorder="1" applyAlignment="1">
      <alignment horizontal="center" vertical="center" wrapText="1"/>
    </xf>
    <xf numFmtId="0" fontId="0" fillId="0" borderId="15" xfId="0" quotePrefix="1" applyFont="1" applyBorder="1"/>
    <xf numFmtId="0" fontId="0" fillId="7" borderId="15" xfId="0" applyNumberFormat="1" applyFont="1" applyFill="1" applyBorder="1"/>
    <xf numFmtId="44" fontId="0" fillId="0" borderId="15" xfId="0" applyNumberFormat="1" applyFont="1" applyBorder="1" applyAlignment="1">
      <alignment horizontal="center"/>
    </xf>
    <xf numFmtId="44" fontId="0" fillId="0" borderId="18" xfId="0" applyNumberFormat="1" applyFont="1" applyBorder="1" applyAlignment="1">
      <alignment horizontal="center"/>
    </xf>
    <xf numFmtId="9" fontId="0" fillId="7" borderId="18" xfId="0" applyNumberForma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178" fontId="2" fillId="0" borderId="14" xfId="0" applyNumberFormat="1" applyFont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178" fontId="2" fillId="3" borderId="14" xfId="0" applyNumberFormat="1" applyFont="1" applyFill="1" applyBorder="1" applyAlignment="1">
      <alignment horizontal="center"/>
    </xf>
    <xf numFmtId="1" fontId="19" fillId="0" borderId="4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2" fontId="19" fillId="0" borderId="4" xfId="0" applyNumberFormat="1" applyFont="1" applyBorder="1" applyAlignment="1">
      <alignment horizontal="center" wrapText="1"/>
    </xf>
    <xf numFmtId="2" fontId="19" fillId="0" borderId="0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</cellXfs>
  <cellStyles count="26881">
    <cellStyle name="_Column1" xfId="8" xr:uid="{00000000-0005-0000-0000-000000000000}"/>
    <cellStyle name="_Column1_Budget Package AWECO_AWECO Neukirch final incl. Mittelfristplanung_Master" xfId="9" xr:uid="{00000000-0005-0000-0000-000001000000}"/>
    <cellStyle name="_Column1_FCST-Package AWECO_Neukirch 1-2008_V1 12082008" xfId="10" xr:uid="{00000000-0005-0000-0000-000002000000}"/>
    <cellStyle name="_Column1_FX-Rates 2009 Budget AWECO Group" xfId="11" xr:uid="{00000000-0005-0000-0000-000003000000}"/>
    <cellStyle name="_Column1_Kopie von Budget Package AWECO_AWECO Neukirch final" xfId="12" xr:uid="{00000000-0005-0000-0000-000004000000}"/>
    <cellStyle name="_Column1_Kopie von Budget Package AWECO_AWECO Neukirch final incl. Mittelfristplanung" xfId="13" xr:uid="{00000000-0005-0000-0000-000005000000}"/>
    <cellStyle name="_Column2" xfId="14" xr:uid="{00000000-0005-0000-0000-000006000000}"/>
    <cellStyle name="_Column3" xfId="15" xr:uid="{00000000-0005-0000-0000-000007000000}"/>
    <cellStyle name="_Column4" xfId="16" xr:uid="{00000000-0005-0000-0000-000008000000}"/>
    <cellStyle name="_Column4_Budget Package AWECO_AWECO Neukirch final incl. Mittelfristplanung_Master" xfId="17" xr:uid="{00000000-0005-0000-0000-000009000000}"/>
    <cellStyle name="_Column4_FCST-Package AWECO_Neukirch 1-2008_V1 12082008" xfId="18" xr:uid="{00000000-0005-0000-0000-00000A000000}"/>
    <cellStyle name="_Column4_FX-Rates 2009 Budget AWECO Group" xfId="19" xr:uid="{00000000-0005-0000-0000-00000B000000}"/>
    <cellStyle name="_Column4_Kopie von Budget Package AWECO_AWECO Neukirch final" xfId="20" xr:uid="{00000000-0005-0000-0000-00000C000000}"/>
    <cellStyle name="_Column4_Kopie von Budget Package AWECO_AWECO Neukirch final incl. Mittelfristplanung" xfId="21" xr:uid="{00000000-0005-0000-0000-00000D000000}"/>
    <cellStyle name="_Column5" xfId="22" xr:uid="{00000000-0005-0000-0000-00000E000000}"/>
    <cellStyle name="_Column6" xfId="23" xr:uid="{00000000-0005-0000-0000-00000F000000}"/>
    <cellStyle name="_Column7" xfId="24" xr:uid="{00000000-0005-0000-0000-000010000000}"/>
    <cellStyle name="_Data" xfId="25" xr:uid="{00000000-0005-0000-0000-000011000000}"/>
    <cellStyle name="_Data 2" xfId="26" xr:uid="{00000000-0005-0000-0000-000012000000}"/>
    <cellStyle name="_Data_Budget Package AWECO_AWECO Neukirch final incl. Mittelfristplanung_Master" xfId="27" xr:uid="{00000000-0005-0000-0000-000013000000}"/>
    <cellStyle name="_Data_Dec 4budget Package AWECO_AWECO China2" xfId="28" xr:uid="{00000000-0005-0000-0000-000014000000}"/>
    <cellStyle name="_Data_FCST-Package AWECO_Neukirch 1-2008_Master Template" xfId="29" xr:uid="{00000000-0005-0000-0000-000015000000}"/>
    <cellStyle name="_Data_Kopie von Budget Package AWECO_AWECO Neukirch final" xfId="30" xr:uid="{00000000-0005-0000-0000-000016000000}"/>
    <cellStyle name="_Data_Kopie von Budget Package AWECO_AWECO Neukirch final incl. Mittelfristplanung" xfId="31" xr:uid="{00000000-0005-0000-0000-000017000000}"/>
    <cellStyle name="_Data_Midterm Package AWECO_AWECO China" xfId="32" xr:uid="{00000000-0005-0000-0000-000018000000}"/>
    <cellStyle name="_Data_Midterm Package AWECO_AWECO China_Master" xfId="33" xr:uid="{00000000-0005-0000-0000-000019000000}"/>
    <cellStyle name="_Data_Midterm Package AWECO_AWECO Neukirch_210208_V1" xfId="34" xr:uid="{00000000-0005-0000-0000-00001A000000}"/>
    <cellStyle name="_Data_Midterm Package AWECO_Neukirch_250208_final" xfId="35" xr:uid="{00000000-0005-0000-0000-00001B000000}"/>
    <cellStyle name="_Header" xfId="36" xr:uid="{00000000-0005-0000-0000-00001C000000}"/>
    <cellStyle name="_Row1" xfId="37" xr:uid="{00000000-0005-0000-0000-00001D000000}"/>
    <cellStyle name="_Row1_Budget Package AWECO_AWECO Neukirch final incl. Mittelfristplanung_Master" xfId="38" xr:uid="{00000000-0005-0000-0000-00001E000000}"/>
    <cellStyle name="_Row1_FCST-Package AWECO_Neukirch 1-2008_V1 12082008" xfId="39" xr:uid="{00000000-0005-0000-0000-00001F000000}"/>
    <cellStyle name="_Row1_FX-Rates 2009 Budget AWECO Group" xfId="40" xr:uid="{00000000-0005-0000-0000-000020000000}"/>
    <cellStyle name="_Row1_Kopie von Budget Package AWECO_AWECO Neukirch final" xfId="41" xr:uid="{00000000-0005-0000-0000-000021000000}"/>
    <cellStyle name="_Row1_Kopie von Budget Package AWECO_AWECO Neukirch final incl. Mittelfristplanung" xfId="42" xr:uid="{00000000-0005-0000-0000-000022000000}"/>
    <cellStyle name="_Row2" xfId="43" xr:uid="{00000000-0005-0000-0000-000023000000}"/>
    <cellStyle name="_Row3" xfId="44" xr:uid="{00000000-0005-0000-0000-000024000000}"/>
    <cellStyle name="_Row4" xfId="45" xr:uid="{00000000-0005-0000-0000-000025000000}"/>
    <cellStyle name="_Row4 2" xfId="46" xr:uid="{00000000-0005-0000-0000-000026000000}"/>
    <cellStyle name="_Row4_Budget Package AWECO_AWECO Neukirch final incl. Mittelfristplanung_Master" xfId="47" xr:uid="{00000000-0005-0000-0000-000027000000}"/>
    <cellStyle name="_Row4_Dec 4budget Package AWECO_AWECO China2" xfId="48" xr:uid="{00000000-0005-0000-0000-000028000000}"/>
    <cellStyle name="_Row4_FCST-Package AWECO_Neukirch 1-2008_Master Template" xfId="49" xr:uid="{00000000-0005-0000-0000-000029000000}"/>
    <cellStyle name="_Row4_Kopie von Budget Package AWECO_AWECO Neukirch final" xfId="50" xr:uid="{00000000-0005-0000-0000-00002A000000}"/>
    <cellStyle name="_Row4_Kopie von Budget Package AWECO_AWECO Neukirch final incl. Mittelfristplanung" xfId="51" xr:uid="{00000000-0005-0000-0000-00002B000000}"/>
    <cellStyle name="_Row4_Midterm Package AWECO_AWECO China" xfId="52" xr:uid="{00000000-0005-0000-0000-00002C000000}"/>
    <cellStyle name="_Row4_Midterm Package AWECO_AWECO China_Master" xfId="53" xr:uid="{00000000-0005-0000-0000-00002D000000}"/>
    <cellStyle name="_Row4_Midterm Package AWECO_AWECO Neukirch_210208_V1" xfId="54" xr:uid="{00000000-0005-0000-0000-00002E000000}"/>
    <cellStyle name="_Row4_Midterm Package AWECO_Neukirch_250208_final" xfId="55" xr:uid="{00000000-0005-0000-0000-00002F000000}"/>
    <cellStyle name="_Row5" xfId="56" xr:uid="{00000000-0005-0000-0000-000030000000}"/>
    <cellStyle name="_Row6" xfId="57" xr:uid="{00000000-0005-0000-0000-000031000000}"/>
    <cellStyle name="_Row7" xfId="58" xr:uid="{00000000-0005-0000-0000-000032000000}"/>
    <cellStyle name="20 % - Akzent1" xfId="59" xr:uid="{00000000-0005-0000-0000-000033000000}"/>
    <cellStyle name="20 % - Akzent1 2" xfId="60" xr:uid="{00000000-0005-0000-0000-000034000000}"/>
    <cellStyle name="20 % - Akzent1 2 2" xfId="61" xr:uid="{00000000-0005-0000-0000-000035000000}"/>
    <cellStyle name="20 % - Akzent1 3" xfId="62" xr:uid="{00000000-0005-0000-0000-000036000000}"/>
    <cellStyle name="20 % - Akzent2" xfId="63" xr:uid="{00000000-0005-0000-0000-000037000000}"/>
    <cellStyle name="20 % - Akzent2 2" xfId="64" xr:uid="{00000000-0005-0000-0000-000038000000}"/>
    <cellStyle name="20 % - Akzent2 2 2" xfId="65" xr:uid="{00000000-0005-0000-0000-000039000000}"/>
    <cellStyle name="20 % - Akzent2 3" xfId="66" xr:uid="{00000000-0005-0000-0000-00003A000000}"/>
    <cellStyle name="20 % - Akzent3" xfId="67" xr:uid="{00000000-0005-0000-0000-00003B000000}"/>
    <cellStyle name="20 % - Akzent3 2" xfId="68" xr:uid="{00000000-0005-0000-0000-00003C000000}"/>
    <cellStyle name="20 % - Akzent3 2 2" xfId="69" xr:uid="{00000000-0005-0000-0000-00003D000000}"/>
    <cellStyle name="20 % - Akzent3 3" xfId="70" xr:uid="{00000000-0005-0000-0000-00003E000000}"/>
    <cellStyle name="20 % - Akzent4" xfId="71" xr:uid="{00000000-0005-0000-0000-00003F000000}"/>
    <cellStyle name="20 % - Akzent4 2" xfId="72" xr:uid="{00000000-0005-0000-0000-000040000000}"/>
    <cellStyle name="20 % - Akzent4 2 2" xfId="73" xr:uid="{00000000-0005-0000-0000-000041000000}"/>
    <cellStyle name="20 % - Akzent4 3" xfId="74" xr:uid="{00000000-0005-0000-0000-000042000000}"/>
    <cellStyle name="20 % - Akzent5" xfId="75" xr:uid="{00000000-0005-0000-0000-000043000000}"/>
    <cellStyle name="20 % - Akzent5 2" xfId="76" xr:uid="{00000000-0005-0000-0000-000044000000}"/>
    <cellStyle name="20 % - Akzent5 2 2" xfId="77" xr:uid="{00000000-0005-0000-0000-000045000000}"/>
    <cellStyle name="20 % - Akzent5 3" xfId="78" xr:uid="{00000000-0005-0000-0000-000046000000}"/>
    <cellStyle name="20 % - Akzent6" xfId="79" xr:uid="{00000000-0005-0000-0000-000047000000}"/>
    <cellStyle name="20 % - Akzent6 2" xfId="80" xr:uid="{00000000-0005-0000-0000-000048000000}"/>
    <cellStyle name="20 % - Akzent6 2 2" xfId="81" xr:uid="{00000000-0005-0000-0000-000049000000}"/>
    <cellStyle name="20 % - Akzent6 3" xfId="82" xr:uid="{00000000-0005-0000-0000-00004A000000}"/>
    <cellStyle name="20% - Accent1" xfId="21047" xr:uid="{00000000-0005-0000-0000-00004B000000}"/>
    <cellStyle name="20% - Accent1 10" xfId="83" xr:uid="{00000000-0005-0000-0000-00004C000000}"/>
    <cellStyle name="20% - Accent1 10 2" xfId="84" xr:uid="{00000000-0005-0000-0000-00004D000000}"/>
    <cellStyle name="20% - Accent1 11" xfId="85" xr:uid="{00000000-0005-0000-0000-00004E000000}"/>
    <cellStyle name="20% - Accent1 11 2" xfId="86" xr:uid="{00000000-0005-0000-0000-00004F000000}"/>
    <cellStyle name="20% - Accent1 12" xfId="87" xr:uid="{00000000-0005-0000-0000-000050000000}"/>
    <cellStyle name="20% - Accent1 12 2" xfId="88" xr:uid="{00000000-0005-0000-0000-000051000000}"/>
    <cellStyle name="20% - Accent1 13" xfId="89" xr:uid="{00000000-0005-0000-0000-000052000000}"/>
    <cellStyle name="20% - Accent1 13 2" xfId="90" xr:uid="{00000000-0005-0000-0000-000053000000}"/>
    <cellStyle name="20% - Accent1 14" xfId="91" xr:uid="{00000000-0005-0000-0000-000054000000}"/>
    <cellStyle name="20% - Accent1 14 2" xfId="92" xr:uid="{00000000-0005-0000-0000-000055000000}"/>
    <cellStyle name="20% - Accent1 15" xfId="93" xr:uid="{00000000-0005-0000-0000-000056000000}"/>
    <cellStyle name="20% - Accent1 15 2" xfId="94" xr:uid="{00000000-0005-0000-0000-000057000000}"/>
    <cellStyle name="20% - Accent1 16" xfId="95" xr:uid="{00000000-0005-0000-0000-000058000000}"/>
    <cellStyle name="20% - Accent1 16 2" xfId="96" xr:uid="{00000000-0005-0000-0000-000059000000}"/>
    <cellStyle name="20% - Accent1 17" xfId="97" xr:uid="{00000000-0005-0000-0000-00005A000000}"/>
    <cellStyle name="20% - Accent1 17 2" xfId="98" xr:uid="{00000000-0005-0000-0000-00005B000000}"/>
    <cellStyle name="20% - Accent1 18" xfId="99" xr:uid="{00000000-0005-0000-0000-00005C000000}"/>
    <cellStyle name="20% - Accent1 18 2" xfId="100" xr:uid="{00000000-0005-0000-0000-00005D000000}"/>
    <cellStyle name="20% - Accent1 19" xfId="101" xr:uid="{00000000-0005-0000-0000-00005E000000}"/>
    <cellStyle name="20% - Accent1 19 2" xfId="102" xr:uid="{00000000-0005-0000-0000-00005F000000}"/>
    <cellStyle name="20% - Accent1 2" xfId="103" xr:uid="{00000000-0005-0000-0000-000060000000}"/>
    <cellStyle name="20% - Accent1 2 2" xfId="104" xr:uid="{00000000-0005-0000-0000-000061000000}"/>
    <cellStyle name="20% - Accent1 2 2 2" xfId="105" xr:uid="{00000000-0005-0000-0000-000062000000}"/>
    <cellStyle name="20% - Accent1 2 2 2 2" xfId="106" xr:uid="{00000000-0005-0000-0000-000063000000}"/>
    <cellStyle name="20% - Accent1 2 2 3" xfId="107" xr:uid="{00000000-0005-0000-0000-000064000000}"/>
    <cellStyle name="20% - Accent1 2 3" xfId="108" xr:uid="{00000000-0005-0000-0000-000065000000}"/>
    <cellStyle name="20% - Accent1 2 3 2" xfId="109" xr:uid="{00000000-0005-0000-0000-000066000000}"/>
    <cellStyle name="20% - Accent1 2 4" xfId="110" xr:uid="{00000000-0005-0000-0000-000067000000}"/>
    <cellStyle name="20% - Accent1 2_AE_FC_QuoteMaster" xfId="111" xr:uid="{00000000-0005-0000-0000-000068000000}"/>
    <cellStyle name="20% - Accent1 20" xfId="112" xr:uid="{00000000-0005-0000-0000-000069000000}"/>
    <cellStyle name="20% - Accent1 20 2" xfId="113" xr:uid="{00000000-0005-0000-0000-00006A000000}"/>
    <cellStyle name="20% - Accent1 21" xfId="114" xr:uid="{00000000-0005-0000-0000-00006B000000}"/>
    <cellStyle name="20% - Accent1 21 2" xfId="115" xr:uid="{00000000-0005-0000-0000-00006C000000}"/>
    <cellStyle name="20% - Accent1 22" xfId="116" xr:uid="{00000000-0005-0000-0000-00006D000000}"/>
    <cellStyle name="20% - Accent1 22 2" xfId="117" xr:uid="{00000000-0005-0000-0000-00006E000000}"/>
    <cellStyle name="20% - Accent1 23" xfId="118" xr:uid="{00000000-0005-0000-0000-00006F000000}"/>
    <cellStyle name="20% - Accent1 23 2" xfId="119" xr:uid="{00000000-0005-0000-0000-000070000000}"/>
    <cellStyle name="20% - Accent1 24" xfId="120" xr:uid="{00000000-0005-0000-0000-000071000000}"/>
    <cellStyle name="20% - Accent1 24 2" xfId="121" xr:uid="{00000000-0005-0000-0000-000072000000}"/>
    <cellStyle name="20% - Accent1 25" xfId="122" xr:uid="{00000000-0005-0000-0000-000073000000}"/>
    <cellStyle name="20% - Accent1 25 2" xfId="123" xr:uid="{00000000-0005-0000-0000-000074000000}"/>
    <cellStyle name="20% - Accent1 26" xfId="124" xr:uid="{00000000-0005-0000-0000-000075000000}"/>
    <cellStyle name="20% - Accent1 26 2" xfId="125" xr:uid="{00000000-0005-0000-0000-000076000000}"/>
    <cellStyle name="20% - Accent1 27" xfId="126" xr:uid="{00000000-0005-0000-0000-000077000000}"/>
    <cellStyle name="20% - Accent1 27 2" xfId="127" xr:uid="{00000000-0005-0000-0000-000078000000}"/>
    <cellStyle name="20% - Accent1 28" xfId="128" xr:uid="{00000000-0005-0000-0000-000079000000}"/>
    <cellStyle name="20% - Accent1 28 2" xfId="129" xr:uid="{00000000-0005-0000-0000-00007A000000}"/>
    <cellStyle name="20% - Accent1 29" xfId="130" xr:uid="{00000000-0005-0000-0000-00007B000000}"/>
    <cellStyle name="20% - Accent1 29 2" xfId="131" xr:uid="{00000000-0005-0000-0000-00007C000000}"/>
    <cellStyle name="20% - Accent1 3" xfId="132" xr:uid="{00000000-0005-0000-0000-00007D000000}"/>
    <cellStyle name="20% - Accent1 3 2" xfId="133" xr:uid="{00000000-0005-0000-0000-00007E000000}"/>
    <cellStyle name="20% - Accent1 3 2 2" xfId="134" xr:uid="{00000000-0005-0000-0000-00007F000000}"/>
    <cellStyle name="20% - Accent1 3 2 2 2" xfId="135" xr:uid="{00000000-0005-0000-0000-000080000000}"/>
    <cellStyle name="20% - Accent1 3 2 3" xfId="136" xr:uid="{00000000-0005-0000-0000-000081000000}"/>
    <cellStyle name="20% - Accent1 3 3" xfId="137" xr:uid="{00000000-0005-0000-0000-000082000000}"/>
    <cellStyle name="20% - Accent1 3 3 2" xfId="138" xr:uid="{00000000-0005-0000-0000-000083000000}"/>
    <cellStyle name="20% - Accent1 3 4" xfId="139" xr:uid="{00000000-0005-0000-0000-000084000000}"/>
    <cellStyle name="20% - Accent1 3_AE_FC_QuoteMaster" xfId="140" xr:uid="{00000000-0005-0000-0000-000085000000}"/>
    <cellStyle name="20% - Accent1 30" xfId="141" xr:uid="{00000000-0005-0000-0000-000086000000}"/>
    <cellStyle name="20% - Accent1 30 2" xfId="142" xr:uid="{00000000-0005-0000-0000-000087000000}"/>
    <cellStyle name="20% - Accent1 31" xfId="143" xr:uid="{00000000-0005-0000-0000-000088000000}"/>
    <cellStyle name="20% - Accent1 31 2" xfId="144" xr:uid="{00000000-0005-0000-0000-000089000000}"/>
    <cellStyle name="20% - Accent1 32" xfId="145" xr:uid="{00000000-0005-0000-0000-00008A000000}"/>
    <cellStyle name="20% - Accent1 32 2" xfId="146" xr:uid="{00000000-0005-0000-0000-00008B000000}"/>
    <cellStyle name="20% - Accent1 33" xfId="147" xr:uid="{00000000-0005-0000-0000-00008C000000}"/>
    <cellStyle name="20% - Accent1 33 2" xfId="148" xr:uid="{00000000-0005-0000-0000-00008D000000}"/>
    <cellStyle name="20% - Accent1 34" xfId="149" xr:uid="{00000000-0005-0000-0000-00008E000000}"/>
    <cellStyle name="20% - Accent1 34 2" xfId="150" xr:uid="{00000000-0005-0000-0000-00008F000000}"/>
    <cellStyle name="20% - Accent1 35" xfId="151" xr:uid="{00000000-0005-0000-0000-000090000000}"/>
    <cellStyle name="20% - Accent1 35 2" xfId="152" xr:uid="{00000000-0005-0000-0000-000091000000}"/>
    <cellStyle name="20% - Accent1 36" xfId="153" xr:uid="{00000000-0005-0000-0000-000092000000}"/>
    <cellStyle name="20% - Accent1 36 2" xfId="154" xr:uid="{00000000-0005-0000-0000-000093000000}"/>
    <cellStyle name="20% - Accent1 37" xfId="155" xr:uid="{00000000-0005-0000-0000-000094000000}"/>
    <cellStyle name="20% - Accent1 37 2" xfId="156" xr:uid="{00000000-0005-0000-0000-000095000000}"/>
    <cellStyle name="20% - Accent1 38" xfId="157" xr:uid="{00000000-0005-0000-0000-000096000000}"/>
    <cellStyle name="20% - Accent1 38 2" xfId="158" xr:uid="{00000000-0005-0000-0000-000097000000}"/>
    <cellStyle name="20% - Accent1 39" xfId="159" xr:uid="{00000000-0005-0000-0000-000098000000}"/>
    <cellStyle name="20% - Accent1 39 2" xfId="160" xr:uid="{00000000-0005-0000-0000-000099000000}"/>
    <cellStyle name="20% - Accent1 4" xfId="161" xr:uid="{00000000-0005-0000-0000-00009A000000}"/>
    <cellStyle name="20% - Accent1 4 2" xfId="162" xr:uid="{00000000-0005-0000-0000-00009B000000}"/>
    <cellStyle name="20% - Accent1 4 2 2" xfId="163" xr:uid="{00000000-0005-0000-0000-00009C000000}"/>
    <cellStyle name="20% - Accent1 4 3" xfId="164" xr:uid="{00000000-0005-0000-0000-00009D000000}"/>
    <cellStyle name="20% - Accent1 40" xfId="165" xr:uid="{00000000-0005-0000-0000-00009E000000}"/>
    <cellStyle name="20% - Accent1 40 2" xfId="166" xr:uid="{00000000-0005-0000-0000-00009F000000}"/>
    <cellStyle name="20% - Accent1 41" xfId="167" xr:uid="{00000000-0005-0000-0000-0000A0000000}"/>
    <cellStyle name="20% - Accent1 41 2" xfId="168" xr:uid="{00000000-0005-0000-0000-0000A1000000}"/>
    <cellStyle name="20% - Accent1 42" xfId="169" xr:uid="{00000000-0005-0000-0000-0000A2000000}"/>
    <cellStyle name="20% - Accent1 42 2" xfId="170" xr:uid="{00000000-0005-0000-0000-0000A3000000}"/>
    <cellStyle name="20% - Accent1 43" xfId="171" xr:uid="{00000000-0005-0000-0000-0000A4000000}"/>
    <cellStyle name="20% - Accent1 43 2" xfId="172" xr:uid="{00000000-0005-0000-0000-0000A5000000}"/>
    <cellStyle name="20% - Accent1 44" xfId="173" xr:uid="{00000000-0005-0000-0000-0000A6000000}"/>
    <cellStyle name="20% - Accent1 44 2" xfId="174" xr:uid="{00000000-0005-0000-0000-0000A7000000}"/>
    <cellStyle name="20% - Accent1 45" xfId="175" xr:uid="{00000000-0005-0000-0000-0000A8000000}"/>
    <cellStyle name="20% - Accent1 45 2" xfId="176" xr:uid="{00000000-0005-0000-0000-0000A9000000}"/>
    <cellStyle name="20% - Accent1 46" xfId="177" xr:uid="{00000000-0005-0000-0000-0000AA000000}"/>
    <cellStyle name="20% - Accent1 46 2" xfId="178" xr:uid="{00000000-0005-0000-0000-0000AB000000}"/>
    <cellStyle name="20% - Accent1 47" xfId="179" xr:uid="{00000000-0005-0000-0000-0000AC000000}"/>
    <cellStyle name="20% - Accent1 47 2" xfId="180" xr:uid="{00000000-0005-0000-0000-0000AD000000}"/>
    <cellStyle name="20% - Accent1 48" xfId="181" xr:uid="{00000000-0005-0000-0000-0000AE000000}"/>
    <cellStyle name="20% - Accent1 48 2" xfId="182" xr:uid="{00000000-0005-0000-0000-0000AF000000}"/>
    <cellStyle name="20% - Accent1 49" xfId="183" xr:uid="{00000000-0005-0000-0000-0000B0000000}"/>
    <cellStyle name="20% - Accent1 49 2" xfId="184" xr:uid="{00000000-0005-0000-0000-0000B1000000}"/>
    <cellStyle name="20% - Accent1 5" xfId="185" xr:uid="{00000000-0005-0000-0000-0000B2000000}"/>
    <cellStyle name="20% - Accent1 5 2" xfId="186" xr:uid="{00000000-0005-0000-0000-0000B3000000}"/>
    <cellStyle name="20% - Accent1 50" xfId="187" xr:uid="{00000000-0005-0000-0000-0000B4000000}"/>
    <cellStyle name="20% - Accent1 50 2" xfId="188" xr:uid="{00000000-0005-0000-0000-0000B5000000}"/>
    <cellStyle name="20% - Accent1 51" xfId="189" xr:uid="{00000000-0005-0000-0000-0000B6000000}"/>
    <cellStyle name="20% - Accent1 51 2" xfId="190" xr:uid="{00000000-0005-0000-0000-0000B7000000}"/>
    <cellStyle name="20% - Accent1 52" xfId="191" xr:uid="{00000000-0005-0000-0000-0000B8000000}"/>
    <cellStyle name="20% - Accent1 52 2" xfId="192" xr:uid="{00000000-0005-0000-0000-0000B9000000}"/>
    <cellStyle name="20% - Accent1 53" xfId="193" xr:uid="{00000000-0005-0000-0000-0000BA000000}"/>
    <cellStyle name="20% - Accent1 53 2" xfId="194" xr:uid="{00000000-0005-0000-0000-0000BB000000}"/>
    <cellStyle name="20% - Accent1 54" xfId="195" xr:uid="{00000000-0005-0000-0000-0000BC000000}"/>
    <cellStyle name="20% - Accent1 54 2" xfId="196" xr:uid="{00000000-0005-0000-0000-0000BD000000}"/>
    <cellStyle name="20% - Accent1 55" xfId="197" xr:uid="{00000000-0005-0000-0000-0000BE000000}"/>
    <cellStyle name="20% - Accent1 55 2" xfId="198" xr:uid="{00000000-0005-0000-0000-0000BF000000}"/>
    <cellStyle name="20% - Accent1 56" xfId="199" xr:uid="{00000000-0005-0000-0000-0000C0000000}"/>
    <cellStyle name="20% - Accent1 56 2" xfId="200" xr:uid="{00000000-0005-0000-0000-0000C1000000}"/>
    <cellStyle name="20% - Accent1 57" xfId="201" xr:uid="{00000000-0005-0000-0000-0000C2000000}"/>
    <cellStyle name="20% - Accent1 57 2" xfId="202" xr:uid="{00000000-0005-0000-0000-0000C3000000}"/>
    <cellStyle name="20% - Accent1 58" xfId="203" xr:uid="{00000000-0005-0000-0000-0000C4000000}"/>
    <cellStyle name="20% - Accent1 58 2" xfId="204" xr:uid="{00000000-0005-0000-0000-0000C5000000}"/>
    <cellStyle name="20% - Accent1 59" xfId="205" xr:uid="{00000000-0005-0000-0000-0000C6000000}"/>
    <cellStyle name="20% - Accent1 59 2" xfId="206" xr:uid="{00000000-0005-0000-0000-0000C7000000}"/>
    <cellStyle name="20% - Accent1 6" xfId="207" xr:uid="{00000000-0005-0000-0000-0000C8000000}"/>
    <cellStyle name="20% - Accent1 6 2" xfId="208" xr:uid="{00000000-0005-0000-0000-0000C9000000}"/>
    <cellStyle name="20% - Accent1 60" xfId="209" xr:uid="{00000000-0005-0000-0000-0000CA000000}"/>
    <cellStyle name="20% - Accent1 60 2" xfId="210" xr:uid="{00000000-0005-0000-0000-0000CB000000}"/>
    <cellStyle name="20% - Accent1 61" xfId="211" xr:uid="{00000000-0005-0000-0000-0000CC000000}"/>
    <cellStyle name="20% - Accent1 61 2" xfId="212" xr:uid="{00000000-0005-0000-0000-0000CD000000}"/>
    <cellStyle name="20% - Accent1 62" xfId="213" xr:uid="{00000000-0005-0000-0000-0000CE000000}"/>
    <cellStyle name="20% - Accent1 62 2" xfId="214" xr:uid="{00000000-0005-0000-0000-0000CF000000}"/>
    <cellStyle name="20% - Accent1 63" xfId="215" xr:uid="{00000000-0005-0000-0000-0000D0000000}"/>
    <cellStyle name="20% - Accent1 63 2" xfId="216" xr:uid="{00000000-0005-0000-0000-0000D1000000}"/>
    <cellStyle name="20% - Accent1 64" xfId="217" xr:uid="{00000000-0005-0000-0000-0000D2000000}"/>
    <cellStyle name="20% - Accent1 64 2" xfId="218" xr:uid="{00000000-0005-0000-0000-0000D3000000}"/>
    <cellStyle name="20% - Accent1 65" xfId="219" xr:uid="{00000000-0005-0000-0000-0000D4000000}"/>
    <cellStyle name="20% - Accent1 65 2" xfId="220" xr:uid="{00000000-0005-0000-0000-0000D5000000}"/>
    <cellStyle name="20% - Accent1 66" xfId="221" xr:uid="{00000000-0005-0000-0000-0000D6000000}"/>
    <cellStyle name="20% - Accent1 66 2" xfId="222" xr:uid="{00000000-0005-0000-0000-0000D7000000}"/>
    <cellStyle name="20% - Accent1 67" xfId="223" xr:uid="{00000000-0005-0000-0000-0000D8000000}"/>
    <cellStyle name="20% - Accent1 67 2" xfId="224" xr:uid="{00000000-0005-0000-0000-0000D9000000}"/>
    <cellStyle name="20% - Accent1 68" xfId="225" xr:uid="{00000000-0005-0000-0000-0000DA000000}"/>
    <cellStyle name="20% - Accent1 68 2" xfId="226" xr:uid="{00000000-0005-0000-0000-0000DB000000}"/>
    <cellStyle name="20% - Accent1 69" xfId="227" xr:uid="{00000000-0005-0000-0000-0000DC000000}"/>
    <cellStyle name="20% - Accent1 69 2" xfId="228" xr:uid="{00000000-0005-0000-0000-0000DD000000}"/>
    <cellStyle name="20% - Accent1 7" xfId="229" xr:uid="{00000000-0005-0000-0000-0000DE000000}"/>
    <cellStyle name="20% - Accent1 7 2" xfId="230" xr:uid="{00000000-0005-0000-0000-0000DF000000}"/>
    <cellStyle name="20% - Accent1 70" xfId="231" xr:uid="{00000000-0005-0000-0000-0000E0000000}"/>
    <cellStyle name="20% - Accent1 70 2" xfId="232" xr:uid="{00000000-0005-0000-0000-0000E1000000}"/>
    <cellStyle name="20% - Accent1 8" xfId="233" xr:uid="{00000000-0005-0000-0000-0000E2000000}"/>
    <cellStyle name="20% - Accent1 8 2" xfId="234" xr:uid="{00000000-0005-0000-0000-0000E3000000}"/>
    <cellStyle name="20% - Accent1 9" xfId="235" xr:uid="{00000000-0005-0000-0000-0000E4000000}"/>
    <cellStyle name="20% - Accent1 9 2" xfId="236" xr:uid="{00000000-0005-0000-0000-0000E5000000}"/>
    <cellStyle name="20% - Accent2" xfId="21048" xr:uid="{00000000-0005-0000-0000-0000E6000000}"/>
    <cellStyle name="20% - Accent2 10" xfId="237" xr:uid="{00000000-0005-0000-0000-0000E7000000}"/>
    <cellStyle name="20% - Accent2 10 2" xfId="238" xr:uid="{00000000-0005-0000-0000-0000E8000000}"/>
    <cellStyle name="20% - Accent2 11" xfId="239" xr:uid="{00000000-0005-0000-0000-0000E9000000}"/>
    <cellStyle name="20% - Accent2 11 2" xfId="240" xr:uid="{00000000-0005-0000-0000-0000EA000000}"/>
    <cellStyle name="20% - Accent2 12" xfId="241" xr:uid="{00000000-0005-0000-0000-0000EB000000}"/>
    <cellStyle name="20% - Accent2 12 2" xfId="242" xr:uid="{00000000-0005-0000-0000-0000EC000000}"/>
    <cellStyle name="20% - Accent2 13" xfId="243" xr:uid="{00000000-0005-0000-0000-0000ED000000}"/>
    <cellStyle name="20% - Accent2 13 2" xfId="244" xr:uid="{00000000-0005-0000-0000-0000EE000000}"/>
    <cellStyle name="20% - Accent2 14" xfId="245" xr:uid="{00000000-0005-0000-0000-0000EF000000}"/>
    <cellStyle name="20% - Accent2 14 2" xfId="246" xr:uid="{00000000-0005-0000-0000-0000F0000000}"/>
    <cellStyle name="20% - Accent2 15" xfId="247" xr:uid="{00000000-0005-0000-0000-0000F1000000}"/>
    <cellStyle name="20% - Accent2 15 2" xfId="248" xr:uid="{00000000-0005-0000-0000-0000F2000000}"/>
    <cellStyle name="20% - Accent2 16" xfId="249" xr:uid="{00000000-0005-0000-0000-0000F3000000}"/>
    <cellStyle name="20% - Accent2 16 2" xfId="250" xr:uid="{00000000-0005-0000-0000-0000F4000000}"/>
    <cellStyle name="20% - Accent2 17" xfId="251" xr:uid="{00000000-0005-0000-0000-0000F5000000}"/>
    <cellStyle name="20% - Accent2 17 2" xfId="252" xr:uid="{00000000-0005-0000-0000-0000F6000000}"/>
    <cellStyle name="20% - Accent2 18" xfId="253" xr:uid="{00000000-0005-0000-0000-0000F7000000}"/>
    <cellStyle name="20% - Accent2 18 2" xfId="254" xr:uid="{00000000-0005-0000-0000-0000F8000000}"/>
    <cellStyle name="20% - Accent2 19" xfId="255" xr:uid="{00000000-0005-0000-0000-0000F9000000}"/>
    <cellStyle name="20% - Accent2 19 2" xfId="256" xr:uid="{00000000-0005-0000-0000-0000FA000000}"/>
    <cellStyle name="20% - Accent2 2" xfId="257" xr:uid="{00000000-0005-0000-0000-0000FB000000}"/>
    <cellStyle name="20% - Accent2 2 2" xfId="258" xr:uid="{00000000-0005-0000-0000-0000FC000000}"/>
    <cellStyle name="20% - Accent2 2 2 2" xfId="259" xr:uid="{00000000-0005-0000-0000-0000FD000000}"/>
    <cellStyle name="20% - Accent2 2 2 2 2" xfId="260" xr:uid="{00000000-0005-0000-0000-0000FE000000}"/>
    <cellStyle name="20% - Accent2 2 2 3" xfId="261" xr:uid="{00000000-0005-0000-0000-0000FF000000}"/>
    <cellStyle name="20% - Accent2 2 3" xfId="262" xr:uid="{00000000-0005-0000-0000-000000010000}"/>
    <cellStyle name="20% - Accent2 2 3 2" xfId="263" xr:uid="{00000000-0005-0000-0000-000001010000}"/>
    <cellStyle name="20% - Accent2 2 4" xfId="264" xr:uid="{00000000-0005-0000-0000-000002010000}"/>
    <cellStyle name="20% - Accent2 2_AE_FC_QuoteMaster" xfId="265" xr:uid="{00000000-0005-0000-0000-000003010000}"/>
    <cellStyle name="20% - Accent2 20" xfId="266" xr:uid="{00000000-0005-0000-0000-000004010000}"/>
    <cellStyle name="20% - Accent2 20 2" xfId="267" xr:uid="{00000000-0005-0000-0000-000005010000}"/>
    <cellStyle name="20% - Accent2 21" xfId="268" xr:uid="{00000000-0005-0000-0000-000006010000}"/>
    <cellStyle name="20% - Accent2 21 2" xfId="269" xr:uid="{00000000-0005-0000-0000-000007010000}"/>
    <cellStyle name="20% - Accent2 22" xfId="270" xr:uid="{00000000-0005-0000-0000-000008010000}"/>
    <cellStyle name="20% - Accent2 22 2" xfId="271" xr:uid="{00000000-0005-0000-0000-000009010000}"/>
    <cellStyle name="20% - Accent2 23" xfId="272" xr:uid="{00000000-0005-0000-0000-00000A010000}"/>
    <cellStyle name="20% - Accent2 23 2" xfId="273" xr:uid="{00000000-0005-0000-0000-00000B010000}"/>
    <cellStyle name="20% - Accent2 24" xfId="274" xr:uid="{00000000-0005-0000-0000-00000C010000}"/>
    <cellStyle name="20% - Accent2 24 2" xfId="275" xr:uid="{00000000-0005-0000-0000-00000D010000}"/>
    <cellStyle name="20% - Accent2 25" xfId="276" xr:uid="{00000000-0005-0000-0000-00000E010000}"/>
    <cellStyle name="20% - Accent2 25 2" xfId="277" xr:uid="{00000000-0005-0000-0000-00000F010000}"/>
    <cellStyle name="20% - Accent2 26" xfId="278" xr:uid="{00000000-0005-0000-0000-000010010000}"/>
    <cellStyle name="20% - Accent2 26 2" xfId="279" xr:uid="{00000000-0005-0000-0000-000011010000}"/>
    <cellStyle name="20% - Accent2 27" xfId="280" xr:uid="{00000000-0005-0000-0000-000012010000}"/>
    <cellStyle name="20% - Accent2 27 2" xfId="281" xr:uid="{00000000-0005-0000-0000-000013010000}"/>
    <cellStyle name="20% - Accent2 28" xfId="282" xr:uid="{00000000-0005-0000-0000-000014010000}"/>
    <cellStyle name="20% - Accent2 28 2" xfId="283" xr:uid="{00000000-0005-0000-0000-000015010000}"/>
    <cellStyle name="20% - Accent2 29" xfId="284" xr:uid="{00000000-0005-0000-0000-000016010000}"/>
    <cellStyle name="20% - Accent2 29 2" xfId="285" xr:uid="{00000000-0005-0000-0000-000017010000}"/>
    <cellStyle name="20% - Accent2 3" xfId="286" xr:uid="{00000000-0005-0000-0000-000018010000}"/>
    <cellStyle name="20% - Accent2 3 2" xfId="287" xr:uid="{00000000-0005-0000-0000-000019010000}"/>
    <cellStyle name="20% - Accent2 3 2 2" xfId="288" xr:uid="{00000000-0005-0000-0000-00001A010000}"/>
    <cellStyle name="20% - Accent2 3 2 2 2" xfId="289" xr:uid="{00000000-0005-0000-0000-00001B010000}"/>
    <cellStyle name="20% - Accent2 3 2 3" xfId="290" xr:uid="{00000000-0005-0000-0000-00001C010000}"/>
    <cellStyle name="20% - Accent2 3 3" xfId="291" xr:uid="{00000000-0005-0000-0000-00001D010000}"/>
    <cellStyle name="20% - Accent2 3 3 2" xfId="292" xr:uid="{00000000-0005-0000-0000-00001E010000}"/>
    <cellStyle name="20% - Accent2 3 4" xfId="293" xr:uid="{00000000-0005-0000-0000-00001F010000}"/>
    <cellStyle name="20% - Accent2 3_AE_FC_QuoteMaster" xfId="294" xr:uid="{00000000-0005-0000-0000-000020010000}"/>
    <cellStyle name="20% - Accent2 30" xfId="295" xr:uid="{00000000-0005-0000-0000-000021010000}"/>
    <cellStyle name="20% - Accent2 30 2" xfId="296" xr:uid="{00000000-0005-0000-0000-000022010000}"/>
    <cellStyle name="20% - Accent2 31" xfId="297" xr:uid="{00000000-0005-0000-0000-000023010000}"/>
    <cellStyle name="20% - Accent2 31 2" xfId="298" xr:uid="{00000000-0005-0000-0000-000024010000}"/>
    <cellStyle name="20% - Accent2 32" xfId="299" xr:uid="{00000000-0005-0000-0000-000025010000}"/>
    <cellStyle name="20% - Accent2 32 2" xfId="300" xr:uid="{00000000-0005-0000-0000-000026010000}"/>
    <cellStyle name="20% - Accent2 33" xfId="301" xr:uid="{00000000-0005-0000-0000-000027010000}"/>
    <cellStyle name="20% - Accent2 33 2" xfId="302" xr:uid="{00000000-0005-0000-0000-000028010000}"/>
    <cellStyle name="20% - Accent2 34" xfId="303" xr:uid="{00000000-0005-0000-0000-000029010000}"/>
    <cellStyle name="20% - Accent2 34 2" xfId="304" xr:uid="{00000000-0005-0000-0000-00002A010000}"/>
    <cellStyle name="20% - Accent2 35" xfId="305" xr:uid="{00000000-0005-0000-0000-00002B010000}"/>
    <cellStyle name="20% - Accent2 35 2" xfId="306" xr:uid="{00000000-0005-0000-0000-00002C010000}"/>
    <cellStyle name="20% - Accent2 36" xfId="307" xr:uid="{00000000-0005-0000-0000-00002D010000}"/>
    <cellStyle name="20% - Accent2 36 2" xfId="308" xr:uid="{00000000-0005-0000-0000-00002E010000}"/>
    <cellStyle name="20% - Accent2 37" xfId="309" xr:uid="{00000000-0005-0000-0000-00002F010000}"/>
    <cellStyle name="20% - Accent2 37 2" xfId="310" xr:uid="{00000000-0005-0000-0000-000030010000}"/>
    <cellStyle name="20% - Accent2 38" xfId="311" xr:uid="{00000000-0005-0000-0000-000031010000}"/>
    <cellStyle name="20% - Accent2 38 2" xfId="312" xr:uid="{00000000-0005-0000-0000-000032010000}"/>
    <cellStyle name="20% - Accent2 39" xfId="313" xr:uid="{00000000-0005-0000-0000-000033010000}"/>
    <cellStyle name="20% - Accent2 39 2" xfId="314" xr:uid="{00000000-0005-0000-0000-000034010000}"/>
    <cellStyle name="20% - Accent2 4" xfId="315" xr:uid="{00000000-0005-0000-0000-000035010000}"/>
    <cellStyle name="20% - Accent2 4 2" xfId="316" xr:uid="{00000000-0005-0000-0000-000036010000}"/>
    <cellStyle name="20% - Accent2 4 2 2" xfId="317" xr:uid="{00000000-0005-0000-0000-000037010000}"/>
    <cellStyle name="20% - Accent2 4 3" xfId="318" xr:uid="{00000000-0005-0000-0000-000038010000}"/>
    <cellStyle name="20% - Accent2 40" xfId="319" xr:uid="{00000000-0005-0000-0000-000039010000}"/>
    <cellStyle name="20% - Accent2 40 2" xfId="320" xr:uid="{00000000-0005-0000-0000-00003A010000}"/>
    <cellStyle name="20% - Accent2 41" xfId="321" xr:uid="{00000000-0005-0000-0000-00003B010000}"/>
    <cellStyle name="20% - Accent2 41 2" xfId="322" xr:uid="{00000000-0005-0000-0000-00003C010000}"/>
    <cellStyle name="20% - Accent2 42" xfId="323" xr:uid="{00000000-0005-0000-0000-00003D010000}"/>
    <cellStyle name="20% - Accent2 42 2" xfId="324" xr:uid="{00000000-0005-0000-0000-00003E010000}"/>
    <cellStyle name="20% - Accent2 43" xfId="325" xr:uid="{00000000-0005-0000-0000-00003F010000}"/>
    <cellStyle name="20% - Accent2 43 2" xfId="326" xr:uid="{00000000-0005-0000-0000-000040010000}"/>
    <cellStyle name="20% - Accent2 44" xfId="327" xr:uid="{00000000-0005-0000-0000-000041010000}"/>
    <cellStyle name="20% - Accent2 44 2" xfId="328" xr:uid="{00000000-0005-0000-0000-000042010000}"/>
    <cellStyle name="20% - Accent2 45" xfId="329" xr:uid="{00000000-0005-0000-0000-000043010000}"/>
    <cellStyle name="20% - Accent2 45 2" xfId="330" xr:uid="{00000000-0005-0000-0000-000044010000}"/>
    <cellStyle name="20% - Accent2 46" xfId="331" xr:uid="{00000000-0005-0000-0000-000045010000}"/>
    <cellStyle name="20% - Accent2 46 2" xfId="332" xr:uid="{00000000-0005-0000-0000-000046010000}"/>
    <cellStyle name="20% - Accent2 47" xfId="333" xr:uid="{00000000-0005-0000-0000-000047010000}"/>
    <cellStyle name="20% - Accent2 47 2" xfId="334" xr:uid="{00000000-0005-0000-0000-000048010000}"/>
    <cellStyle name="20% - Accent2 48" xfId="335" xr:uid="{00000000-0005-0000-0000-000049010000}"/>
    <cellStyle name="20% - Accent2 48 2" xfId="336" xr:uid="{00000000-0005-0000-0000-00004A010000}"/>
    <cellStyle name="20% - Accent2 49" xfId="337" xr:uid="{00000000-0005-0000-0000-00004B010000}"/>
    <cellStyle name="20% - Accent2 49 2" xfId="338" xr:uid="{00000000-0005-0000-0000-00004C010000}"/>
    <cellStyle name="20% - Accent2 5" xfId="339" xr:uid="{00000000-0005-0000-0000-00004D010000}"/>
    <cellStyle name="20% - Accent2 5 2" xfId="340" xr:uid="{00000000-0005-0000-0000-00004E010000}"/>
    <cellStyle name="20% - Accent2 50" xfId="341" xr:uid="{00000000-0005-0000-0000-00004F010000}"/>
    <cellStyle name="20% - Accent2 50 2" xfId="342" xr:uid="{00000000-0005-0000-0000-000050010000}"/>
    <cellStyle name="20% - Accent2 51" xfId="343" xr:uid="{00000000-0005-0000-0000-000051010000}"/>
    <cellStyle name="20% - Accent2 51 2" xfId="344" xr:uid="{00000000-0005-0000-0000-000052010000}"/>
    <cellStyle name="20% - Accent2 52" xfId="345" xr:uid="{00000000-0005-0000-0000-000053010000}"/>
    <cellStyle name="20% - Accent2 52 2" xfId="346" xr:uid="{00000000-0005-0000-0000-000054010000}"/>
    <cellStyle name="20% - Accent2 53" xfId="347" xr:uid="{00000000-0005-0000-0000-000055010000}"/>
    <cellStyle name="20% - Accent2 53 2" xfId="348" xr:uid="{00000000-0005-0000-0000-000056010000}"/>
    <cellStyle name="20% - Accent2 54" xfId="349" xr:uid="{00000000-0005-0000-0000-000057010000}"/>
    <cellStyle name="20% - Accent2 54 2" xfId="350" xr:uid="{00000000-0005-0000-0000-000058010000}"/>
    <cellStyle name="20% - Accent2 55" xfId="351" xr:uid="{00000000-0005-0000-0000-000059010000}"/>
    <cellStyle name="20% - Accent2 55 2" xfId="352" xr:uid="{00000000-0005-0000-0000-00005A010000}"/>
    <cellStyle name="20% - Accent2 56" xfId="353" xr:uid="{00000000-0005-0000-0000-00005B010000}"/>
    <cellStyle name="20% - Accent2 56 2" xfId="354" xr:uid="{00000000-0005-0000-0000-00005C010000}"/>
    <cellStyle name="20% - Accent2 57" xfId="355" xr:uid="{00000000-0005-0000-0000-00005D010000}"/>
    <cellStyle name="20% - Accent2 57 2" xfId="356" xr:uid="{00000000-0005-0000-0000-00005E010000}"/>
    <cellStyle name="20% - Accent2 58" xfId="357" xr:uid="{00000000-0005-0000-0000-00005F010000}"/>
    <cellStyle name="20% - Accent2 58 2" xfId="358" xr:uid="{00000000-0005-0000-0000-000060010000}"/>
    <cellStyle name="20% - Accent2 59" xfId="359" xr:uid="{00000000-0005-0000-0000-000061010000}"/>
    <cellStyle name="20% - Accent2 59 2" xfId="360" xr:uid="{00000000-0005-0000-0000-000062010000}"/>
    <cellStyle name="20% - Accent2 6" xfId="361" xr:uid="{00000000-0005-0000-0000-000063010000}"/>
    <cellStyle name="20% - Accent2 6 2" xfId="362" xr:uid="{00000000-0005-0000-0000-000064010000}"/>
    <cellStyle name="20% - Accent2 60" xfId="363" xr:uid="{00000000-0005-0000-0000-000065010000}"/>
    <cellStyle name="20% - Accent2 60 2" xfId="364" xr:uid="{00000000-0005-0000-0000-000066010000}"/>
    <cellStyle name="20% - Accent2 61" xfId="365" xr:uid="{00000000-0005-0000-0000-000067010000}"/>
    <cellStyle name="20% - Accent2 61 2" xfId="366" xr:uid="{00000000-0005-0000-0000-000068010000}"/>
    <cellStyle name="20% - Accent2 62" xfId="367" xr:uid="{00000000-0005-0000-0000-000069010000}"/>
    <cellStyle name="20% - Accent2 62 2" xfId="368" xr:uid="{00000000-0005-0000-0000-00006A010000}"/>
    <cellStyle name="20% - Accent2 63" xfId="369" xr:uid="{00000000-0005-0000-0000-00006B010000}"/>
    <cellStyle name="20% - Accent2 63 2" xfId="370" xr:uid="{00000000-0005-0000-0000-00006C010000}"/>
    <cellStyle name="20% - Accent2 64" xfId="371" xr:uid="{00000000-0005-0000-0000-00006D010000}"/>
    <cellStyle name="20% - Accent2 64 2" xfId="372" xr:uid="{00000000-0005-0000-0000-00006E010000}"/>
    <cellStyle name="20% - Accent2 65" xfId="373" xr:uid="{00000000-0005-0000-0000-00006F010000}"/>
    <cellStyle name="20% - Accent2 65 2" xfId="374" xr:uid="{00000000-0005-0000-0000-000070010000}"/>
    <cellStyle name="20% - Accent2 66" xfId="375" xr:uid="{00000000-0005-0000-0000-000071010000}"/>
    <cellStyle name="20% - Accent2 66 2" xfId="376" xr:uid="{00000000-0005-0000-0000-000072010000}"/>
    <cellStyle name="20% - Accent2 67" xfId="377" xr:uid="{00000000-0005-0000-0000-000073010000}"/>
    <cellStyle name="20% - Accent2 67 2" xfId="378" xr:uid="{00000000-0005-0000-0000-000074010000}"/>
    <cellStyle name="20% - Accent2 68" xfId="379" xr:uid="{00000000-0005-0000-0000-000075010000}"/>
    <cellStyle name="20% - Accent2 68 2" xfId="380" xr:uid="{00000000-0005-0000-0000-000076010000}"/>
    <cellStyle name="20% - Accent2 69" xfId="381" xr:uid="{00000000-0005-0000-0000-000077010000}"/>
    <cellStyle name="20% - Accent2 69 2" xfId="382" xr:uid="{00000000-0005-0000-0000-000078010000}"/>
    <cellStyle name="20% - Accent2 7" xfId="383" xr:uid="{00000000-0005-0000-0000-000079010000}"/>
    <cellStyle name="20% - Accent2 7 2" xfId="384" xr:uid="{00000000-0005-0000-0000-00007A010000}"/>
    <cellStyle name="20% - Accent2 70" xfId="385" xr:uid="{00000000-0005-0000-0000-00007B010000}"/>
    <cellStyle name="20% - Accent2 70 2" xfId="386" xr:uid="{00000000-0005-0000-0000-00007C010000}"/>
    <cellStyle name="20% - Accent2 8" xfId="387" xr:uid="{00000000-0005-0000-0000-00007D010000}"/>
    <cellStyle name="20% - Accent2 8 2" xfId="388" xr:uid="{00000000-0005-0000-0000-00007E010000}"/>
    <cellStyle name="20% - Accent2 9" xfId="389" xr:uid="{00000000-0005-0000-0000-00007F010000}"/>
    <cellStyle name="20% - Accent2 9 2" xfId="390" xr:uid="{00000000-0005-0000-0000-000080010000}"/>
    <cellStyle name="20% - Accent3" xfId="21049" xr:uid="{00000000-0005-0000-0000-000081010000}"/>
    <cellStyle name="20% - Accent3 10" xfId="391" xr:uid="{00000000-0005-0000-0000-000082010000}"/>
    <cellStyle name="20% - Accent3 10 2" xfId="392" xr:uid="{00000000-0005-0000-0000-000083010000}"/>
    <cellStyle name="20% - Accent3 11" xfId="393" xr:uid="{00000000-0005-0000-0000-000084010000}"/>
    <cellStyle name="20% - Accent3 11 2" xfId="394" xr:uid="{00000000-0005-0000-0000-000085010000}"/>
    <cellStyle name="20% - Accent3 12" xfId="395" xr:uid="{00000000-0005-0000-0000-000086010000}"/>
    <cellStyle name="20% - Accent3 12 2" xfId="396" xr:uid="{00000000-0005-0000-0000-000087010000}"/>
    <cellStyle name="20% - Accent3 13" xfId="397" xr:uid="{00000000-0005-0000-0000-000088010000}"/>
    <cellStyle name="20% - Accent3 13 2" xfId="398" xr:uid="{00000000-0005-0000-0000-000089010000}"/>
    <cellStyle name="20% - Accent3 14" xfId="399" xr:uid="{00000000-0005-0000-0000-00008A010000}"/>
    <cellStyle name="20% - Accent3 14 2" xfId="400" xr:uid="{00000000-0005-0000-0000-00008B010000}"/>
    <cellStyle name="20% - Accent3 15" xfId="401" xr:uid="{00000000-0005-0000-0000-00008C010000}"/>
    <cellStyle name="20% - Accent3 15 2" xfId="402" xr:uid="{00000000-0005-0000-0000-00008D010000}"/>
    <cellStyle name="20% - Accent3 16" xfId="403" xr:uid="{00000000-0005-0000-0000-00008E010000}"/>
    <cellStyle name="20% - Accent3 16 2" xfId="404" xr:uid="{00000000-0005-0000-0000-00008F010000}"/>
    <cellStyle name="20% - Accent3 17" xfId="405" xr:uid="{00000000-0005-0000-0000-000090010000}"/>
    <cellStyle name="20% - Accent3 17 2" xfId="406" xr:uid="{00000000-0005-0000-0000-000091010000}"/>
    <cellStyle name="20% - Accent3 18" xfId="407" xr:uid="{00000000-0005-0000-0000-000092010000}"/>
    <cellStyle name="20% - Accent3 18 2" xfId="408" xr:uid="{00000000-0005-0000-0000-000093010000}"/>
    <cellStyle name="20% - Accent3 19" xfId="409" xr:uid="{00000000-0005-0000-0000-000094010000}"/>
    <cellStyle name="20% - Accent3 19 2" xfId="410" xr:uid="{00000000-0005-0000-0000-000095010000}"/>
    <cellStyle name="20% - Accent3 2" xfId="411" xr:uid="{00000000-0005-0000-0000-000096010000}"/>
    <cellStyle name="20% - Accent3 2 2" xfId="412" xr:uid="{00000000-0005-0000-0000-000097010000}"/>
    <cellStyle name="20% - Accent3 2 2 2" xfId="413" xr:uid="{00000000-0005-0000-0000-000098010000}"/>
    <cellStyle name="20% - Accent3 2 2 2 2" xfId="414" xr:uid="{00000000-0005-0000-0000-000099010000}"/>
    <cellStyle name="20% - Accent3 2 2 3" xfId="415" xr:uid="{00000000-0005-0000-0000-00009A010000}"/>
    <cellStyle name="20% - Accent3 2 3" xfId="416" xr:uid="{00000000-0005-0000-0000-00009B010000}"/>
    <cellStyle name="20% - Accent3 2 3 2" xfId="417" xr:uid="{00000000-0005-0000-0000-00009C010000}"/>
    <cellStyle name="20% - Accent3 2 4" xfId="418" xr:uid="{00000000-0005-0000-0000-00009D010000}"/>
    <cellStyle name="20% - Accent3 2_AE_FC_QuoteMaster" xfId="419" xr:uid="{00000000-0005-0000-0000-00009E010000}"/>
    <cellStyle name="20% - Accent3 20" xfId="420" xr:uid="{00000000-0005-0000-0000-00009F010000}"/>
    <cellStyle name="20% - Accent3 20 2" xfId="421" xr:uid="{00000000-0005-0000-0000-0000A0010000}"/>
    <cellStyle name="20% - Accent3 21" xfId="422" xr:uid="{00000000-0005-0000-0000-0000A1010000}"/>
    <cellStyle name="20% - Accent3 21 2" xfId="423" xr:uid="{00000000-0005-0000-0000-0000A2010000}"/>
    <cellStyle name="20% - Accent3 22" xfId="424" xr:uid="{00000000-0005-0000-0000-0000A3010000}"/>
    <cellStyle name="20% - Accent3 22 2" xfId="425" xr:uid="{00000000-0005-0000-0000-0000A4010000}"/>
    <cellStyle name="20% - Accent3 23" xfId="426" xr:uid="{00000000-0005-0000-0000-0000A5010000}"/>
    <cellStyle name="20% - Accent3 23 2" xfId="427" xr:uid="{00000000-0005-0000-0000-0000A6010000}"/>
    <cellStyle name="20% - Accent3 24" xfId="428" xr:uid="{00000000-0005-0000-0000-0000A7010000}"/>
    <cellStyle name="20% - Accent3 24 2" xfId="429" xr:uid="{00000000-0005-0000-0000-0000A8010000}"/>
    <cellStyle name="20% - Accent3 25" xfId="430" xr:uid="{00000000-0005-0000-0000-0000A9010000}"/>
    <cellStyle name="20% - Accent3 25 2" xfId="431" xr:uid="{00000000-0005-0000-0000-0000AA010000}"/>
    <cellStyle name="20% - Accent3 26" xfId="432" xr:uid="{00000000-0005-0000-0000-0000AB010000}"/>
    <cellStyle name="20% - Accent3 26 2" xfId="433" xr:uid="{00000000-0005-0000-0000-0000AC010000}"/>
    <cellStyle name="20% - Accent3 27" xfId="434" xr:uid="{00000000-0005-0000-0000-0000AD010000}"/>
    <cellStyle name="20% - Accent3 27 2" xfId="435" xr:uid="{00000000-0005-0000-0000-0000AE010000}"/>
    <cellStyle name="20% - Accent3 28" xfId="436" xr:uid="{00000000-0005-0000-0000-0000AF010000}"/>
    <cellStyle name="20% - Accent3 28 2" xfId="437" xr:uid="{00000000-0005-0000-0000-0000B0010000}"/>
    <cellStyle name="20% - Accent3 29" xfId="438" xr:uid="{00000000-0005-0000-0000-0000B1010000}"/>
    <cellStyle name="20% - Accent3 29 2" xfId="439" xr:uid="{00000000-0005-0000-0000-0000B2010000}"/>
    <cellStyle name="20% - Accent3 3" xfId="440" xr:uid="{00000000-0005-0000-0000-0000B3010000}"/>
    <cellStyle name="20% - Accent3 3 2" xfId="441" xr:uid="{00000000-0005-0000-0000-0000B4010000}"/>
    <cellStyle name="20% - Accent3 3 2 2" xfId="442" xr:uid="{00000000-0005-0000-0000-0000B5010000}"/>
    <cellStyle name="20% - Accent3 3 2 2 2" xfId="443" xr:uid="{00000000-0005-0000-0000-0000B6010000}"/>
    <cellStyle name="20% - Accent3 3 2 3" xfId="444" xr:uid="{00000000-0005-0000-0000-0000B7010000}"/>
    <cellStyle name="20% - Accent3 3 3" xfId="445" xr:uid="{00000000-0005-0000-0000-0000B8010000}"/>
    <cellStyle name="20% - Accent3 3 3 2" xfId="446" xr:uid="{00000000-0005-0000-0000-0000B9010000}"/>
    <cellStyle name="20% - Accent3 3 4" xfId="447" xr:uid="{00000000-0005-0000-0000-0000BA010000}"/>
    <cellStyle name="20% - Accent3 3_AE_FC_QuoteMaster" xfId="448" xr:uid="{00000000-0005-0000-0000-0000BB010000}"/>
    <cellStyle name="20% - Accent3 30" xfId="449" xr:uid="{00000000-0005-0000-0000-0000BC010000}"/>
    <cellStyle name="20% - Accent3 30 2" xfId="450" xr:uid="{00000000-0005-0000-0000-0000BD010000}"/>
    <cellStyle name="20% - Accent3 31" xfId="451" xr:uid="{00000000-0005-0000-0000-0000BE010000}"/>
    <cellStyle name="20% - Accent3 31 2" xfId="452" xr:uid="{00000000-0005-0000-0000-0000BF010000}"/>
    <cellStyle name="20% - Accent3 32" xfId="453" xr:uid="{00000000-0005-0000-0000-0000C0010000}"/>
    <cellStyle name="20% - Accent3 32 2" xfId="454" xr:uid="{00000000-0005-0000-0000-0000C1010000}"/>
    <cellStyle name="20% - Accent3 33" xfId="455" xr:uid="{00000000-0005-0000-0000-0000C2010000}"/>
    <cellStyle name="20% - Accent3 33 2" xfId="456" xr:uid="{00000000-0005-0000-0000-0000C3010000}"/>
    <cellStyle name="20% - Accent3 34" xfId="457" xr:uid="{00000000-0005-0000-0000-0000C4010000}"/>
    <cellStyle name="20% - Accent3 34 2" xfId="458" xr:uid="{00000000-0005-0000-0000-0000C5010000}"/>
    <cellStyle name="20% - Accent3 35" xfId="459" xr:uid="{00000000-0005-0000-0000-0000C6010000}"/>
    <cellStyle name="20% - Accent3 35 2" xfId="460" xr:uid="{00000000-0005-0000-0000-0000C7010000}"/>
    <cellStyle name="20% - Accent3 36" xfId="461" xr:uid="{00000000-0005-0000-0000-0000C8010000}"/>
    <cellStyle name="20% - Accent3 36 2" xfId="462" xr:uid="{00000000-0005-0000-0000-0000C9010000}"/>
    <cellStyle name="20% - Accent3 37" xfId="463" xr:uid="{00000000-0005-0000-0000-0000CA010000}"/>
    <cellStyle name="20% - Accent3 37 2" xfId="464" xr:uid="{00000000-0005-0000-0000-0000CB010000}"/>
    <cellStyle name="20% - Accent3 38" xfId="465" xr:uid="{00000000-0005-0000-0000-0000CC010000}"/>
    <cellStyle name="20% - Accent3 38 2" xfId="466" xr:uid="{00000000-0005-0000-0000-0000CD010000}"/>
    <cellStyle name="20% - Accent3 39" xfId="467" xr:uid="{00000000-0005-0000-0000-0000CE010000}"/>
    <cellStyle name="20% - Accent3 39 2" xfId="468" xr:uid="{00000000-0005-0000-0000-0000CF010000}"/>
    <cellStyle name="20% - Accent3 4" xfId="469" xr:uid="{00000000-0005-0000-0000-0000D0010000}"/>
    <cellStyle name="20% - Accent3 4 2" xfId="470" xr:uid="{00000000-0005-0000-0000-0000D1010000}"/>
    <cellStyle name="20% - Accent3 4 2 2" xfId="471" xr:uid="{00000000-0005-0000-0000-0000D2010000}"/>
    <cellStyle name="20% - Accent3 4 3" xfId="472" xr:uid="{00000000-0005-0000-0000-0000D3010000}"/>
    <cellStyle name="20% - Accent3 40" xfId="473" xr:uid="{00000000-0005-0000-0000-0000D4010000}"/>
    <cellStyle name="20% - Accent3 40 2" xfId="474" xr:uid="{00000000-0005-0000-0000-0000D5010000}"/>
    <cellStyle name="20% - Accent3 41" xfId="475" xr:uid="{00000000-0005-0000-0000-0000D6010000}"/>
    <cellStyle name="20% - Accent3 41 2" xfId="476" xr:uid="{00000000-0005-0000-0000-0000D7010000}"/>
    <cellStyle name="20% - Accent3 42" xfId="477" xr:uid="{00000000-0005-0000-0000-0000D8010000}"/>
    <cellStyle name="20% - Accent3 42 2" xfId="478" xr:uid="{00000000-0005-0000-0000-0000D9010000}"/>
    <cellStyle name="20% - Accent3 43" xfId="479" xr:uid="{00000000-0005-0000-0000-0000DA010000}"/>
    <cellStyle name="20% - Accent3 43 2" xfId="480" xr:uid="{00000000-0005-0000-0000-0000DB010000}"/>
    <cellStyle name="20% - Accent3 44" xfId="481" xr:uid="{00000000-0005-0000-0000-0000DC010000}"/>
    <cellStyle name="20% - Accent3 44 2" xfId="482" xr:uid="{00000000-0005-0000-0000-0000DD010000}"/>
    <cellStyle name="20% - Accent3 45" xfId="483" xr:uid="{00000000-0005-0000-0000-0000DE010000}"/>
    <cellStyle name="20% - Accent3 45 2" xfId="484" xr:uid="{00000000-0005-0000-0000-0000DF010000}"/>
    <cellStyle name="20% - Accent3 46" xfId="485" xr:uid="{00000000-0005-0000-0000-0000E0010000}"/>
    <cellStyle name="20% - Accent3 46 2" xfId="486" xr:uid="{00000000-0005-0000-0000-0000E1010000}"/>
    <cellStyle name="20% - Accent3 47" xfId="487" xr:uid="{00000000-0005-0000-0000-0000E2010000}"/>
    <cellStyle name="20% - Accent3 47 2" xfId="488" xr:uid="{00000000-0005-0000-0000-0000E3010000}"/>
    <cellStyle name="20% - Accent3 48" xfId="489" xr:uid="{00000000-0005-0000-0000-0000E4010000}"/>
    <cellStyle name="20% - Accent3 48 2" xfId="490" xr:uid="{00000000-0005-0000-0000-0000E5010000}"/>
    <cellStyle name="20% - Accent3 49" xfId="491" xr:uid="{00000000-0005-0000-0000-0000E6010000}"/>
    <cellStyle name="20% - Accent3 49 2" xfId="492" xr:uid="{00000000-0005-0000-0000-0000E7010000}"/>
    <cellStyle name="20% - Accent3 5" xfId="493" xr:uid="{00000000-0005-0000-0000-0000E8010000}"/>
    <cellStyle name="20% - Accent3 5 2" xfId="494" xr:uid="{00000000-0005-0000-0000-0000E9010000}"/>
    <cellStyle name="20% - Accent3 50" xfId="495" xr:uid="{00000000-0005-0000-0000-0000EA010000}"/>
    <cellStyle name="20% - Accent3 50 2" xfId="496" xr:uid="{00000000-0005-0000-0000-0000EB010000}"/>
    <cellStyle name="20% - Accent3 51" xfId="497" xr:uid="{00000000-0005-0000-0000-0000EC010000}"/>
    <cellStyle name="20% - Accent3 51 2" xfId="498" xr:uid="{00000000-0005-0000-0000-0000ED010000}"/>
    <cellStyle name="20% - Accent3 52" xfId="499" xr:uid="{00000000-0005-0000-0000-0000EE010000}"/>
    <cellStyle name="20% - Accent3 52 2" xfId="500" xr:uid="{00000000-0005-0000-0000-0000EF010000}"/>
    <cellStyle name="20% - Accent3 53" xfId="501" xr:uid="{00000000-0005-0000-0000-0000F0010000}"/>
    <cellStyle name="20% - Accent3 53 2" xfId="502" xr:uid="{00000000-0005-0000-0000-0000F1010000}"/>
    <cellStyle name="20% - Accent3 54" xfId="503" xr:uid="{00000000-0005-0000-0000-0000F2010000}"/>
    <cellStyle name="20% - Accent3 54 2" xfId="504" xr:uid="{00000000-0005-0000-0000-0000F3010000}"/>
    <cellStyle name="20% - Accent3 55" xfId="505" xr:uid="{00000000-0005-0000-0000-0000F4010000}"/>
    <cellStyle name="20% - Accent3 55 2" xfId="506" xr:uid="{00000000-0005-0000-0000-0000F5010000}"/>
    <cellStyle name="20% - Accent3 56" xfId="507" xr:uid="{00000000-0005-0000-0000-0000F6010000}"/>
    <cellStyle name="20% - Accent3 56 2" xfId="508" xr:uid="{00000000-0005-0000-0000-0000F7010000}"/>
    <cellStyle name="20% - Accent3 57" xfId="509" xr:uid="{00000000-0005-0000-0000-0000F8010000}"/>
    <cellStyle name="20% - Accent3 57 2" xfId="510" xr:uid="{00000000-0005-0000-0000-0000F9010000}"/>
    <cellStyle name="20% - Accent3 58" xfId="511" xr:uid="{00000000-0005-0000-0000-0000FA010000}"/>
    <cellStyle name="20% - Accent3 58 2" xfId="512" xr:uid="{00000000-0005-0000-0000-0000FB010000}"/>
    <cellStyle name="20% - Accent3 59" xfId="513" xr:uid="{00000000-0005-0000-0000-0000FC010000}"/>
    <cellStyle name="20% - Accent3 59 2" xfId="514" xr:uid="{00000000-0005-0000-0000-0000FD010000}"/>
    <cellStyle name="20% - Accent3 6" xfId="515" xr:uid="{00000000-0005-0000-0000-0000FE010000}"/>
    <cellStyle name="20% - Accent3 6 2" xfId="516" xr:uid="{00000000-0005-0000-0000-0000FF010000}"/>
    <cellStyle name="20% - Accent3 60" xfId="517" xr:uid="{00000000-0005-0000-0000-000000020000}"/>
    <cellStyle name="20% - Accent3 60 2" xfId="518" xr:uid="{00000000-0005-0000-0000-000001020000}"/>
    <cellStyle name="20% - Accent3 61" xfId="519" xr:uid="{00000000-0005-0000-0000-000002020000}"/>
    <cellStyle name="20% - Accent3 61 2" xfId="520" xr:uid="{00000000-0005-0000-0000-000003020000}"/>
    <cellStyle name="20% - Accent3 62" xfId="521" xr:uid="{00000000-0005-0000-0000-000004020000}"/>
    <cellStyle name="20% - Accent3 62 2" xfId="522" xr:uid="{00000000-0005-0000-0000-000005020000}"/>
    <cellStyle name="20% - Accent3 63" xfId="523" xr:uid="{00000000-0005-0000-0000-000006020000}"/>
    <cellStyle name="20% - Accent3 63 2" xfId="524" xr:uid="{00000000-0005-0000-0000-000007020000}"/>
    <cellStyle name="20% - Accent3 64" xfId="525" xr:uid="{00000000-0005-0000-0000-000008020000}"/>
    <cellStyle name="20% - Accent3 64 2" xfId="526" xr:uid="{00000000-0005-0000-0000-000009020000}"/>
    <cellStyle name="20% - Accent3 65" xfId="527" xr:uid="{00000000-0005-0000-0000-00000A020000}"/>
    <cellStyle name="20% - Accent3 65 2" xfId="528" xr:uid="{00000000-0005-0000-0000-00000B020000}"/>
    <cellStyle name="20% - Accent3 66" xfId="529" xr:uid="{00000000-0005-0000-0000-00000C020000}"/>
    <cellStyle name="20% - Accent3 66 2" xfId="530" xr:uid="{00000000-0005-0000-0000-00000D020000}"/>
    <cellStyle name="20% - Accent3 67" xfId="531" xr:uid="{00000000-0005-0000-0000-00000E020000}"/>
    <cellStyle name="20% - Accent3 67 2" xfId="532" xr:uid="{00000000-0005-0000-0000-00000F020000}"/>
    <cellStyle name="20% - Accent3 68" xfId="533" xr:uid="{00000000-0005-0000-0000-000010020000}"/>
    <cellStyle name="20% - Accent3 68 2" xfId="534" xr:uid="{00000000-0005-0000-0000-000011020000}"/>
    <cellStyle name="20% - Accent3 69" xfId="535" xr:uid="{00000000-0005-0000-0000-000012020000}"/>
    <cellStyle name="20% - Accent3 69 2" xfId="536" xr:uid="{00000000-0005-0000-0000-000013020000}"/>
    <cellStyle name="20% - Accent3 7" xfId="537" xr:uid="{00000000-0005-0000-0000-000014020000}"/>
    <cellStyle name="20% - Accent3 7 2" xfId="538" xr:uid="{00000000-0005-0000-0000-000015020000}"/>
    <cellStyle name="20% - Accent3 70" xfId="539" xr:uid="{00000000-0005-0000-0000-000016020000}"/>
    <cellStyle name="20% - Accent3 70 2" xfId="540" xr:uid="{00000000-0005-0000-0000-000017020000}"/>
    <cellStyle name="20% - Accent3 8" xfId="541" xr:uid="{00000000-0005-0000-0000-000018020000}"/>
    <cellStyle name="20% - Accent3 8 2" xfId="542" xr:uid="{00000000-0005-0000-0000-000019020000}"/>
    <cellStyle name="20% - Accent3 9" xfId="543" xr:uid="{00000000-0005-0000-0000-00001A020000}"/>
    <cellStyle name="20% - Accent3 9 2" xfId="544" xr:uid="{00000000-0005-0000-0000-00001B020000}"/>
    <cellStyle name="20% - Accent4" xfId="21050" xr:uid="{00000000-0005-0000-0000-00001C020000}"/>
    <cellStyle name="20% - Accent4 10" xfId="545" xr:uid="{00000000-0005-0000-0000-00001D020000}"/>
    <cellStyle name="20% - Accent4 10 2" xfId="546" xr:uid="{00000000-0005-0000-0000-00001E020000}"/>
    <cellStyle name="20% - Accent4 11" xfId="547" xr:uid="{00000000-0005-0000-0000-00001F020000}"/>
    <cellStyle name="20% - Accent4 11 2" xfId="548" xr:uid="{00000000-0005-0000-0000-000020020000}"/>
    <cellStyle name="20% - Accent4 12" xfId="549" xr:uid="{00000000-0005-0000-0000-000021020000}"/>
    <cellStyle name="20% - Accent4 12 2" xfId="550" xr:uid="{00000000-0005-0000-0000-000022020000}"/>
    <cellStyle name="20% - Accent4 13" xfId="551" xr:uid="{00000000-0005-0000-0000-000023020000}"/>
    <cellStyle name="20% - Accent4 13 2" xfId="552" xr:uid="{00000000-0005-0000-0000-000024020000}"/>
    <cellStyle name="20% - Accent4 14" xfId="553" xr:uid="{00000000-0005-0000-0000-000025020000}"/>
    <cellStyle name="20% - Accent4 14 2" xfId="554" xr:uid="{00000000-0005-0000-0000-000026020000}"/>
    <cellStyle name="20% - Accent4 15" xfId="555" xr:uid="{00000000-0005-0000-0000-000027020000}"/>
    <cellStyle name="20% - Accent4 15 2" xfId="556" xr:uid="{00000000-0005-0000-0000-000028020000}"/>
    <cellStyle name="20% - Accent4 16" xfId="557" xr:uid="{00000000-0005-0000-0000-000029020000}"/>
    <cellStyle name="20% - Accent4 16 2" xfId="558" xr:uid="{00000000-0005-0000-0000-00002A020000}"/>
    <cellStyle name="20% - Accent4 17" xfId="559" xr:uid="{00000000-0005-0000-0000-00002B020000}"/>
    <cellStyle name="20% - Accent4 17 2" xfId="560" xr:uid="{00000000-0005-0000-0000-00002C020000}"/>
    <cellStyle name="20% - Accent4 18" xfId="561" xr:uid="{00000000-0005-0000-0000-00002D020000}"/>
    <cellStyle name="20% - Accent4 18 2" xfId="562" xr:uid="{00000000-0005-0000-0000-00002E020000}"/>
    <cellStyle name="20% - Accent4 19" xfId="563" xr:uid="{00000000-0005-0000-0000-00002F020000}"/>
    <cellStyle name="20% - Accent4 19 2" xfId="564" xr:uid="{00000000-0005-0000-0000-000030020000}"/>
    <cellStyle name="20% - Accent4 2" xfId="565" xr:uid="{00000000-0005-0000-0000-000031020000}"/>
    <cellStyle name="20% - Accent4 2 2" xfId="566" xr:uid="{00000000-0005-0000-0000-000032020000}"/>
    <cellStyle name="20% - Accent4 2 2 2" xfId="567" xr:uid="{00000000-0005-0000-0000-000033020000}"/>
    <cellStyle name="20% - Accent4 2 2 2 2" xfId="568" xr:uid="{00000000-0005-0000-0000-000034020000}"/>
    <cellStyle name="20% - Accent4 2 2 3" xfId="569" xr:uid="{00000000-0005-0000-0000-000035020000}"/>
    <cellStyle name="20% - Accent4 2 3" xfId="570" xr:uid="{00000000-0005-0000-0000-000036020000}"/>
    <cellStyle name="20% - Accent4 2 3 2" xfId="571" xr:uid="{00000000-0005-0000-0000-000037020000}"/>
    <cellStyle name="20% - Accent4 2 4" xfId="572" xr:uid="{00000000-0005-0000-0000-000038020000}"/>
    <cellStyle name="20% - Accent4 2_AE_FC_QuoteMaster" xfId="573" xr:uid="{00000000-0005-0000-0000-000039020000}"/>
    <cellStyle name="20% - Accent4 20" xfId="574" xr:uid="{00000000-0005-0000-0000-00003A020000}"/>
    <cellStyle name="20% - Accent4 20 2" xfId="575" xr:uid="{00000000-0005-0000-0000-00003B020000}"/>
    <cellStyle name="20% - Accent4 21" xfId="576" xr:uid="{00000000-0005-0000-0000-00003C020000}"/>
    <cellStyle name="20% - Accent4 21 2" xfId="577" xr:uid="{00000000-0005-0000-0000-00003D020000}"/>
    <cellStyle name="20% - Accent4 22" xfId="578" xr:uid="{00000000-0005-0000-0000-00003E020000}"/>
    <cellStyle name="20% - Accent4 22 2" xfId="579" xr:uid="{00000000-0005-0000-0000-00003F020000}"/>
    <cellStyle name="20% - Accent4 23" xfId="580" xr:uid="{00000000-0005-0000-0000-000040020000}"/>
    <cellStyle name="20% - Accent4 23 2" xfId="581" xr:uid="{00000000-0005-0000-0000-000041020000}"/>
    <cellStyle name="20% - Accent4 24" xfId="582" xr:uid="{00000000-0005-0000-0000-000042020000}"/>
    <cellStyle name="20% - Accent4 24 2" xfId="583" xr:uid="{00000000-0005-0000-0000-000043020000}"/>
    <cellStyle name="20% - Accent4 25" xfId="584" xr:uid="{00000000-0005-0000-0000-000044020000}"/>
    <cellStyle name="20% - Accent4 25 2" xfId="585" xr:uid="{00000000-0005-0000-0000-000045020000}"/>
    <cellStyle name="20% - Accent4 26" xfId="586" xr:uid="{00000000-0005-0000-0000-000046020000}"/>
    <cellStyle name="20% - Accent4 26 2" xfId="587" xr:uid="{00000000-0005-0000-0000-000047020000}"/>
    <cellStyle name="20% - Accent4 27" xfId="588" xr:uid="{00000000-0005-0000-0000-000048020000}"/>
    <cellStyle name="20% - Accent4 27 2" xfId="589" xr:uid="{00000000-0005-0000-0000-000049020000}"/>
    <cellStyle name="20% - Accent4 28" xfId="590" xr:uid="{00000000-0005-0000-0000-00004A020000}"/>
    <cellStyle name="20% - Accent4 28 2" xfId="591" xr:uid="{00000000-0005-0000-0000-00004B020000}"/>
    <cellStyle name="20% - Accent4 29" xfId="592" xr:uid="{00000000-0005-0000-0000-00004C020000}"/>
    <cellStyle name="20% - Accent4 29 2" xfId="593" xr:uid="{00000000-0005-0000-0000-00004D020000}"/>
    <cellStyle name="20% - Accent4 3" xfId="594" xr:uid="{00000000-0005-0000-0000-00004E020000}"/>
    <cellStyle name="20% - Accent4 3 2" xfId="595" xr:uid="{00000000-0005-0000-0000-00004F020000}"/>
    <cellStyle name="20% - Accent4 3 2 2" xfId="596" xr:uid="{00000000-0005-0000-0000-000050020000}"/>
    <cellStyle name="20% - Accent4 3 2 2 2" xfId="597" xr:uid="{00000000-0005-0000-0000-000051020000}"/>
    <cellStyle name="20% - Accent4 3 2 3" xfId="598" xr:uid="{00000000-0005-0000-0000-000052020000}"/>
    <cellStyle name="20% - Accent4 3 3" xfId="599" xr:uid="{00000000-0005-0000-0000-000053020000}"/>
    <cellStyle name="20% - Accent4 3 3 2" xfId="600" xr:uid="{00000000-0005-0000-0000-000054020000}"/>
    <cellStyle name="20% - Accent4 3 4" xfId="601" xr:uid="{00000000-0005-0000-0000-000055020000}"/>
    <cellStyle name="20% - Accent4 3_AE_FC_QuoteMaster" xfId="602" xr:uid="{00000000-0005-0000-0000-000056020000}"/>
    <cellStyle name="20% - Accent4 30" xfId="603" xr:uid="{00000000-0005-0000-0000-000057020000}"/>
    <cellStyle name="20% - Accent4 30 2" xfId="604" xr:uid="{00000000-0005-0000-0000-000058020000}"/>
    <cellStyle name="20% - Accent4 31" xfId="605" xr:uid="{00000000-0005-0000-0000-000059020000}"/>
    <cellStyle name="20% - Accent4 31 2" xfId="606" xr:uid="{00000000-0005-0000-0000-00005A020000}"/>
    <cellStyle name="20% - Accent4 32" xfId="607" xr:uid="{00000000-0005-0000-0000-00005B020000}"/>
    <cellStyle name="20% - Accent4 32 2" xfId="608" xr:uid="{00000000-0005-0000-0000-00005C020000}"/>
    <cellStyle name="20% - Accent4 33" xfId="609" xr:uid="{00000000-0005-0000-0000-00005D020000}"/>
    <cellStyle name="20% - Accent4 33 2" xfId="610" xr:uid="{00000000-0005-0000-0000-00005E020000}"/>
    <cellStyle name="20% - Accent4 34" xfId="611" xr:uid="{00000000-0005-0000-0000-00005F020000}"/>
    <cellStyle name="20% - Accent4 34 2" xfId="612" xr:uid="{00000000-0005-0000-0000-000060020000}"/>
    <cellStyle name="20% - Accent4 35" xfId="613" xr:uid="{00000000-0005-0000-0000-000061020000}"/>
    <cellStyle name="20% - Accent4 35 2" xfId="614" xr:uid="{00000000-0005-0000-0000-000062020000}"/>
    <cellStyle name="20% - Accent4 36" xfId="615" xr:uid="{00000000-0005-0000-0000-000063020000}"/>
    <cellStyle name="20% - Accent4 36 2" xfId="616" xr:uid="{00000000-0005-0000-0000-000064020000}"/>
    <cellStyle name="20% - Accent4 37" xfId="617" xr:uid="{00000000-0005-0000-0000-000065020000}"/>
    <cellStyle name="20% - Accent4 37 2" xfId="618" xr:uid="{00000000-0005-0000-0000-000066020000}"/>
    <cellStyle name="20% - Accent4 38" xfId="619" xr:uid="{00000000-0005-0000-0000-000067020000}"/>
    <cellStyle name="20% - Accent4 38 2" xfId="620" xr:uid="{00000000-0005-0000-0000-000068020000}"/>
    <cellStyle name="20% - Accent4 39" xfId="621" xr:uid="{00000000-0005-0000-0000-000069020000}"/>
    <cellStyle name="20% - Accent4 39 2" xfId="622" xr:uid="{00000000-0005-0000-0000-00006A020000}"/>
    <cellStyle name="20% - Accent4 4" xfId="623" xr:uid="{00000000-0005-0000-0000-00006B020000}"/>
    <cellStyle name="20% - Accent4 4 2" xfId="624" xr:uid="{00000000-0005-0000-0000-00006C020000}"/>
    <cellStyle name="20% - Accent4 4 2 2" xfId="625" xr:uid="{00000000-0005-0000-0000-00006D020000}"/>
    <cellStyle name="20% - Accent4 4 3" xfId="626" xr:uid="{00000000-0005-0000-0000-00006E020000}"/>
    <cellStyle name="20% - Accent4 40" xfId="627" xr:uid="{00000000-0005-0000-0000-00006F020000}"/>
    <cellStyle name="20% - Accent4 40 2" xfId="628" xr:uid="{00000000-0005-0000-0000-000070020000}"/>
    <cellStyle name="20% - Accent4 41" xfId="629" xr:uid="{00000000-0005-0000-0000-000071020000}"/>
    <cellStyle name="20% - Accent4 41 2" xfId="630" xr:uid="{00000000-0005-0000-0000-000072020000}"/>
    <cellStyle name="20% - Accent4 42" xfId="631" xr:uid="{00000000-0005-0000-0000-000073020000}"/>
    <cellStyle name="20% - Accent4 42 2" xfId="632" xr:uid="{00000000-0005-0000-0000-000074020000}"/>
    <cellStyle name="20% - Accent4 43" xfId="633" xr:uid="{00000000-0005-0000-0000-000075020000}"/>
    <cellStyle name="20% - Accent4 43 2" xfId="634" xr:uid="{00000000-0005-0000-0000-000076020000}"/>
    <cellStyle name="20% - Accent4 44" xfId="635" xr:uid="{00000000-0005-0000-0000-000077020000}"/>
    <cellStyle name="20% - Accent4 44 2" xfId="636" xr:uid="{00000000-0005-0000-0000-000078020000}"/>
    <cellStyle name="20% - Accent4 45" xfId="637" xr:uid="{00000000-0005-0000-0000-000079020000}"/>
    <cellStyle name="20% - Accent4 45 2" xfId="638" xr:uid="{00000000-0005-0000-0000-00007A020000}"/>
    <cellStyle name="20% - Accent4 46" xfId="639" xr:uid="{00000000-0005-0000-0000-00007B020000}"/>
    <cellStyle name="20% - Accent4 46 2" xfId="640" xr:uid="{00000000-0005-0000-0000-00007C020000}"/>
    <cellStyle name="20% - Accent4 47" xfId="641" xr:uid="{00000000-0005-0000-0000-00007D020000}"/>
    <cellStyle name="20% - Accent4 47 2" xfId="642" xr:uid="{00000000-0005-0000-0000-00007E020000}"/>
    <cellStyle name="20% - Accent4 48" xfId="643" xr:uid="{00000000-0005-0000-0000-00007F020000}"/>
    <cellStyle name="20% - Accent4 48 2" xfId="644" xr:uid="{00000000-0005-0000-0000-000080020000}"/>
    <cellStyle name="20% - Accent4 49" xfId="645" xr:uid="{00000000-0005-0000-0000-000081020000}"/>
    <cellStyle name="20% - Accent4 49 2" xfId="646" xr:uid="{00000000-0005-0000-0000-000082020000}"/>
    <cellStyle name="20% - Accent4 5" xfId="647" xr:uid="{00000000-0005-0000-0000-000083020000}"/>
    <cellStyle name="20% - Accent4 5 2" xfId="648" xr:uid="{00000000-0005-0000-0000-000084020000}"/>
    <cellStyle name="20% - Accent4 50" xfId="649" xr:uid="{00000000-0005-0000-0000-000085020000}"/>
    <cellStyle name="20% - Accent4 50 2" xfId="650" xr:uid="{00000000-0005-0000-0000-000086020000}"/>
    <cellStyle name="20% - Accent4 51" xfId="651" xr:uid="{00000000-0005-0000-0000-000087020000}"/>
    <cellStyle name="20% - Accent4 51 2" xfId="652" xr:uid="{00000000-0005-0000-0000-000088020000}"/>
    <cellStyle name="20% - Accent4 52" xfId="653" xr:uid="{00000000-0005-0000-0000-000089020000}"/>
    <cellStyle name="20% - Accent4 52 2" xfId="654" xr:uid="{00000000-0005-0000-0000-00008A020000}"/>
    <cellStyle name="20% - Accent4 53" xfId="655" xr:uid="{00000000-0005-0000-0000-00008B020000}"/>
    <cellStyle name="20% - Accent4 53 2" xfId="656" xr:uid="{00000000-0005-0000-0000-00008C020000}"/>
    <cellStyle name="20% - Accent4 54" xfId="657" xr:uid="{00000000-0005-0000-0000-00008D020000}"/>
    <cellStyle name="20% - Accent4 54 2" xfId="658" xr:uid="{00000000-0005-0000-0000-00008E020000}"/>
    <cellStyle name="20% - Accent4 55" xfId="659" xr:uid="{00000000-0005-0000-0000-00008F020000}"/>
    <cellStyle name="20% - Accent4 55 2" xfId="660" xr:uid="{00000000-0005-0000-0000-000090020000}"/>
    <cellStyle name="20% - Accent4 56" xfId="661" xr:uid="{00000000-0005-0000-0000-000091020000}"/>
    <cellStyle name="20% - Accent4 56 2" xfId="662" xr:uid="{00000000-0005-0000-0000-000092020000}"/>
    <cellStyle name="20% - Accent4 57" xfId="663" xr:uid="{00000000-0005-0000-0000-000093020000}"/>
    <cellStyle name="20% - Accent4 57 2" xfId="664" xr:uid="{00000000-0005-0000-0000-000094020000}"/>
    <cellStyle name="20% - Accent4 58" xfId="665" xr:uid="{00000000-0005-0000-0000-000095020000}"/>
    <cellStyle name="20% - Accent4 58 2" xfId="666" xr:uid="{00000000-0005-0000-0000-000096020000}"/>
    <cellStyle name="20% - Accent4 59" xfId="667" xr:uid="{00000000-0005-0000-0000-000097020000}"/>
    <cellStyle name="20% - Accent4 59 2" xfId="668" xr:uid="{00000000-0005-0000-0000-000098020000}"/>
    <cellStyle name="20% - Accent4 6" xfId="669" xr:uid="{00000000-0005-0000-0000-000099020000}"/>
    <cellStyle name="20% - Accent4 6 2" xfId="670" xr:uid="{00000000-0005-0000-0000-00009A020000}"/>
    <cellStyle name="20% - Accent4 60" xfId="671" xr:uid="{00000000-0005-0000-0000-00009B020000}"/>
    <cellStyle name="20% - Accent4 60 2" xfId="672" xr:uid="{00000000-0005-0000-0000-00009C020000}"/>
    <cellStyle name="20% - Accent4 61" xfId="673" xr:uid="{00000000-0005-0000-0000-00009D020000}"/>
    <cellStyle name="20% - Accent4 61 2" xfId="674" xr:uid="{00000000-0005-0000-0000-00009E020000}"/>
    <cellStyle name="20% - Accent4 62" xfId="675" xr:uid="{00000000-0005-0000-0000-00009F020000}"/>
    <cellStyle name="20% - Accent4 62 2" xfId="676" xr:uid="{00000000-0005-0000-0000-0000A0020000}"/>
    <cellStyle name="20% - Accent4 63" xfId="677" xr:uid="{00000000-0005-0000-0000-0000A1020000}"/>
    <cellStyle name="20% - Accent4 63 2" xfId="678" xr:uid="{00000000-0005-0000-0000-0000A2020000}"/>
    <cellStyle name="20% - Accent4 64" xfId="679" xr:uid="{00000000-0005-0000-0000-0000A3020000}"/>
    <cellStyle name="20% - Accent4 64 2" xfId="680" xr:uid="{00000000-0005-0000-0000-0000A4020000}"/>
    <cellStyle name="20% - Accent4 65" xfId="681" xr:uid="{00000000-0005-0000-0000-0000A5020000}"/>
    <cellStyle name="20% - Accent4 65 2" xfId="682" xr:uid="{00000000-0005-0000-0000-0000A6020000}"/>
    <cellStyle name="20% - Accent4 66" xfId="683" xr:uid="{00000000-0005-0000-0000-0000A7020000}"/>
    <cellStyle name="20% - Accent4 66 2" xfId="684" xr:uid="{00000000-0005-0000-0000-0000A8020000}"/>
    <cellStyle name="20% - Accent4 67" xfId="685" xr:uid="{00000000-0005-0000-0000-0000A9020000}"/>
    <cellStyle name="20% - Accent4 67 2" xfId="686" xr:uid="{00000000-0005-0000-0000-0000AA020000}"/>
    <cellStyle name="20% - Accent4 68" xfId="687" xr:uid="{00000000-0005-0000-0000-0000AB020000}"/>
    <cellStyle name="20% - Accent4 68 2" xfId="688" xr:uid="{00000000-0005-0000-0000-0000AC020000}"/>
    <cellStyle name="20% - Accent4 69" xfId="689" xr:uid="{00000000-0005-0000-0000-0000AD020000}"/>
    <cellStyle name="20% - Accent4 69 2" xfId="690" xr:uid="{00000000-0005-0000-0000-0000AE020000}"/>
    <cellStyle name="20% - Accent4 7" xfId="691" xr:uid="{00000000-0005-0000-0000-0000AF020000}"/>
    <cellStyle name="20% - Accent4 7 2" xfId="692" xr:uid="{00000000-0005-0000-0000-0000B0020000}"/>
    <cellStyle name="20% - Accent4 70" xfId="693" xr:uid="{00000000-0005-0000-0000-0000B1020000}"/>
    <cellStyle name="20% - Accent4 70 2" xfId="694" xr:uid="{00000000-0005-0000-0000-0000B2020000}"/>
    <cellStyle name="20% - Accent4 8" xfId="695" xr:uid="{00000000-0005-0000-0000-0000B3020000}"/>
    <cellStyle name="20% - Accent4 8 2" xfId="696" xr:uid="{00000000-0005-0000-0000-0000B4020000}"/>
    <cellStyle name="20% - Accent4 9" xfId="697" xr:uid="{00000000-0005-0000-0000-0000B5020000}"/>
    <cellStyle name="20% - Accent4 9 2" xfId="698" xr:uid="{00000000-0005-0000-0000-0000B6020000}"/>
    <cellStyle name="20% - Accent5" xfId="21051" xr:uid="{00000000-0005-0000-0000-0000B7020000}"/>
    <cellStyle name="20% - Accent5 10" xfId="699" xr:uid="{00000000-0005-0000-0000-0000B8020000}"/>
    <cellStyle name="20% - Accent5 10 2" xfId="700" xr:uid="{00000000-0005-0000-0000-0000B9020000}"/>
    <cellStyle name="20% - Accent5 11" xfId="701" xr:uid="{00000000-0005-0000-0000-0000BA020000}"/>
    <cellStyle name="20% - Accent5 11 2" xfId="702" xr:uid="{00000000-0005-0000-0000-0000BB020000}"/>
    <cellStyle name="20% - Accent5 12" xfId="703" xr:uid="{00000000-0005-0000-0000-0000BC020000}"/>
    <cellStyle name="20% - Accent5 12 2" xfId="704" xr:uid="{00000000-0005-0000-0000-0000BD020000}"/>
    <cellStyle name="20% - Accent5 13" xfId="705" xr:uid="{00000000-0005-0000-0000-0000BE020000}"/>
    <cellStyle name="20% - Accent5 13 2" xfId="706" xr:uid="{00000000-0005-0000-0000-0000BF020000}"/>
    <cellStyle name="20% - Accent5 14" xfId="707" xr:uid="{00000000-0005-0000-0000-0000C0020000}"/>
    <cellStyle name="20% - Accent5 14 2" xfId="708" xr:uid="{00000000-0005-0000-0000-0000C1020000}"/>
    <cellStyle name="20% - Accent5 15" xfId="709" xr:uid="{00000000-0005-0000-0000-0000C2020000}"/>
    <cellStyle name="20% - Accent5 15 2" xfId="710" xr:uid="{00000000-0005-0000-0000-0000C3020000}"/>
    <cellStyle name="20% - Accent5 16" xfId="711" xr:uid="{00000000-0005-0000-0000-0000C4020000}"/>
    <cellStyle name="20% - Accent5 16 2" xfId="712" xr:uid="{00000000-0005-0000-0000-0000C5020000}"/>
    <cellStyle name="20% - Accent5 17" xfId="713" xr:uid="{00000000-0005-0000-0000-0000C6020000}"/>
    <cellStyle name="20% - Accent5 17 2" xfId="714" xr:uid="{00000000-0005-0000-0000-0000C7020000}"/>
    <cellStyle name="20% - Accent5 18" xfId="715" xr:uid="{00000000-0005-0000-0000-0000C8020000}"/>
    <cellStyle name="20% - Accent5 18 2" xfId="716" xr:uid="{00000000-0005-0000-0000-0000C9020000}"/>
    <cellStyle name="20% - Accent5 19" xfId="717" xr:uid="{00000000-0005-0000-0000-0000CA020000}"/>
    <cellStyle name="20% - Accent5 19 2" xfId="718" xr:uid="{00000000-0005-0000-0000-0000CB020000}"/>
    <cellStyle name="20% - Accent5 2" xfId="719" xr:uid="{00000000-0005-0000-0000-0000CC020000}"/>
    <cellStyle name="20% - Accent5 2 2" xfId="720" xr:uid="{00000000-0005-0000-0000-0000CD020000}"/>
    <cellStyle name="20% - Accent5 2 2 2" xfId="721" xr:uid="{00000000-0005-0000-0000-0000CE020000}"/>
    <cellStyle name="20% - Accent5 2 2 2 2" xfId="722" xr:uid="{00000000-0005-0000-0000-0000CF020000}"/>
    <cellStyle name="20% - Accent5 2 2 3" xfId="723" xr:uid="{00000000-0005-0000-0000-0000D0020000}"/>
    <cellStyle name="20% - Accent5 2 3" xfId="724" xr:uid="{00000000-0005-0000-0000-0000D1020000}"/>
    <cellStyle name="20% - Accent5 2 3 2" xfId="725" xr:uid="{00000000-0005-0000-0000-0000D2020000}"/>
    <cellStyle name="20% - Accent5 2 4" xfId="726" xr:uid="{00000000-0005-0000-0000-0000D3020000}"/>
    <cellStyle name="20% - Accent5 2_AE_FC_QuoteMaster" xfId="727" xr:uid="{00000000-0005-0000-0000-0000D4020000}"/>
    <cellStyle name="20% - Accent5 20" xfId="728" xr:uid="{00000000-0005-0000-0000-0000D5020000}"/>
    <cellStyle name="20% - Accent5 20 2" xfId="729" xr:uid="{00000000-0005-0000-0000-0000D6020000}"/>
    <cellStyle name="20% - Accent5 21" xfId="730" xr:uid="{00000000-0005-0000-0000-0000D7020000}"/>
    <cellStyle name="20% - Accent5 21 2" xfId="731" xr:uid="{00000000-0005-0000-0000-0000D8020000}"/>
    <cellStyle name="20% - Accent5 22" xfId="732" xr:uid="{00000000-0005-0000-0000-0000D9020000}"/>
    <cellStyle name="20% - Accent5 22 2" xfId="733" xr:uid="{00000000-0005-0000-0000-0000DA020000}"/>
    <cellStyle name="20% - Accent5 23" xfId="734" xr:uid="{00000000-0005-0000-0000-0000DB020000}"/>
    <cellStyle name="20% - Accent5 23 2" xfId="735" xr:uid="{00000000-0005-0000-0000-0000DC020000}"/>
    <cellStyle name="20% - Accent5 24" xfId="736" xr:uid="{00000000-0005-0000-0000-0000DD020000}"/>
    <cellStyle name="20% - Accent5 24 2" xfId="737" xr:uid="{00000000-0005-0000-0000-0000DE020000}"/>
    <cellStyle name="20% - Accent5 25" xfId="738" xr:uid="{00000000-0005-0000-0000-0000DF020000}"/>
    <cellStyle name="20% - Accent5 25 2" xfId="739" xr:uid="{00000000-0005-0000-0000-0000E0020000}"/>
    <cellStyle name="20% - Accent5 26" xfId="740" xr:uid="{00000000-0005-0000-0000-0000E1020000}"/>
    <cellStyle name="20% - Accent5 26 2" xfId="741" xr:uid="{00000000-0005-0000-0000-0000E2020000}"/>
    <cellStyle name="20% - Accent5 27" xfId="742" xr:uid="{00000000-0005-0000-0000-0000E3020000}"/>
    <cellStyle name="20% - Accent5 27 2" xfId="743" xr:uid="{00000000-0005-0000-0000-0000E4020000}"/>
    <cellStyle name="20% - Accent5 28" xfId="744" xr:uid="{00000000-0005-0000-0000-0000E5020000}"/>
    <cellStyle name="20% - Accent5 28 2" xfId="745" xr:uid="{00000000-0005-0000-0000-0000E6020000}"/>
    <cellStyle name="20% - Accent5 29" xfId="746" xr:uid="{00000000-0005-0000-0000-0000E7020000}"/>
    <cellStyle name="20% - Accent5 29 2" xfId="747" xr:uid="{00000000-0005-0000-0000-0000E8020000}"/>
    <cellStyle name="20% - Accent5 3" xfId="748" xr:uid="{00000000-0005-0000-0000-0000E9020000}"/>
    <cellStyle name="20% - Accent5 3 2" xfId="749" xr:uid="{00000000-0005-0000-0000-0000EA020000}"/>
    <cellStyle name="20% - Accent5 3 2 2" xfId="750" xr:uid="{00000000-0005-0000-0000-0000EB020000}"/>
    <cellStyle name="20% - Accent5 3 2 2 2" xfId="751" xr:uid="{00000000-0005-0000-0000-0000EC020000}"/>
    <cellStyle name="20% - Accent5 3 2 3" xfId="752" xr:uid="{00000000-0005-0000-0000-0000ED020000}"/>
    <cellStyle name="20% - Accent5 3 3" xfId="753" xr:uid="{00000000-0005-0000-0000-0000EE020000}"/>
    <cellStyle name="20% - Accent5 3 3 2" xfId="754" xr:uid="{00000000-0005-0000-0000-0000EF020000}"/>
    <cellStyle name="20% - Accent5 3 4" xfId="755" xr:uid="{00000000-0005-0000-0000-0000F0020000}"/>
    <cellStyle name="20% - Accent5 30" xfId="756" xr:uid="{00000000-0005-0000-0000-0000F1020000}"/>
    <cellStyle name="20% - Accent5 30 2" xfId="757" xr:uid="{00000000-0005-0000-0000-0000F2020000}"/>
    <cellStyle name="20% - Accent5 31" xfId="758" xr:uid="{00000000-0005-0000-0000-0000F3020000}"/>
    <cellStyle name="20% - Accent5 31 2" xfId="759" xr:uid="{00000000-0005-0000-0000-0000F4020000}"/>
    <cellStyle name="20% - Accent5 32" xfId="760" xr:uid="{00000000-0005-0000-0000-0000F5020000}"/>
    <cellStyle name="20% - Accent5 32 2" xfId="761" xr:uid="{00000000-0005-0000-0000-0000F6020000}"/>
    <cellStyle name="20% - Accent5 33" xfId="762" xr:uid="{00000000-0005-0000-0000-0000F7020000}"/>
    <cellStyle name="20% - Accent5 33 2" xfId="763" xr:uid="{00000000-0005-0000-0000-0000F8020000}"/>
    <cellStyle name="20% - Accent5 34" xfId="764" xr:uid="{00000000-0005-0000-0000-0000F9020000}"/>
    <cellStyle name="20% - Accent5 34 2" xfId="765" xr:uid="{00000000-0005-0000-0000-0000FA020000}"/>
    <cellStyle name="20% - Accent5 35" xfId="766" xr:uid="{00000000-0005-0000-0000-0000FB020000}"/>
    <cellStyle name="20% - Accent5 35 2" xfId="767" xr:uid="{00000000-0005-0000-0000-0000FC020000}"/>
    <cellStyle name="20% - Accent5 36" xfId="768" xr:uid="{00000000-0005-0000-0000-0000FD020000}"/>
    <cellStyle name="20% - Accent5 36 2" xfId="769" xr:uid="{00000000-0005-0000-0000-0000FE020000}"/>
    <cellStyle name="20% - Accent5 37" xfId="770" xr:uid="{00000000-0005-0000-0000-0000FF020000}"/>
    <cellStyle name="20% - Accent5 37 2" xfId="771" xr:uid="{00000000-0005-0000-0000-000000030000}"/>
    <cellStyle name="20% - Accent5 38" xfId="772" xr:uid="{00000000-0005-0000-0000-000001030000}"/>
    <cellStyle name="20% - Accent5 38 2" xfId="773" xr:uid="{00000000-0005-0000-0000-000002030000}"/>
    <cellStyle name="20% - Accent5 39" xfId="774" xr:uid="{00000000-0005-0000-0000-000003030000}"/>
    <cellStyle name="20% - Accent5 39 2" xfId="775" xr:uid="{00000000-0005-0000-0000-000004030000}"/>
    <cellStyle name="20% - Accent5 4" xfId="776" xr:uid="{00000000-0005-0000-0000-000005030000}"/>
    <cellStyle name="20% - Accent5 4 2" xfId="777" xr:uid="{00000000-0005-0000-0000-000006030000}"/>
    <cellStyle name="20% - Accent5 4 2 2" xfId="778" xr:uid="{00000000-0005-0000-0000-000007030000}"/>
    <cellStyle name="20% - Accent5 4 3" xfId="779" xr:uid="{00000000-0005-0000-0000-000008030000}"/>
    <cellStyle name="20% - Accent5 40" xfId="780" xr:uid="{00000000-0005-0000-0000-000009030000}"/>
    <cellStyle name="20% - Accent5 40 2" xfId="781" xr:uid="{00000000-0005-0000-0000-00000A030000}"/>
    <cellStyle name="20% - Accent5 41" xfId="782" xr:uid="{00000000-0005-0000-0000-00000B030000}"/>
    <cellStyle name="20% - Accent5 41 2" xfId="783" xr:uid="{00000000-0005-0000-0000-00000C030000}"/>
    <cellStyle name="20% - Accent5 42" xfId="784" xr:uid="{00000000-0005-0000-0000-00000D030000}"/>
    <cellStyle name="20% - Accent5 42 2" xfId="785" xr:uid="{00000000-0005-0000-0000-00000E030000}"/>
    <cellStyle name="20% - Accent5 43" xfId="786" xr:uid="{00000000-0005-0000-0000-00000F030000}"/>
    <cellStyle name="20% - Accent5 43 2" xfId="787" xr:uid="{00000000-0005-0000-0000-000010030000}"/>
    <cellStyle name="20% - Accent5 44" xfId="788" xr:uid="{00000000-0005-0000-0000-000011030000}"/>
    <cellStyle name="20% - Accent5 44 2" xfId="789" xr:uid="{00000000-0005-0000-0000-000012030000}"/>
    <cellStyle name="20% - Accent5 45" xfId="790" xr:uid="{00000000-0005-0000-0000-000013030000}"/>
    <cellStyle name="20% - Accent5 45 2" xfId="791" xr:uid="{00000000-0005-0000-0000-000014030000}"/>
    <cellStyle name="20% - Accent5 46" xfId="792" xr:uid="{00000000-0005-0000-0000-000015030000}"/>
    <cellStyle name="20% - Accent5 46 2" xfId="793" xr:uid="{00000000-0005-0000-0000-000016030000}"/>
    <cellStyle name="20% - Accent5 47" xfId="794" xr:uid="{00000000-0005-0000-0000-000017030000}"/>
    <cellStyle name="20% - Accent5 47 2" xfId="795" xr:uid="{00000000-0005-0000-0000-000018030000}"/>
    <cellStyle name="20% - Accent5 48" xfId="796" xr:uid="{00000000-0005-0000-0000-000019030000}"/>
    <cellStyle name="20% - Accent5 48 2" xfId="797" xr:uid="{00000000-0005-0000-0000-00001A030000}"/>
    <cellStyle name="20% - Accent5 49" xfId="798" xr:uid="{00000000-0005-0000-0000-00001B030000}"/>
    <cellStyle name="20% - Accent5 49 2" xfId="799" xr:uid="{00000000-0005-0000-0000-00001C030000}"/>
    <cellStyle name="20% - Accent5 5" xfId="800" xr:uid="{00000000-0005-0000-0000-00001D030000}"/>
    <cellStyle name="20% - Accent5 5 2" xfId="801" xr:uid="{00000000-0005-0000-0000-00001E030000}"/>
    <cellStyle name="20% - Accent5 50" xfId="802" xr:uid="{00000000-0005-0000-0000-00001F030000}"/>
    <cellStyle name="20% - Accent5 50 2" xfId="803" xr:uid="{00000000-0005-0000-0000-000020030000}"/>
    <cellStyle name="20% - Accent5 51" xfId="804" xr:uid="{00000000-0005-0000-0000-000021030000}"/>
    <cellStyle name="20% - Accent5 51 2" xfId="805" xr:uid="{00000000-0005-0000-0000-000022030000}"/>
    <cellStyle name="20% - Accent5 52" xfId="806" xr:uid="{00000000-0005-0000-0000-000023030000}"/>
    <cellStyle name="20% - Accent5 52 2" xfId="807" xr:uid="{00000000-0005-0000-0000-000024030000}"/>
    <cellStyle name="20% - Accent5 53" xfId="808" xr:uid="{00000000-0005-0000-0000-000025030000}"/>
    <cellStyle name="20% - Accent5 53 2" xfId="809" xr:uid="{00000000-0005-0000-0000-000026030000}"/>
    <cellStyle name="20% - Accent5 54" xfId="810" xr:uid="{00000000-0005-0000-0000-000027030000}"/>
    <cellStyle name="20% - Accent5 54 2" xfId="811" xr:uid="{00000000-0005-0000-0000-000028030000}"/>
    <cellStyle name="20% - Accent5 55" xfId="812" xr:uid="{00000000-0005-0000-0000-000029030000}"/>
    <cellStyle name="20% - Accent5 55 2" xfId="813" xr:uid="{00000000-0005-0000-0000-00002A030000}"/>
    <cellStyle name="20% - Accent5 56" xfId="814" xr:uid="{00000000-0005-0000-0000-00002B030000}"/>
    <cellStyle name="20% - Accent5 56 2" xfId="815" xr:uid="{00000000-0005-0000-0000-00002C030000}"/>
    <cellStyle name="20% - Accent5 57" xfId="816" xr:uid="{00000000-0005-0000-0000-00002D030000}"/>
    <cellStyle name="20% - Accent5 57 2" xfId="817" xr:uid="{00000000-0005-0000-0000-00002E030000}"/>
    <cellStyle name="20% - Accent5 58" xfId="818" xr:uid="{00000000-0005-0000-0000-00002F030000}"/>
    <cellStyle name="20% - Accent5 58 2" xfId="819" xr:uid="{00000000-0005-0000-0000-000030030000}"/>
    <cellStyle name="20% - Accent5 59" xfId="820" xr:uid="{00000000-0005-0000-0000-000031030000}"/>
    <cellStyle name="20% - Accent5 59 2" xfId="821" xr:uid="{00000000-0005-0000-0000-000032030000}"/>
    <cellStyle name="20% - Accent5 6" xfId="822" xr:uid="{00000000-0005-0000-0000-000033030000}"/>
    <cellStyle name="20% - Accent5 6 2" xfId="823" xr:uid="{00000000-0005-0000-0000-000034030000}"/>
    <cellStyle name="20% - Accent5 60" xfId="824" xr:uid="{00000000-0005-0000-0000-000035030000}"/>
    <cellStyle name="20% - Accent5 60 2" xfId="825" xr:uid="{00000000-0005-0000-0000-000036030000}"/>
    <cellStyle name="20% - Accent5 61" xfId="826" xr:uid="{00000000-0005-0000-0000-000037030000}"/>
    <cellStyle name="20% - Accent5 61 2" xfId="827" xr:uid="{00000000-0005-0000-0000-000038030000}"/>
    <cellStyle name="20% - Accent5 62" xfId="828" xr:uid="{00000000-0005-0000-0000-000039030000}"/>
    <cellStyle name="20% - Accent5 62 2" xfId="829" xr:uid="{00000000-0005-0000-0000-00003A030000}"/>
    <cellStyle name="20% - Accent5 63" xfId="830" xr:uid="{00000000-0005-0000-0000-00003B030000}"/>
    <cellStyle name="20% - Accent5 63 2" xfId="831" xr:uid="{00000000-0005-0000-0000-00003C030000}"/>
    <cellStyle name="20% - Accent5 64" xfId="832" xr:uid="{00000000-0005-0000-0000-00003D030000}"/>
    <cellStyle name="20% - Accent5 64 2" xfId="833" xr:uid="{00000000-0005-0000-0000-00003E030000}"/>
    <cellStyle name="20% - Accent5 65" xfId="834" xr:uid="{00000000-0005-0000-0000-00003F030000}"/>
    <cellStyle name="20% - Accent5 65 2" xfId="835" xr:uid="{00000000-0005-0000-0000-000040030000}"/>
    <cellStyle name="20% - Accent5 66" xfId="836" xr:uid="{00000000-0005-0000-0000-000041030000}"/>
    <cellStyle name="20% - Accent5 66 2" xfId="837" xr:uid="{00000000-0005-0000-0000-000042030000}"/>
    <cellStyle name="20% - Accent5 67" xfId="838" xr:uid="{00000000-0005-0000-0000-000043030000}"/>
    <cellStyle name="20% - Accent5 67 2" xfId="839" xr:uid="{00000000-0005-0000-0000-000044030000}"/>
    <cellStyle name="20% - Accent5 68" xfId="840" xr:uid="{00000000-0005-0000-0000-000045030000}"/>
    <cellStyle name="20% - Accent5 68 2" xfId="841" xr:uid="{00000000-0005-0000-0000-000046030000}"/>
    <cellStyle name="20% - Accent5 69" xfId="842" xr:uid="{00000000-0005-0000-0000-000047030000}"/>
    <cellStyle name="20% - Accent5 69 2" xfId="843" xr:uid="{00000000-0005-0000-0000-000048030000}"/>
    <cellStyle name="20% - Accent5 7" xfId="844" xr:uid="{00000000-0005-0000-0000-000049030000}"/>
    <cellStyle name="20% - Accent5 7 2" xfId="845" xr:uid="{00000000-0005-0000-0000-00004A030000}"/>
    <cellStyle name="20% - Accent5 70" xfId="846" xr:uid="{00000000-0005-0000-0000-00004B030000}"/>
    <cellStyle name="20% - Accent5 70 2" xfId="847" xr:uid="{00000000-0005-0000-0000-00004C030000}"/>
    <cellStyle name="20% - Accent5 8" xfId="848" xr:uid="{00000000-0005-0000-0000-00004D030000}"/>
    <cellStyle name="20% - Accent5 8 2" xfId="849" xr:uid="{00000000-0005-0000-0000-00004E030000}"/>
    <cellStyle name="20% - Accent5 9" xfId="850" xr:uid="{00000000-0005-0000-0000-00004F030000}"/>
    <cellStyle name="20% - Accent5 9 2" xfId="851" xr:uid="{00000000-0005-0000-0000-000050030000}"/>
    <cellStyle name="20% - Accent6" xfId="21052" xr:uid="{00000000-0005-0000-0000-000051030000}"/>
    <cellStyle name="20% - Accent6 10" xfId="852" xr:uid="{00000000-0005-0000-0000-000052030000}"/>
    <cellStyle name="20% - Accent6 10 2" xfId="853" xr:uid="{00000000-0005-0000-0000-000053030000}"/>
    <cellStyle name="20% - Accent6 11" xfId="854" xr:uid="{00000000-0005-0000-0000-000054030000}"/>
    <cellStyle name="20% - Accent6 11 2" xfId="855" xr:uid="{00000000-0005-0000-0000-000055030000}"/>
    <cellStyle name="20% - Accent6 12" xfId="856" xr:uid="{00000000-0005-0000-0000-000056030000}"/>
    <cellStyle name="20% - Accent6 12 2" xfId="857" xr:uid="{00000000-0005-0000-0000-000057030000}"/>
    <cellStyle name="20% - Accent6 13" xfId="858" xr:uid="{00000000-0005-0000-0000-000058030000}"/>
    <cellStyle name="20% - Accent6 13 2" xfId="859" xr:uid="{00000000-0005-0000-0000-000059030000}"/>
    <cellStyle name="20% - Accent6 14" xfId="860" xr:uid="{00000000-0005-0000-0000-00005A030000}"/>
    <cellStyle name="20% - Accent6 14 2" xfId="861" xr:uid="{00000000-0005-0000-0000-00005B030000}"/>
    <cellStyle name="20% - Accent6 15" xfId="862" xr:uid="{00000000-0005-0000-0000-00005C030000}"/>
    <cellStyle name="20% - Accent6 15 2" xfId="863" xr:uid="{00000000-0005-0000-0000-00005D030000}"/>
    <cellStyle name="20% - Accent6 16" xfId="864" xr:uid="{00000000-0005-0000-0000-00005E030000}"/>
    <cellStyle name="20% - Accent6 16 2" xfId="865" xr:uid="{00000000-0005-0000-0000-00005F030000}"/>
    <cellStyle name="20% - Accent6 17" xfId="866" xr:uid="{00000000-0005-0000-0000-000060030000}"/>
    <cellStyle name="20% - Accent6 17 2" xfId="867" xr:uid="{00000000-0005-0000-0000-000061030000}"/>
    <cellStyle name="20% - Accent6 18" xfId="868" xr:uid="{00000000-0005-0000-0000-000062030000}"/>
    <cellStyle name="20% - Accent6 18 2" xfId="869" xr:uid="{00000000-0005-0000-0000-000063030000}"/>
    <cellStyle name="20% - Accent6 19" xfId="870" xr:uid="{00000000-0005-0000-0000-000064030000}"/>
    <cellStyle name="20% - Accent6 19 2" xfId="871" xr:uid="{00000000-0005-0000-0000-000065030000}"/>
    <cellStyle name="20% - Accent6 2" xfId="872" xr:uid="{00000000-0005-0000-0000-000066030000}"/>
    <cellStyle name="20% - Accent6 2 2" xfId="873" xr:uid="{00000000-0005-0000-0000-000067030000}"/>
    <cellStyle name="20% - Accent6 2 2 2" xfId="874" xr:uid="{00000000-0005-0000-0000-000068030000}"/>
    <cellStyle name="20% - Accent6 2 2 2 2" xfId="875" xr:uid="{00000000-0005-0000-0000-000069030000}"/>
    <cellStyle name="20% - Accent6 2 2 3" xfId="876" xr:uid="{00000000-0005-0000-0000-00006A030000}"/>
    <cellStyle name="20% - Accent6 2 3" xfId="877" xr:uid="{00000000-0005-0000-0000-00006B030000}"/>
    <cellStyle name="20% - Accent6 2 3 2" xfId="878" xr:uid="{00000000-0005-0000-0000-00006C030000}"/>
    <cellStyle name="20% - Accent6 2 4" xfId="879" xr:uid="{00000000-0005-0000-0000-00006D030000}"/>
    <cellStyle name="20% - Accent6 2_AE_FC_QuoteMaster" xfId="880" xr:uid="{00000000-0005-0000-0000-00006E030000}"/>
    <cellStyle name="20% - Accent6 20" xfId="881" xr:uid="{00000000-0005-0000-0000-00006F030000}"/>
    <cellStyle name="20% - Accent6 20 2" xfId="882" xr:uid="{00000000-0005-0000-0000-000070030000}"/>
    <cellStyle name="20% - Accent6 21" xfId="883" xr:uid="{00000000-0005-0000-0000-000071030000}"/>
    <cellStyle name="20% - Accent6 21 2" xfId="884" xr:uid="{00000000-0005-0000-0000-000072030000}"/>
    <cellStyle name="20% - Accent6 22" xfId="885" xr:uid="{00000000-0005-0000-0000-000073030000}"/>
    <cellStyle name="20% - Accent6 22 2" xfId="886" xr:uid="{00000000-0005-0000-0000-000074030000}"/>
    <cellStyle name="20% - Accent6 23" xfId="887" xr:uid="{00000000-0005-0000-0000-000075030000}"/>
    <cellStyle name="20% - Accent6 23 2" xfId="888" xr:uid="{00000000-0005-0000-0000-000076030000}"/>
    <cellStyle name="20% - Accent6 24" xfId="889" xr:uid="{00000000-0005-0000-0000-000077030000}"/>
    <cellStyle name="20% - Accent6 24 2" xfId="890" xr:uid="{00000000-0005-0000-0000-000078030000}"/>
    <cellStyle name="20% - Accent6 25" xfId="891" xr:uid="{00000000-0005-0000-0000-000079030000}"/>
    <cellStyle name="20% - Accent6 25 2" xfId="892" xr:uid="{00000000-0005-0000-0000-00007A030000}"/>
    <cellStyle name="20% - Accent6 26" xfId="893" xr:uid="{00000000-0005-0000-0000-00007B030000}"/>
    <cellStyle name="20% - Accent6 26 2" xfId="894" xr:uid="{00000000-0005-0000-0000-00007C030000}"/>
    <cellStyle name="20% - Accent6 27" xfId="895" xr:uid="{00000000-0005-0000-0000-00007D030000}"/>
    <cellStyle name="20% - Accent6 27 2" xfId="896" xr:uid="{00000000-0005-0000-0000-00007E030000}"/>
    <cellStyle name="20% - Accent6 28" xfId="897" xr:uid="{00000000-0005-0000-0000-00007F030000}"/>
    <cellStyle name="20% - Accent6 28 2" xfId="898" xr:uid="{00000000-0005-0000-0000-000080030000}"/>
    <cellStyle name="20% - Accent6 29" xfId="899" xr:uid="{00000000-0005-0000-0000-000081030000}"/>
    <cellStyle name="20% - Accent6 29 2" xfId="900" xr:uid="{00000000-0005-0000-0000-000082030000}"/>
    <cellStyle name="20% - Accent6 3" xfId="901" xr:uid="{00000000-0005-0000-0000-000083030000}"/>
    <cellStyle name="20% - Accent6 3 2" xfId="902" xr:uid="{00000000-0005-0000-0000-000084030000}"/>
    <cellStyle name="20% - Accent6 3 2 2" xfId="903" xr:uid="{00000000-0005-0000-0000-000085030000}"/>
    <cellStyle name="20% - Accent6 3 2 2 2" xfId="904" xr:uid="{00000000-0005-0000-0000-000086030000}"/>
    <cellStyle name="20% - Accent6 3 2 3" xfId="905" xr:uid="{00000000-0005-0000-0000-000087030000}"/>
    <cellStyle name="20% - Accent6 3 3" xfId="906" xr:uid="{00000000-0005-0000-0000-000088030000}"/>
    <cellStyle name="20% - Accent6 3 3 2" xfId="907" xr:uid="{00000000-0005-0000-0000-000089030000}"/>
    <cellStyle name="20% - Accent6 3 4" xfId="908" xr:uid="{00000000-0005-0000-0000-00008A030000}"/>
    <cellStyle name="20% - Accent6 30" xfId="909" xr:uid="{00000000-0005-0000-0000-00008B030000}"/>
    <cellStyle name="20% - Accent6 30 2" xfId="910" xr:uid="{00000000-0005-0000-0000-00008C030000}"/>
    <cellStyle name="20% - Accent6 31" xfId="911" xr:uid="{00000000-0005-0000-0000-00008D030000}"/>
    <cellStyle name="20% - Accent6 31 2" xfId="912" xr:uid="{00000000-0005-0000-0000-00008E030000}"/>
    <cellStyle name="20% - Accent6 32" xfId="913" xr:uid="{00000000-0005-0000-0000-00008F030000}"/>
    <cellStyle name="20% - Accent6 32 2" xfId="914" xr:uid="{00000000-0005-0000-0000-000090030000}"/>
    <cellStyle name="20% - Accent6 33" xfId="915" xr:uid="{00000000-0005-0000-0000-000091030000}"/>
    <cellStyle name="20% - Accent6 33 2" xfId="916" xr:uid="{00000000-0005-0000-0000-000092030000}"/>
    <cellStyle name="20% - Accent6 34" xfId="917" xr:uid="{00000000-0005-0000-0000-000093030000}"/>
    <cellStyle name="20% - Accent6 34 2" xfId="918" xr:uid="{00000000-0005-0000-0000-000094030000}"/>
    <cellStyle name="20% - Accent6 35" xfId="919" xr:uid="{00000000-0005-0000-0000-000095030000}"/>
    <cellStyle name="20% - Accent6 35 2" xfId="920" xr:uid="{00000000-0005-0000-0000-000096030000}"/>
    <cellStyle name="20% - Accent6 36" xfId="921" xr:uid="{00000000-0005-0000-0000-000097030000}"/>
    <cellStyle name="20% - Accent6 36 2" xfId="922" xr:uid="{00000000-0005-0000-0000-000098030000}"/>
    <cellStyle name="20% - Accent6 37" xfId="923" xr:uid="{00000000-0005-0000-0000-000099030000}"/>
    <cellStyle name="20% - Accent6 37 2" xfId="924" xr:uid="{00000000-0005-0000-0000-00009A030000}"/>
    <cellStyle name="20% - Accent6 38" xfId="925" xr:uid="{00000000-0005-0000-0000-00009B030000}"/>
    <cellStyle name="20% - Accent6 38 2" xfId="926" xr:uid="{00000000-0005-0000-0000-00009C030000}"/>
    <cellStyle name="20% - Accent6 39" xfId="927" xr:uid="{00000000-0005-0000-0000-00009D030000}"/>
    <cellStyle name="20% - Accent6 39 2" xfId="928" xr:uid="{00000000-0005-0000-0000-00009E030000}"/>
    <cellStyle name="20% - Accent6 4" xfId="929" xr:uid="{00000000-0005-0000-0000-00009F030000}"/>
    <cellStyle name="20% - Accent6 4 2" xfId="930" xr:uid="{00000000-0005-0000-0000-0000A0030000}"/>
    <cellStyle name="20% - Accent6 4 2 2" xfId="931" xr:uid="{00000000-0005-0000-0000-0000A1030000}"/>
    <cellStyle name="20% - Accent6 4 3" xfId="932" xr:uid="{00000000-0005-0000-0000-0000A2030000}"/>
    <cellStyle name="20% - Accent6 40" xfId="933" xr:uid="{00000000-0005-0000-0000-0000A3030000}"/>
    <cellStyle name="20% - Accent6 40 2" xfId="934" xr:uid="{00000000-0005-0000-0000-0000A4030000}"/>
    <cellStyle name="20% - Accent6 41" xfId="935" xr:uid="{00000000-0005-0000-0000-0000A5030000}"/>
    <cellStyle name="20% - Accent6 41 2" xfId="936" xr:uid="{00000000-0005-0000-0000-0000A6030000}"/>
    <cellStyle name="20% - Accent6 42" xfId="937" xr:uid="{00000000-0005-0000-0000-0000A7030000}"/>
    <cellStyle name="20% - Accent6 42 2" xfId="938" xr:uid="{00000000-0005-0000-0000-0000A8030000}"/>
    <cellStyle name="20% - Accent6 43" xfId="939" xr:uid="{00000000-0005-0000-0000-0000A9030000}"/>
    <cellStyle name="20% - Accent6 43 2" xfId="940" xr:uid="{00000000-0005-0000-0000-0000AA030000}"/>
    <cellStyle name="20% - Accent6 44" xfId="941" xr:uid="{00000000-0005-0000-0000-0000AB030000}"/>
    <cellStyle name="20% - Accent6 44 2" xfId="942" xr:uid="{00000000-0005-0000-0000-0000AC030000}"/>
    <cellStyle name="20% - Accent6 45" xfId="943" xr:uid="{00000000-0005-0000-0000-0000AD030000}"/>
    <cellStyle name="20% - Accent6 45 2" xfId="944" xr:uid="{00000000-0005-0000-0000-0000AE030000}"/>
    <cellStyle name="20% - Accent6 46" xfId="945" xr:uid="{00000000-0005-0000-0000-0000AF030000}"/>
    <cellStyle name="20% - Accent6 46 2" xfId="946" xr:uid="{00000000-0005-0000-0000-0000B0030000}"/>
    <cellStyle name="20% - Accent6 47" xfId="947" xr:uid="{00000000-0005-0000-0000-0000B1030000}"/>
    <cellStyle name="20% - Accent6 47 2" xfId="948" xr:uid="{00000000-0005-0000-0000-0000B2030000}"/>
    <cellStyle name="20% - Accent6 48" xfId="949" xr:uid="{00000000-0005-0000-0000-0000B3030000}"/>
    <cellStyle name="20% - Accent6 48 2" xfId="950" xr:uid="{00000000-0005-0000-0000-0000B4030000}"/>
    <cellStyle name="20% - Accent6 49" xfId="951" xr:uid="{00000000-0005-0000-0000-0000B5030000}"/>
    <cellStyle name="20% - Accent6 49 2" xfId="952" xr:uid="{00000000-0005-0000-0000-0000B6030000}"/>
    <cellStyle name="20% - Accent6 5" xfId="953" xr:uid="{00000000-0005-0000-0000-0000B7030000}"/>
    <cellStyle name="20% - Accent6 5 2" xfId="954" xr:uid="{00000000-0005-0000-0000-0000B8030000}"/>
    <cellStyle name="20% - Accent6 50" xfId="955" xr:uid="{00000000-0005-0000-0000-0000B9030000}"/>
    <cellStyle name="20% - Accent6 50 2" xfId="956" xr:uid="{00000000-0005-0000-0000-0000BA030000}"/>
    <cellStyle name="20% - Accent6 51" xfId="957" xr:uid="{00000000-0005-0000-0000-0000BB030000}"/>
    <cellStyle name="20% - Accent6 51 2" xfId="958" xr:uid="{00000000-0005-0000-0000-0000BC030000}"/>
    <cellStyle name="20% - Accent6 52" xfId="959" xr:uid="{00000000-0005-0000-0000-0000BD030000}"/>
    <cellStyle name="20% - Accent6 52 2" xfId="960" xr:uid="{00000000-0005-0000-0000-0000BE030000}"/>
    <cellStyle name="20% - Accent6 53" xfId="961" xr:uid="{00000000-0005-0000-0000-0000BF030000}"/>
    <cellStyle name="20% - Accent6 53 2" xfId="962" xr:uid="{00000000-0005-0000-0000-0000C0030000}"/>
    <cellStyle name="20% - Accent6 54" xfId="963" xr:uid="{00000000-0005-0000-0000-0000C1030000}"/>
    <cellStyle name="20% - Accent6 54 2" xfId="964" xr:uid="{00000000-0005-0000-0000-0000C2030000}"/>
    <cellStyle name="20% - Accent6 55" xfId="965" xr:uid="{00000000-0005-0000-0000-0000C3030000}"/>
    <cellStyle name="20% - Accent6 55 2" xfId="966" xr:uid="{00000000-0005-0000-0000-0000C4030000}"/>
    <cellStyle name="20% - Accent6 56" xfId="967" xr:uid="{00000000-0005-0000-0000-0000C5030000}"/>
    <cellStyle name="20% - Accent6 56 2" xfId="968" xr:uid="{00000000-0005-0000-0000-0000C6030000}"/>
    <cellStyle name="20% - Accent6 57" xfId="969" xr:uid="{00000000-0005-0000-0000-0000C7030000}"/>
    <cellStyle name="20% - Accent6 57 2" xfId="970" xr:uid="{00000000-0005-0000-0000-0000C8030000}"/>
    <cellStyle name="20% - Accent6 58" xfId="971" xr:uid="{00000000-0005-0000-0000-0000C9030000}"/>
    <cellStyle name="20% - Accent6 58 2" xfId="972" xr:uid="{00000000-0005-0000-0000-0000CA030000}"/>
    <cellStyle name="20% - Accent6 59" xfId="973" xr:uid="{00000000-0005-0000-0000-0000CB030000}"/>
    <cellStyle name="20% - Accent6 59 2" xfId="974" xr:uid="{00000000-0005-0000-0000-0000CC030000}"/>
    <cellStyle name="20% - Accent6 6" xfId="975" xr:uid="{00000000-0005-0000-0000-0000CD030000}"/>
    <cellStyle name="20% - Accent6 6 2" xfId="976" xr:uid="{00000000-0005-0000-0000-0000CE030000}"/>
    <cellStyle name="20% - Accent6 60" xfId="977" xr:uid="{00000000-0005-0000-0000-0000CF030000}"/>
    <cellStyle name="20% - Accent6 60 2" xfId="978" xr:uid="{00000000-0005-0000-0000-0000D0030000}"/>
    <cellStyle name="20% - Accent6 61" xfId="979" xr:uid="{00000000-0005-0000-0000-0000D1030000}"/>
    <cellStyle name="20% - Accent6 61 2" xfId="980" xr:uid="{00000000-0005-0000-0000-0000D2030000}"/>
    <cellStyle name="20% - Accent6 62" xfId="981" xr:uid="{00000000-0005-0000-0000-0000D3030000}"/>
    <cellStyle name="20% - Accent6 62 2" xfId="982" xr:uid="{00000000-0005-0000-0000-0000D4030000}"/>
    <cellStyle name="20% - Accent6 63" xfId="983" xr:uid="{00000000-0005-0000-0000-0000D5030000}"/>
    <cellStyle name="20% - Accent6 63 2" xfId="984" xr:uid="{00000000-0005-0000-0000-0000D6030000}"/>
    <cellStyle name="20% - Accent6 64" xfId="985" xr:uid="{00000000-0005-0000-0000-0000D7030000}"/>
    <cellStyle name="20% - Accent6 64 2" xfId="986" xr:uid="{00000000-0005-0000-0000-0000D8030000}"/>
    <cellStyle name="20% - Accent6 65" xfId="987" xr:uid="{00000000-0005-0000-0000-0000D9030000}"/>
    <cellStyle name="20% - Accent6 65 2" xfId="988" xr:uid="{00000000-0005-0000-0000-0000DA030000}"/>
    <cellStyle name="20% - Accent6 66" xfId="989" xr:uid="{00000000-0005-0000-0000-0000DB030000}"/>
    <cellStyle name="20% - Accent6 66 2" xfId="990" xr:uid="{00000000-0005-0000-0000-0000DC030000}"/>
    <cellStyle name="20% - Accent6 67" xfId="991" xr:uid="{00000000-0005-0000-0000-0000DD030000}"/>
    <cellStyle name="20% - Accent6 67 2" xfId="992" xr:uid="{00000000-0005-0000-0000-0000DE030000}"/>
    <cellStyle name="20% - Accent6 68" xfId="993" xr:uid="{00000000-0005-0000-0000-0000DF030000}"/>
    <cellStyle name="20% - Accent6 68 2" xfId="994" xr:uid="{00000000-0005-0000-0000-0000E0030000}"/>
    <cellStyle name="20% - Accent6 69" xfId="995" xr:uid="{00000000-0005-0000-0000-0000E1030000}"/>
    <cellStyle name="20% - Accent6 69 2" xfId="996" xr:uid="{00000000-0005-0000-0000-0000E2030000}"/>
    <cellStyle name="20% - Accent6 7" xfId="997" xr:uid="{00000000-0005-0000-0000-0000E3030000}"/>
    <cellStyle name="20% - Accent6 7 2" xfId="998" xr:uid="{00000000-0005-0000-0000-0000E4030000}"/>
    <cellStyle name="20% - Accent6 70" xfId="999" xr:uid="{00000000-0005-0000-0000-0000E5030000}"/>
    <cellStyle name="20% - Accent6 70 2" xfId="1000" xr:uid="{00000000-0005-0000-0000-0000E6030000}"/>
    <cellStyle name="20% - Accent6 8" xfId="1001" xr:uid="{00000000-0005-0000-0000-0000E7030000}"/>
    <cellStyle name="20% - Accent6 8 2" xfId="1002" xr:uid="{00000000-0005-0000-0000-0000E8030000}"/>
    <cellStyle name="20% - Accent6 9" xfId="1003" xr:uid="{00000000-0005-0000-0000-0000E9030000}"/>
    <cellStyle name="20% - Accent6 9 2" xfId="1004" xr:uid="{00000000-0005-0000-0000-0000EA030000}"/>
    <cellStyle name="20% - Akzent1 10" xfId="1005" xr:uid="{00000000-0005-0000-0000-0000EB030000}"/>
    <cellStyle name="20% - Akzent1 10 2" xfId="1006" xr:uid="{00000000-0005-0000-0000-0000EC030000}"/>
    <cellStyle name="20% - Akzent1 100" xfId="1007" xr:uid="{00000000-0005-0000-0000-0000ED030000}"/>
    <cellStyle name="20% - Akzent1 100 2" xfId="1008" xr:uid="{00000000-0005-0000-0000-0000EE030000}"/>
    <cellStyle name="20% - Akzent1 101" xfId="1009" xr:uid="{00000000-0005-0000-0000-0000EF030000}"/>
    <cellStyle name="20% - Akzent1 101 2" xfId="1010" xr:uid="{00000000-0005-0000-0000-0000F0030000}"/>
    <cellStyle name="20% - Akzent1 102" xfId="1011" xr:uid="{00000000-0005-0000-0000-0000F1030000}"/>
    <cellStyle name="20% - Akzent1 102 2" xfId="1012" xr:uid="{00000000-0005-0000-0000-0000F2030000}"/>
    <cellStyle name="20% - Akzent1 103" xfId="1013" xr:uid="{00000000-0005-0000-0000-0000F3030000}"/>
    <cellStyle name="20% - Akzent1 103 2" xfId="1014" xr:uid="{00000000-0005-0000-0000-0000F4030000}"/>
    <cellStyle name="20% - Akzent1 104" xfId="1015" xr:uid="{00000000-0005-0000-0000-0000F5030000}"/>
    <cellStyle name="20% - Akzent1 104 2" xfId="1016" xr:uid="{00000000-0005-0000-0000-0000F6030000}"/>
    <cellStyle name="20% - Akzent1 105" xfId="1017" xr:uid="{00000000-0005-0000-0000-0000F7030000}"/>
    <cellStyle name="20% - Akzent1 105 2" xfId="1018" xr:uid="{00000000-0005-0000-0000-0000F8030000}"/>
    <cellStyle name="20% - Akzent1 106" xfId="1019" xr:uid="{00000000-0005-0000-0000-0000F9030000}"/>
    <cellStyle name="20% - Akzent1 106 2" xfId="1020" xr:uid="{00000000-0005-0000-0000-0000FA030000}"/>
    <cellStyle name="20% - Akzent1 107" xfId="1021" xr:uid="{00000000-0005-0000-0000-0000FB030000}"/>
    <cellStyle name="20% - Akzent1 107 2" xfId="1022" xr:uid="{00000000-0005-0000-0000-0000FC030000}"/>
    <cellStyle name="20% - Akzent1 108" xfId="1023" xr:uid="{00000000-0005-0000-0000-0000FD030000}"/>
    <cellStyle name="20% - Akzent1 108 2" xfId="1024" xr:uid="{00000000-0005-0000-0000-0000FE030000}"/>
    <cellStyle name="20% - Akzent1 109" xfId="1025" xr:uid="{00000000-0005-0000-0000-0000FF030000}"/>
    <cellStyle name="20% - Akzent1 109 2" xfId="1026" xr:uid="{00000000-0005-0000-0000-000000040000}"/>
    <cellStyle name="20% - Akzent1 11" xfId="1027" xr:uid="{00000000-0005-0000-0000-000001040000}"/>
    <cellStyle name="20% - Akzent1 11 2" xfId="1028" xr:uid="{00000000-0005-0000-0000-000002040000}"/>
    <cellStyle name="20% - Akzent1 110" xfId="1029" xr:uid="{00000000-0005-0000-0000-000003040000}"/>
    <cellStyle name="20% - Akzent1 110 2" xfId="1030" xr:uid="{00000000-0005-0000-0000-000004040000}"/>
    <cellStyle name="20% - Akzent1 111" xfId="1031" xr:uid="{00000000-0005-0000-0000-000005040000}"/>
    <cellStyle name="20% - Akzent1 111 2" xfId="1032" xr:uid="{00000000-0005-0000-0000-000006040000}"/>
    <cellStyle name="20% - Akzent1 112" xfId="1033" xr:uid="{00000000-0005-0000-0000-000007040000}"/>
    <cellStyle name="20% - Akzent1 112 2" xfId="1034" xr:uid="{00000000-0005-0000-0000-000008040000}"/>
    <cellStyle name="20% - Akzent1 113" xfId="1035" xr:uid="{00000000-0005-0000-0000-000009040000}"/>
    <cellStyle name="20% - Akzent1 113 2" xfId="1036" xr:uid="{00000000-0005-0000-0000-00000A040000}"/>
    <cellStyle name="20% - Akzent1 114" xfId="1037" xr:uid="{00000000-0005-0000-0000-00000B040000}"/>
    <cellStyle name="20% - Akzent1 114 2" xfId="1038" xr:uid="{00000000-0005-0000-0000-00000C040000}"/>
    <cellStyle name="20% - Akzent1 115" xfId="1039" xr:uid="{00000000-0005-0000-0000-00000D040000}"/>
    <cellStyle name="20% - Akzent1 115 2" xfId="1040" xr:uid="{00000000-0005-0000-0000-00000E040000}"/>
    <cellStyle name="20% - Akzent1 116" xfId="1041" xr:uid="{00000000-0005-0000-0000-00000F040000}"/>
    <cellStyle name="20% - Akzent1 116 2" xfId="1042" xr:uid="{00000000-0005-0000-0000-000010040000}"/>
    <cellStyle name="20% - Akzent1 117" xfId="1043" xr:uid="{00000000-0005-0000-0000-000011040000}"/>
    <cellStyle name="20% - Akzent1 117 2" xfId="1044" xr:uid="{00000000-0005-0000-0000-000012040000}"/>
    <cellStyle name="20% - Akzent1 118" xfId="1045" xr:uid="{00000000-0005-0000-0000-000013040000}"/>
    <cellStyle name="20% - Akzent1 118 2" xfId="1046" xr:uid="{00000000-0005-0000-0000-000014040000}"/>
    <cellStyle name="20% - Akzent1 119" xfId="1047" xr:uid="{00000000-0005-0000-0000-000015040000}"/>
    <cellStyle name="20% - Akzent1 119 2" xfId="1048" xr:uid="{00000000-0005-0000-0000-000016040000}"/>
    <cellStyle name="20% - Akzent1 12" xfId="1049" xr:uid="{00000000-0005-0000-0000-000017040000}"/>
    <cellStyle name="20% - Akzent1 12 2" xfId="1050" xr:uid="{00000000-0005-0000-0000-000018040000}"/>
    <cellStyle name="20% - Akzent1 120" xfId="1051" xr:uid="{00000000-0005-0000-0000-000019040000}"/>
    <cellStyle name="20% - Akzent1 120 2" xfId="1052" xr:uid="{00000000-0005-0000-0000-00001A040000}"/>
    <cellStyle name="20% - Akzent1 121" xfId="1053" xr:uid="{00000000-0005-0000-0000-00001B040000}"/>
    <cellStyle name="20% - Akzent1 121 2" xfId="1054" xr:uid="{00000000-0005-0000-0000-00001C040000}"/>
    <cellStyle name="20% - Akzent1 122" xfId="1055" xr:uid="{00000000-0005-0000-0000-00001D040000}"/>
    <cellStyle name="20% - Akzent1 122 2" xfId="1056" xr:uid="{00000000-0005-0000-0000-00001E040000}"/>
    <cellStyle name="20% - Akzent1 123" xfId="1057" xr:uid="{00000000-0005-0000-0000-00001F040000}"/>
    <cellStyle name="20% - Akzent1 123 2" xfId="1058" xr:uid="{00000000-0005-0000-0000-000020040000}"/>
    <cellStyle name="20% - Akzent1 124" xfId="1059" xr:uid="{00000000-0005-0000-0000-000021040000}"/>
    <cellStyle name="20% - Akzent1 124 2" xfId="1060" xr:uid="{00000000-0005-0000-0000-000022040000}"/>
    <cellStyle name="20% - Akzent1 125" xfId="1061" xr:uid="{00000000-0005-0000-0000-000023040000}"/>
    <cellStyle name="20% - Akzent1 125 2" xfId="1062" xr:uid="{00000000-0005-0000-0000-000024040000}"/>
    <cellStyle name="20% - Akzent1 126" xfId="1063" xr:uid="{00000000-0005-0000-0000-000025040000}"/>
    <cellStyle name="20% - Akzent1 126 2" xfId="1064" xr:uid="{00000000-0005-0000-0000-000026040000}"/>
    <cellStyle name="20% - Akzent1 127" xfId="1065" xr:uid="{00000000-0005-0000-0000-000027040000}"/>
    <cellStyle name="20% - Akzent1 127 2" xfId="1066" xr:uid="{00000000-0005-0000-0000-000028040000}"/>
    <cellStyle name="20% - Akzent1 128" xfId="1067" xr:uid="{00000000-0005-0000-0000-000029040000}"/>
    <cellStyle name="20% - Akzent1 128 2" xfId="1068" xr:uid="{00000000-0005-0000-0000-00002A040000}"/>
    <cellStyle name="20% - Akzent1 129" xfId="1069" xr:uid="{00000000-0005-0000-0000-00002B040000}"/>
    <cellStyle name="20% - Akzent1 129 2" xfId="1070" xr:uid="{00000000-0005-0000-0000-00002C040000}"/>
    <cellStyle name="20% - Akzent1 13" xfId="1071" xr:uid="{00000000-0005-0000-0000-00002D040000}"/>
    <cellStyle name="20% - Akzent1 13 2" xfId="1072" xr:uid="{00000000-0005-0000-0000-00002E040000}"/>
    <cellStyle name="20% - Akzent1 130" xfId="1073" xr:uid="{00000000-0005-0000-0000-00002F040000}"/>
    <cellStyle name="20% - Akzent1 130 2" xfId="1074" xr:uid="{00000000-0005-0000-0000-000030040000}"/>
    <cellStyle name="20% - Akzent1 131" xfId="1075" xr:uid="{00000000-0005-0000-0000-000031040000}"/>
    <cellStyle name="20% - Akzent1 131 2" xfId="1076" xr:uid="{00000000-0005-0000-0000-000032040000}"/>
    <cellStyle name="20% - Akzent1 132" xfId="1077" xr:uid="{00000000-0005-0000-0000-000033040000}"/>
    <cellStyle name="20% - Akzent1 132 2" xfId="1078" xr:uid="{00000000-0005-0000-0000-000034040000}"/>
    <cellStyle name="20% - Akzent1 133" xfId="1079" xr:uid="{00000000-0005-0000-0000-000035040000}"/>
    <cellStyle name="20% - Akzent1 133 2" xfId="1080" xr:uid="{00000000-0005-0000-0000-000036040000}"/>
    <cellStyle name="20% - Akzent1 134" xfId="1081" xr:uid="{00000000-0005-0000-0000-000037040000}"/>
    <cellStyle name="20% - Akzent1 134 2" xfId="1082" xr:uid="{00000000-0005-0000-0000-000038040000}"/>
    <cellStyle name="20% - Akzent1 135" xfId="1083" xr:uid="{00000000-0005-0000-0000-000039040000}"/>
    <cellStyle name="20% - Akzent1 135 2" xfId="1084" xr:uid="{00000000-0005-0000-0000-00003A040000}"/>
    <cellStyle name="20% - Akzent1 136" xfId="1085" xr:uid="{00000000-0005-0000-0000-00003B040000}"/>
    <cellStyle name="20% - Akzent1 136 2" xfId="1086" xr:uid="{00000000-0005-0000-0000-00003C040000}"/>
    <cellStyle name="20% - Akzent1 137" xfId="1087" xr:uid="{00000000-0005-0000-0000-00003D040000}"/>
    <cellStyle name="20% - Akzent1 137 2" xfId="1088" xr:uid="{00000000-0005-0000-0000-00003E040000}"/>
    <cellStyle name="20% - Akzent1 138" xfId="1089" xr:uid="{00000000-0005-0000-0000-00003F040000}"/>
    <cellStyle name="20% - Akzent1 138 2" xfId="1090" xr:uid="{00000000-0005-0000-0000-000040040000}"/>
    <cellStyle name="20% - Akzent1 139" xfId="1091" xr:uid="{00000000-0005-0000-0000-000041040000}"/>
    <cellStyle name="20% - Akzent1 139 2" xfId="1092" xr:uid="{00000000-0005-0000-0000-000042040000}"/>
    <cellStyle name="20% - Akzent1 14" xfId="1093" xr:uid="{00000000-0005-0000-0000-000043040000}"/>
    <cellStyle name="20% - Akzent1 14 2" xfId="1094" xr:uid="{00000000-0005-0000-0000-000044040000}"/>
    <cellStyle name="20% - Akzent1 140" xfId="1095" xr:uid="{00000000-0005-0000-0000-000045040000}"/>
    <cellStyle name="20% - Akzent1 140 2" xfId="1096" xr:uid="{00000000-0005-0000-0000-000046040000}"/>
    <cellStyle name="20% - Akzent1 141" xfId="1097" xr:uid="{00000000-0005-0000-0000-000047040000}"/>
    <cellStyle name="20% - Akzent1 141 2" xfId="1098" xr:uid="{00000000-0005-0000-0000-000048040000}"/>
    <cellStyle name="20% - Akzent1 142" xfId="1099" xr:uid="{00000000-0005-0000-0000-000049040000}"/>
    <cellStyle name="20% - Akzent1 142 2" xfId="1100" xr:uid="{00000000-0005-0000-0000-00004A040000}"/>
    <cellStyle name="20% - Akzent1 143" xfId="1101" xr:uid="{00000000-0005-0000-0000-00004B040000}"/>
    <cellStyle name="20% - Akzent1 143 2" xfId="1102" xr:uid="{00000000-0005-0000-0000-00004C040000}"/>
    <cellStyle name="20% - Akzent1 144" xfId="1103" xr:uid="{00000000-0005-0000-0000-00004D040000}"/>
    <cellStyle name="20% - Akzent1 144 2" xfId="1104" xr:uid="{00000000-0005-0000-0000-00004E040000}"/>
    <cellStyle name="20% - Akzent1 145" xfId="1105" xr:uid="{00000000-0005-0000-0000-00004F040000}"/>
    <cellStyle name="20% - Akzent1 145 2" xfId="1106" xr:uid="{00000000-0005-0000-0000-000050040000}"/>
    <cellStyle name="20% - Akzent1 146" xfId="1107" xr:uid="{00000000-0005-0000-0000-000051040000}"/>
    <cellStyle name="20% - Akzent1 146 2" xfId="1108" xr:uid="{00000000-0005-0000-0000-000052040000}"/>
    <cellStyle name="20% - Akzent1 147" xfId="1109" xr:uid="{00000000-0005-0000-0000-000053040000}"/>
    <cellStyle name="20% - Akzent1 147 2" xfId="1110" xr:uid="{00000000-0005-0000-0000-000054040000}"/>
    <cellStyle name="20% - Akzent1 148" xfId="1111" xr:uid="{00000000-0005-0000-0000-000055040000}"/>
    <cellStyle name="20% - Akzent1 148 2" xfId="1112" xr:uid="{00000000-0005-0000-0000-000056040000}"/>
    <cellStyle name="20% - Akzent1 149" xfId="1113" xr:uid="{00000000-0005-0000-0000-000057040000}"/>
    <cellStyle name="20% - Akzent1 149 2" xfId="1114" xr:uid="{00000000-0005-0000-0000-000058040000}"/>
    <cellStyle name="20% - Akzent1 15" xfId="1115" xr:uid="{00000000-0005-0000-0000-000059040000}"/>
    <cellStyle name="20% - Akzent1 15 2" xfId="1116" xr:uid="{00000000-0005-0000-0000-00005A040000}"/>
    <cellStyle name="20% - Akzent1 150" xfId="1117" xr:uid="{00000000-0005-0000-0000-00005B040000}"/>
    <cellStyle name="20% - Akzent1 150 2" xfId="1118" xr:uid="{00000000-0005-0000-0000-00005C040000}"/>
    <cellStyle name="20% - Akzent1 151" xfId="1119" xr:uid="{00000000-0005-0000-0000-00005D040000}"/>
    <cellStyle name="20% - Akzent1 151 2" xfId="1120" xr:uid="{00000000-0005-0000-0000-00005E040000}"/>
    <cellStyle name="20% - Akzent1 16" xfId="1121" xr:uid="{00000000-0005-0000-0000-00005F040000}"/>
    <cellStyle name="20% - Akzent1 16 2" xfId="1122" xr:uid="{00000000-0005-0000-0000-000060040000}"/>
    <cellStyle name="20% - Akzent1 17" xfId="1123" xr:uid="{00000000-0005-0000-0000-000061040000}"/>
    <cellStyle name="20% - Akzent1 17 2" xfId="1124" xr:uid="{00000000-0005-0000-0000-000062040000}"/>
    <cellStyle name="20% - Akzent1 18" xfId="1125" xr:uid="{00000000-0005-0000-0000-000063040000}"/>
    <cellStyle name="20% - Akzent1 18 2" xfId="1126" xr:uid="{00000000-0005-0000-0000-000064040000}"/>
    <cellStyle name="20% - Akzent1 19" xfId="1127" xr:uid="{00000000-0005-0000-0000-000065040000}"/>
    <cellStyle name="20% - Akzent1 19 2" xfId="1128" xr:uid="{00000000-0005-0000-0000-000066040000}"/>
    <cellStyle name="20% - Akzent1 2" xfId="1129" xr:uid="{00000000-0005-0000-0000-000067040000}"/>
    <cellStyle name="20% - Akzent1 2 2" xfId="1130" xr:uid="{00000000-0005-0000-0000-000068040000}"/>
    <cellStyle name="20% - Akzent1 2 3" xfId="1131" xr:uid="{00000000-0005-0000-0000-000069040000}"/>
    <cellStyle name="20% - Akzent1 2 4" xfId="1132" xr:uid="{00000000-0005-0000-0000-00006A040000}"/>
    <cellStyle name="20% - Akzent1 2 4 2" xfId="1133" xr:uid="{00000000-0005-0000-0000-00006B040000}"/>
    <cellStyle name="20% - Akzent1 2 5" xfId="1134" xr:uid="{00000000-0005-0000-0000-00006C040000}"/>
    <cellStyle name="20% - Akzent1 20" xfId="1135" xr:uid="{00000000-0005-0000-0000-00006D040000}"/>
    <cellStyle name="20% - Akzent1 20 2" xfId="1136" xr:uid="{00000000-0005-0000-0000-00006E040000}"/>
    <cellStyle name="20% - Akzent1 21" xfId="1137" xr:uid="{00000000-0005-0000-0000-00006F040000}"/>
    <cellStyle name="20% - Akzent1 21 2" xfId="1138" xr:uid="{00000000-0005-0000-0000-000070040000}"/>
    <cellStyle name="20% - Akzent1 22" xfId="1139" xr:uid="{00000000-0005-0000-0000-000071040000}"/>
    <cellStyle name="20% - Akzent1 22 2" xfId="1140" xr:uid="{00000000-0005-0000-0000-000072040000}"/>
    <cellStyle name="20% - Akzent1 23" xfId="1141" xr:uid="{00000000-0005-0000-0000-000073040000}"/>
    <cellStyle name="20% - Akzent1 23 2" xfId="1142" xr:uid="{00000000-0005-0000-0000-000074040000}"/>
    <cellStyle name="20% - Akzent1 24" xfId="1143" xr:uid="{00000000-0005-0000-0000-000075040000}"/>
    <cellStyle name="20% - Akzent1 24 2" xfId="1144" xr:uid="{00000000-0005-0000-0000-000076040000}"/>
    <cellStyle name="20% - Akzent1 25" xfId="1145" xr:uid="{00000000-0005-0000-0000-000077040000}"/>
    <cellStyle name="20% - Akzent1 25 2" xfId="1146" xr:uid="{00000000-0005-0000-0000-000078040000}"/>
    <cellStyle name="20% - Akzent1 26" xfId="1147" xr:uid="{00000000-0005-0000-0000-000079040000}"/>
    <cellStyle name="20% - Akzent1 26 2" xfId="1148" xr:uid="{00000000-0005-0000-0000-00007A040000}"/>
    <cellStyle name="20% - Akzent1 27" xfId="1149" xr:uid="{00000000-0005-0000-0000-00007B040000}"/>
    <cellStyle name="20% - Akzent1 27 2" xfId="1150" xr:uid="{00000000-0005-0000-0000-00007C040000}"/>
    <cellStyle name="20% - Akzent1 28" xfId="1151" xr:uid="{00000000-0005-0000-0000-00007D040000}"/>
    <cellStyle name="20% - Akzent1 28 2" xfId="1152" xr:uid="{00000000-0005-0000-0000-00007E040000}"/>
    <cellStyle name="20% - Akzent1 29" xfId="1153" xr:uid="{00000000-0005-0000-0000-00007F040000}"/>
    <cellStyle name="20% - Akzent1 29 2" xfId="1154" xr:uid="{00000000-0005-0000-0000-000080040000}"/>
    <cellStyle name="20% - Akzent1 3" xfId="1155" xr:uid="{00000000-0005-0000-0000-000081040000}"/>
    <cellStyle name="20% - Akzent1 3 2" xfId="1156" xr:uid="{00000000-0005-0000-0000-000082040000}"/>
    <cellStyle name="20% - Akzent1 3 3" xfId="1157" xr:uid="{00000000-0005-0000-0000-000083040000}"/>
    <cellStyle name="20% - Akzent1 3 4" xfId="1158" xr:uid="{00000000-0005-0000-0000-000084040000}"/>
    <cellStyle name="20% - Akzent1 3 4 2" xfId="1159" xr:uid="{00000000-0005-0000-0000-000085040000}"/>
    <cellStyle name="20% - Akzent1 3 5" xfId="1160" xr:uid="{00000000-0005-0000-0000-000086040000}"/>
    <cellStyle name="20% - Akzent1 30" xfId="1161" xr:uid="{00000000-0005-0000-0000-000087040000}"/>
    <cellStyle name="20% - Akzent1 30 2" xfId="1162" xr:uid="{00000000-0005-0000-0000-000088040000}"/>
    <cellStyle name="20% - Akzent1 31" xfId="1163" xr:uid="{00000000-0005-0000-0000-000089040000}"/>
    <cellStyle name="20% - Akzent1 31 2" xfId="1164" xr:uid="{00000000-0005-0000-0000-00008A040000}"/>
    <cellStyle name="20% - Akzent1 32" xfId="1165" xr:uid="{00000000-0005-0000-0000-00008B040000}"/>
    <cellStyle name="20% - Akzent1 32 2" xfId="1166" xr:uid="{00000000-0005-0000-0000-00008C040000}"/>
    <cellStyle name="20% - Akzent1 33" xfId="1167" xr:uid="{00000000-0005-0000-0000-00008D040000}"/>
    <cellStyle name="20% - Akzent1 33 2" xfId="1168" xr:uid="{00000000-0005-0000-0000-00008E040000}"/>
    <cellStyle name="20% - Akzent1 34" xfId="1169" xr:uid="{00000000-0005-0000-0000-00008F040000}"/>
    <cellStyle name="20% - Akzent1 34 2" xfId="1170" xr:uid="{00000000-0005-0000-0000-000090040000}"/>
    <cellStyle name="20% - Akzent1 35" xfId="1171" xr:uid="{00000000-0005-0000-0000-000091040000}"/>
    <cellStyle name="20% - Akzent1 35 2" xfId="1172" xr:uid="{00000000-0005-0000-0000-000092040000}"/>
    <cellStyle name="20% - Akzent1 36" xfId="1173" xr:uid="{00000000-0005-0000-0000-000093040000}"/>
    <cellStyle name="20% - Akzent1 36 2" xfId="1174" xr:uid="{00000000-0005-0000-0000-000094040000}"/>
    <cellStyle name="20% - Akzent1 37" xfId="1175" xr:uid="{00000000-0005-0000-0000-000095040000}"/>
    <cellStyle name="20% - Akzent1 37 2" xfId="1176" xr:uid="{00000000-0005-0000-0000-000096040000}"/>
    <cellStyle name="20% - Akzent1 38" xfId="1177" xr:uid="{00000000-0005-0000-0000-000097040000}"/>
    <cellStyle name="20% - Akzent1 38 2" xfId="1178" xr:uid="{00000000-0005-0000-0000-000098040000}"/>
    <cellStyle name="20% - Akzent1 39" xfId="1179" xr:uid="{00000000-0005-0000-0000-000099040000}"/>
    <cellStyle name="20% - Akzent1 39 2" xfId="1180" xr:uid="{00000000-0005-0000-0000-00009A040000}"/>
    <cellStyle name="20% - Akzent1 4" xfId="1181" xr:uid="{00000000-0005-0000-0000-00009B040000}"/>
    <cellStyle name="20% - Akzent1 4 2" xfId="1182" xr:uid="{00000000-0005-0000-0000-00009C040000}"/>
    <cellStyle name="20% - Akzent1 4 3" xfId="1183" xr:uid="{00000000-0005-0000-0000-00009D040000}"/>
    <cellStyle name="20% - Akzent1 4 4" xfId="1184" xr:uid="{00000000-0005-0000-0000-00009E040000}"/>
    <cellStyle name="20% - Akzent1 4 4 2" xfId="1185" xr:uid="{00000000-0005-0000-0000-00009F040000}"/>
    <cellStyle name="20% - Akzent1 4 5" xfId="1186" xr:uid="{00000000-0005-0000-0000-0000A0040000}"/>
    <cellStyle name="20% - Akzent1 40" xfId="1187" xr:uid="{00000000-0005-0000-0000-0000A1040000}"/>
    <cellStyle name="20% - Akzent1 40 2" xfId="1188" xr:uid="{00000000-0005-0000-0000-0000A2040000}"/>
    <cellStyle name="20% - Akzent1 41" xfId="1189" xr:uid="{00000000-0005-0000-0000-0000A3040000}"/>
    <cellStyle name="20% - Akzent1 41 2" xfId="1190" xr:uid="{00000000-0005-0000-0000-0000A4040000}"/>
    <cellStyle name="20% - Akzent1 42" xfId="1191" xr:uid="{00000000-0005-0000-0000-0000A5040000}"/>
    <cellStyle name="20% - Akzent1 42 2" xfId="1192" xr:uid="{00000000-0005-0000-0000-0000A6040000}"/>
    <cellStyle name="20% - Akzent1 43" xfId="1193" xr:uid="{00000000-0005-0000-0000-0000A7040000}"/>
    <cellStyle name="20% - Akzent1 43 2" xfId="1194" xr:uid="{00000000-0005-0000-0000-0000A8040000}"/>
    <cellStyle name="20% - Akzent1 44" xfId="1195" xr:uid="{00000000-0005-0000-0000-0000A9040000}"/>
    <cellStyle name="20% - Akzent1 44 2" xfId="1196" xr:uid="{00000000-0005-0000-0000-0000AA040000}"/>
    <cellStyle name="20% - Akzent1 45" xfId="1197" xr:uid="{00000000-0005-0000-0000-0000AB040000}"/>
    <cellStyle name="20% - Akzent1 45 2" xfId="1198" xr:uid="{00000000-0005-0000-0000-0000AC040000}"/>
    <cellStyle name="20% - Akzent1 46" xfId="1199" xr:uid="{00000000-0005-0000-0000-0000AD040000}"/>
    <cellStyle name="20% - Akzent1 46 2" xfId="1200" xr:uid="{00000000-0005-0000-0000-0000AE040000}"/>
    <cellStyle name="20% - Akzent1 47" xfId="1201" xr:uid="{00000000-0005-0000-0000-0000AF040000}"/>
    <cellStyle name="20% - Akzent1 47 2" xfId="1202" xr:uid="{00000000-0005-0000-0000-0000B0040000}"/>
    <cellStyle name="20% - Akzent1 48" xfId="1203" xr:uid="{00000000-0005-0000-0000-0000B1040000}"/>
    <cellStyle name="20% - Akzent1 48 2" xfId="1204" xr:uid="{00000000-0005-0000-0000-0000B2040000}"/>
    <cellStyle name="20% - Akzent1 49" xfId="1205" xr:uid="{00000000-0005-0000-0000-0000B3040000}"/>
    <cellStyle name="20% - Akzent1 49 2" xfId="1206" xr:uid="{00000000-0005-0000-0000-0000B4040000}"/>
    <cellStyle name="20% - Akzent1 5" xfId="1207" xr:uid="{00000000-0005-0000-0000-0000B5040000}"/>
    <cellStyle name="20% - Akzent1 5 2" xfId="1208" xr:uid="{00000000-0005-0000-0000-0000B6040000}"/>
    <cellStyle name="20% - Akzent1 50" xfId="1209" xr:uid="{00000000-0005-0000-0000-0000B7040000}"/>
    <cellStyle name="20% - Akzent1 50 2" xfId="1210" xr:uid="{00000000-0005-0000-0000-0000B8040000}"/>
    <cellStyle name="20% - Akzent1 51" xfId="1211" xr:uid="{00000000-0005-0000-0000-0000B9040000}"/>
    <cellStyle name="20% - Akzent1 51 2" xfId="1212" xr:uid="{00000000-0005-0000-0000-0000BA040000}"/>
    <cellStyle name="20% - Akzent1 52" xfId="1213" xr:uid="{00000000-0005-0000-0000-0000BB040000}"/>
    <cellStyle name="20% - Akzent1 52 2" xfId="1214" xr:uid="{00000000-0005-0000-0000-0000BC040000}"/>
    <cellStyle name="20% - Akzent1 53" xfId="1215" xr:uid="{00000000-0005-0000-0000-0000BD040000}"/>
    <cellStyle name="20% - Akzent1 53 2" xfId="1216" xr:uid="{00000000-0005-0000-0000-0000BE040000}"/>
    <cellStyle name="20% - Akzent1 54" xfId="1217" xr:uid="{00000000-0005-0000-0000-0000BF040000}"/>
    <cellStyle name="20% - Akzent1 54 2" xfId="1218" xr:uid="{00000000-0005-0000-0000-0000C0040000}"/>
    <cellStyle name="20% - Akzent1 55" xfId="1219" xr:uid="{00000000-0005-0000-0000-0000C1040000}"/>
    <cellStyle name="20% - Akzent1 55 2" xfId="1220" xr:uid="{00000000-0005-0000-0000-0000C2040000}"/>
    <cellStyle name="20% - Akzent1 56" xfId="1221" xr:uid="{00000000-0005-0000-0000-0000C3040000}"/>
    <cellStyle name="20% - Akzent1 56 2" xfId="1222" xr:uid="{00000000-0005-0000-0000-0000C4040000}"/>
    <cellStyle name="20% - Akzent1 57" xfId="1223" xr:uid="{00000000-0005-0000-0000-0000C5040000}"/>
    <cellStyle name="20% - Akzent1 57 2" xfId="1224" xr:uid="{00000000-0005-0000-0000-0000C6040000}"/>
    <cellStyle name="20% - Akzent1 58" xfId="1225" xr:uid="{00000000-0005-0000-0000-0000C7040000}"/>
    <cellStyle name="20% - Akzent1 58 2" xfId="1226" xr:uid="{00000000-0005-0000-0000-0000C8040000}"/>
    <cellStyle name="20% - Akzent1 59" xfId="1227" xr:uid="{00000000-0005-0000-0000-0000C9040000}"/>
    <cellStyle name="20% - Akzent1 59 2" xfId="1228" xr:uid="{00000000-0005-0000-0000-0000CA040000}"/>
    <cellStyle name="20% - Akzent1 6" xfId="1229" xr:uid="{00000000-0005-0000-0000-0000CB040000}"/>
    <cellStyle name="20% - Akzent1 6 2" xfId="1230" xr:uid="{00000000-0005-0000-0000-0000CC040000}"/>
    <cellStyle name="20% - Akzent1 60" xfId="1231" xr:uid="{00000000-0005-0000-0000-0000CD040000}"/>
    <cellStyle name="20% - Akzent1 60 2" xfId="1232" xr:uid="{00000000-0005-0000-0000-0000CE040000}"/>
    <cellStyle name="20% - Akzent1 61" xfId="1233" xr:uid="{00000000-0005-0000-0000-0000CF040000}"/>
    <cellStyle name="20% - Akzent1 61 2" xfId="1234" xr:uid="{00000000-0005-0000-0000-0000D0040000}"/>
    <cellStyle name="20% - Akzent1 62" xfId="1235" xr:uid="{00000000-0005-0000-0000-0000D1040000}"/>
    <cellStyle name="20% - Akzent1 62 2" xfId="1236" xr:uid="{00000000-0005-0000-0000-0000D2040000}"/>
    <cellStyle name="20% - Akzent1 63" xfId="1237" xr:uid="{00000000-0005-0000-0000-0000D3040000}"/>
    <cellStyle name="20% - Akzent1 63 2" xfId="1238" xr:uid="{00000000-0005-0000-0000-0000D4040000}"/>
    <cellStyle name="20% - Akzent1 64" xfId="1239" xr:uid="{00000000-0005-0000-0000-0000D5040000}"/>
    <cellStyle name="20% - Akzent1 64 2" xfId="1240" xr:uid="{00000000-0005-0000-0000-0000D6040000}"/>
    <cellStyle name="20% - Akzent1 65" xfId="1241" xr:uid="{00000000-0005-0000-0000-0000D7040000}"/>
    <cellStyle name="20% - Akzent1 65 2" xfId="1242" xr:uid="{00000000-0005-0000-0000-0000D8040000}"/>
    <cellStyle name="20% - Akzent1 66" xfId="1243" xr:uid="{00000000-0005-0000-0000-0000D9040000}"/>
    <cellStyle name="20% - Akzent1 66 2" xfId="1244" xr:uid="{00000000-0005-0000-0000-0000DA040000}"/>
    <cellStyle name="20% - Akzent1 67" xfId="1245" xr:uid="{00000000-0005-0000-0000-0000DB040000}"/>
    <cellStyle name="20% - Akzent1 67 2" xfId="1246" xr:uid="{00000000-0005-0000-0000-0000DC040000}"/>
    <cellStyle name="20% - Akzent1 68" xfId="1247" xr:uid="{00000000-0005-0000-0000-0000DD040000}"/>
    <cellStyle name="20% - Akzent1 68 2" xfId="1248" xr:uid="{00000000-0005-0000-0000-0000DE040000}"/>
    <cellStyle name="20% - Akzent1 69" xfId="1249" xr:uid="{00000000-0005-0000-0000-0000DF040000}"/>
    <cellStyle name="20% - Akzent1 69 2" xfId="1250" xr:uid="{00000000-0005-0000-0000-0000E0040000}"/>
    <cellStyle name="20% - Akzent1 7" xfId="1251" xr:uid="{00000000-0005-0000-0000-0000E1040000}"/>
    <cellStyle name="20% - Akzent1 7 2" xfId="1252" xr:uid="{00000000-0005-0000-0000-0000E2040000}"/>
    <cellStyle name="20% - Akzent1 70" xfId="1253" xr:uid="{00000000-0005-0000-0000-0000E3040000}"/>
    <cellStyle name="20% - Akzent1 70 2" xfId="1254" xr:uid="{00000000-0005-0000-0000-0000E4040000}"/>
    <cellStyle name="20% - Akzent1 71" xfId="1255" xr:uid="{00000000-0005-0000-0000-0000E5040000}"/>
    <cellStyle name="20% - Akzent1 71 2" xfId="1256" xr:uid="{00000000-0005-0000-0000-0000E6040000}"/>
    <cellStyle name="20% - Akzent1 72" xfId="1257" xr:uid="{00000000-0005-0000-0000-0000E7040000}"/>
    <cellStyle name="20% - Akzent1 72 2" xfId="1258" xr:uid="{00000000-0005-0000-0000-0000E8040000}"/>
    <cellStyle name="20% - Akzent1 73" xfId="1259" xr:uid="{00000000-0005-0000-0000-0000E9040000}"/>
    <cellStyle name="20% - Akzent1 73 2" xfId="1260" xr:uid="{00000000-0005-0000-0000-0000EA040000}"/>
    <cellStyle name="20% - Akzent1 74" xfId="1261" xr:uid="{00000000-0005-0000-0000-0000EB040000}"/>
    <cellStyle name="20% - Akzent1 74 2" xfId="1262" xr:uid="{00000000-0005-0000-0000-0000EC040000}"/>
    <cellStyle name="20% - Akzent1 75" xfId="1263" xr:uid="{00000000-0005-0000-0000-0000ED040000}"/>
    <cellStyle name="20% - Akzent1 75 2" xfId="1264" xr:uid="{00000000-0005-0000-0000-0000EE040000}"/>
    <cellStyle name="20% - Akzent1 76" xfId="1265" xr:uid="{00000000-0005-0000-0000-0000EF040000}"/>
    <cellStyle name="20% - Akzent1 76 2" xfId="1266" xr:uid="{00000000-0005-0000-0000-0000F0040000}"/>
    <cellStyle name="20% - Akzent1 77" xfId="1267" xr:uid="{00000000-0005-0000-0000-0000F1040000}"/>
    <cellStyle name="20% - Akzent1 77 2" xfId="1268" xr:uid="{00000000-0005-0000-0000-0000F2040000}"/>
    <cellStyle name="20% - Akzent1 78" xfId="1269" xr:uid="{00000000-0005-0000-0000-0000F3040000}"/>
    <cellStyle name="20% - Akzent1 78 2" xfId="1270" xr:uid="{00000000-0005-0000-0000-0000F4040000}"/>
    <cellStyle name="20% - Akzent1 79" xfId="1271" xr:uid="{00000000-0005-0000-0000-0000F5040000}"/>
    <cellStyle name="20% - Akzent1 79 2" xfId="1272" xr:uid="{00000000-0005-0000-0000-0000F6040000}"/>
    <cellStyle name="20% - Akzent1 8" xfId="1273" xr:uid="{00000000-0005-0000-0000-0000F7040000}"/>
    <cellStyle name="20% - Akzent1 8 2" xfId="1274" xr:uid="{00000000-0005-0000-0000-0000F8040000}"/>
    <cellStyle name="20% - Akzent1 80" xfId="1275" xr:uid="{00000000-0005-0000-0000-0000F9040000}"/>
    <cellStyle name="20% - Akzent1 80 2" xfId="1276" xr:uid="{00000000-0005-0000-0000-0000FA040000}"/>
    <cellStyle name="20% - Akzent1 81" xfId="1277" xr:uid="{00000000-0005-0000-0000-0000FB040000}"/>
    <cellStyle name="20% - Akzent1 81 2" xfId="1278" xr:uid="{00000000-0005-0000-0000-0000FC040000}"/>
    <cellStyle name="20% - Akzent1 82" xfId="1279" xr:uid="{00000000-0005-0000-0000-0000FD040000}"/>
    <cellStyle name="20% - Akzent1 82 2" xfId="1280" xr:uid="{00000000-0005-0000-0000-0000FE040000}"/>
    <cellStyle name="20% - Akzent1 83" xfId="1281" xr:uid="{00000000-0005-0000-0000-0000FF040000}"/>
    <cellStyle name="20% - Akzent1 83 2" xfId="1282" xr:uid="{00000000-0005-0000-0000-000000050000}"/>
    <cellStyle name="20% - Akzent1 84" xfId="1283" xr:uid="{00000000-0005-0000-0000-000001050000}"/>
    <cellStyle name="20% - Akzent1 84 2" xfId="1284" xr:uid="{00000000-0005-0000-0000-000002050000}"/>
    <cellStyle name="20% - Akzent1 85" xfId="1285" xr:uid="{00000000-0005-0000-0000-000003050000}"/>
    <cellStyle name="20% - Akzent1 85 2" xfId="1286" xr:uid="{00000000-0005-0000-0000-000004050000}"/>
    <cellStyle name="20% - Akzent1 86" xfId="1287" xr:uid="{00000000-0005-0000-0000-000005050000}"/>
    <cellStyle name="20% - Akzent1 86 2" xfId="1288" xr:uid="{00000000-0005-0000-0000-000006050000}"/>
    <cellStyle name="20% - Akzent1 87" xfId="1289" xr:uid="{00000000-0005-0000-0000-000007050000}"/>
    <cellStyle name="20% - Akzent1 87 2" xfId="1290" xr:uid="{00000000-0005-0000-0000-000008050000}"/>
    <cellStyle name="20% - Akzent1 88" xfId="1291" xr:uid="{00000000-0005-0000-0000-000009050000}"/>
    <cellStyle name="20% - Akzent1 88 2" xfId="1292" xr:uid="{00000000-0005-0000-0000-00000A050000}"/>
    <cellStyle name="20% - Akzent1 89" xfId="1293" xr:uid="{00000000-0005-0000-0000-00000B050000}"/>
    <cellStyle name="20% - Akzent1 89 2" xfId="1294" xr:uid="{00000000-0005-0000-0000-00000C050000}"/>
    <cellStyle name="20% - Akzent1 9" xfId="1295" xr:uid="{00000000-0005-0000-0000-00000D050000}"/>
    <cellStyle name="20% - Akzent1 9 2" xfId="1296" xr:uid="{00000000-0005-0000-0000-00000E050000}"/>
    <cellStyle name="20% - Akzent1 90" xfId="1297" xr:uid="{00000000-0005-0000-0000-00000F050000}"/>
    <cellStyle name="20% - Akzent1 90 2" xfId="1298" xr:uid="{00000000-0005-0000-0000-000010050000}"/>
    <cellStyle name="20% - Akzent1 91" xfId="1299" xr:uid="{00000000-0005-0000-0000-000011050000}"/>
    <cellStyle name="20% - Akzent1 91 2" xfId="1300" xr:uid="{00000000-0005-0000-0000-000012050000}"/>
    <cellStyle name="20% - Akzent1 92" xfId="1301" xr:uid="{00000000-0005-0000-0000-000013050000}"/>
    <cellStyle name="20% - Akzent1 92 2" xfId="1302" xr:uid="{00000000-0005-0000-0000-000014050000}"/>
    <cellStyle name="20% - Akzent1 93" xfId="1303" xr:uid="{00000000-0005-0000-0000-000015050000}"/>
    <cellStyle name="20% - Akzent1 93 2" xfId="1304" xr:uid="{00000000-0005-0000-0000-000016050000}"/>
    <cellStyle name="20% - Akzent1 94" xfId="1305" xr:uid="{00000000-0005-0000-0000-000017050000}"/>
    <cellStyle name="20% - Akzent1 94 2" xfId="1306" xr:uid="{00000000-0005-0000-0000-000018050000}"/>
    <cellStyle name="20% - Akzent1 95" xfId="1307" xr:uid="{00000000-0005-0000-0000-000019050000}"/>
    <cellStyle name="20% - Akzent1 95 2" xfId="1308" xr:uid="{00000000-0005-0000-0000-00001A050000}"/>
    <cellStyle name="20% - Akzent1 96" xfId="1309" xr:uid="{00000000-0005-0000-0000-00001B050000}"/>
    <cellStyle name="20% - Akzent1 96 2" xfId="1310" xr:uid="{00000000-0005-0000-0000-00001C050000}"/>
    <cellStyle name="20% - Akzent1 97" xfId="1311" xr:uid="{00000000-0005-0000-0000-00001D050000}"/>
    <cellStyle name="20% - Akzent1 97 2" xfId="1312" xr:uid="{00000000-0005-0000-0000-00001E050000}"/>
    <cellStyle name="20% - Akzent1 98" xfId="1313" xr:uid="{00000000-0005-0000-0000-00001F050000}"/>
    <cellStyle name="20% - Akzent1 98 2" xfId="1314" xr:uid="{00000000-0005-0000-0000-000020050000}"/>
    <cellStyle name="20% - Akzent1 99" xfId="1315" xr:uid="{00000000-0005-0000-0000-000021050000}"/>
    <cellStyle name="20% - Akzent1 99 2" xfId="1316" xr:uid="{00000000-0005-0000-0000-000022050000}"/>
    <cellStyle name="20% - Akzent2 10" xfId="1317" xr:uid="{00000000-0005-0000-0000-000023050000}"/>
    <cellStyle name="20% - Akzent2 10 2" xfId="1318" xr:uid="{00000000-0005-0000-0000-000024050000}"/>
    <cellStyle name="20% - Akzent2 100" xfId="1319" xr:uid="{00000000-0005-0000-0000-000025050000}"/>
    <cellStyle name="20% - Akzent2 100 2" xfId="1320" xr:uid="{00000000-0005-0000-0000-000026050000}"/>
    <cellStyle name="20% - Akzent2 101" xfId="1321" xr:uid="{00000000-0005-0000-0000-000027050000}"/>
    <cellStyle name="20% - Akzent2 101 2" xfId="1322" xr:uid="{00000000-0005-0000-0000-000028050000}"/>
    <cellStyle name="20% - Akzent2 102" xfId="1323" xr:uid="{00000000-0005-0000-0000-000029050000}"/>
    <cellStyle name="20% - Akzent2 102 2" xfId="1324" xr:uid="{00000000-0005-0000-0000-00002A050000}"/>
    <cellStyle name="20% - Akzent2 103" xfId="1325" xr:uid="{00000000-0005-0000-0000-00002B050000}"/>
    <cellStyle name="20% - Akzent2 103 2" xfId="1326" xr:uid="{00000000-0005-0000-0000-00002C050000}"/>
    <cellStyle name="20% - Akzent2 104" xfId="1327" xr:uid="{00000000-0005-0000-0000-00002D050000}"/>
    <cellStyle name="20% - Akzent2 104 2" xfId="1328" xr:uid="{00000000-0005-0000-0000-00002E050000}"/>
    <cellStyle name="20% - Akzent2 105" xfId="1329" xr:uid="{00000000-0005-0000-0000-00002F050000}"/>
    <cellStyle name="20% - Akzent2 105 2" xfId="1330" xr:uid="{00000000-0005-0000-0000-000030050000}"/>
    <cellStyle name="20% - Akzent2 106" xfId="1331" xr:uid="{00000000-0005-0000-0000-000031050000}"/>
    <cellStyle name="20% - Akzent2 106 2" xfId="1332" xr:uid="{00000000-0005-0000-0000-000032050000}"/>
    <cellStyle name="20% - Akzent2 107" xfId="1333" xr:uid="{00000000-0005-0000-0000-000033050000}"/>
    <cellStyle name="20% - Akzent2 107 2" xfId="1334" xr:uid="{00000000-0005-0000-0000-000034050000}"/>
    <cellStyle name="20% - Akzent2 108" xfId="1335" xr:uid="{00000000-0005-0000-0000-000035050000}"/>
    <cellStyle name="20% - Akzent2 108 2" xfId="1336" xr:uid="{00000000-0005-0000-0000-000036050000}"/>
    <cellStyle name="20% - Akzent2 109" xfId="1337" xr:uid="{00000000-0005-0000-0000-000037050000}"/>
    <cellStyle name="20% - Akzent2 109 2" xfId="1338" xr:uid="{00000000-0005-0000-0000-000038050000}"/>
    <cellStyle name="20% - Akzent2 11" xfId="1339" xr:uid="{00000000-0005-0000-0000-000039050000}"/>
    <cellStyle name="20% - Akzent2 11 2" xfId="1340" xr:uid="{00000000-0005-0000-0000-00003A050000}"/>
    <cellStyle name="20% - Akzent2 110" xfId="1341" xr:uid="{00000000-0005-0000-0000-00003B050000}"/>
    <cellStyle name="20% - Akzent2 110 2" xfId="1342" xr:uid="{00000000-0005-0000-0000-00003C050000}"/>
    <cellStyle name="20% - Akzent2 111" xfId="1343" xr:uid="{00000000-0005-0000-0000-00003D050000}"/>
    <cellStyle name="20% - Akzent2 111 2" xfId="1344" xr:uid="{00000000-0005-0000-0000-00003E050000}"/>
    <cellStyle name="20% - Akzent2 112" xfId="1345" xr:uid="{00000000-0005-0000-0000-00003F050000}"/>
    <cellStyle name="20% - Akzent2 112 2" xfId="1346" xr:uid="{00000000-0005-0000-0000-000040050000}"/>
    <cellStyle name="20% - Akzent2 113" xfId="1347" xr:uid="{00000000-0005-0000-0000-000041050000}"/>
    <cellStyle name="20% - Akzent2 113 2" xfId="1348" xr:uid="{00000000-0005-0000-0000-000042050000}"/>
    <cellStyle name="20% - Akzent2 114" xfId="1349" xr:uid="{00000000-0005-0000-0000-000043050000}"/>
    <cellStyle name="20% - Akzent2 114 2" xfId="1350" xr:uid="{00000000-0005-0000-0000-000044050000}"/>
    <cellStyle name="20% - Akzent2 115" xfId="1351" xr:uid="{00000000-0005-0000-0000-000045050000}"/>
    <cellStyle name="20% - Akzent2 115 2" xfId="1352" xr:uid="{00000000-0005-0000-0000-000046050000}"/>
    <cellStyle name="20% - Akzent2 116" xfId="1353" xr:uid="{00000000-0005-0000-0000-000047050000}"/>
    <cellStyle name="20% - Akzent2 116 2" xfId="1354" xr:uid="{00000000-0005-0000-0000-000048050000}"/>
    <cellStyle name="20% - Akzent2 117" xfId="1355" xr:uid="{00000000-0005-0000-0000-000049050000}"/>
    <cellStyle name="20% - Akzent2 117 2" xfId="1356" xr:uid="{00000000-0005-0000-0000-00004A050000}"/>
    <cellStyle name="20% - Akzent2 118" xfId="1357" xr:uid="{00000000-0005-0000-0000-00004B050000}"/>
    <cellStyle name="20% - Akzent2 118 2" xfId="1358" xr:uid="{00000000-0005-0000-0000-00004C050000}"/>
    <cellStyle name="20% - Akzent2 119" xfId="1359" xr:uid="{00000000-0005-0000-0000-00004D050000}"/>
    <cellStyle name="20% - Akzent2 119 2" xfId="1360" xr:uid="{00000000-0005-0000-0000-00004E050000}"/>
    <cellStyle name="20% - Akzent2 12" xfId="1361" xr:uid="{00000000-0005-0000-0000-00004F050000}"/>
    <cellStyle name="20% - Akzent2 12 2" xfId="1362" xr:uid="{00000000-0005-0000-0000-000050050000}"/>
    <cellStyle name="20% - Akzent2 120" xfId="1363" xr:uid="{00000000-0005-0000-0000-000051050000}"/>
    <cellStyle name="20% - Akzent2 120 2" xfId="1364" xr:uid="{00000000-0005-0000-0000-000052050000}"/>
    <cellStyle name="20% - Akzent2 121" xfId="1365" xr:uid="{00000000-0005-0000-0000-000053050000}"/>
    <cellStyle name="20% - Akzent2 121 2" xfId="1366" xr:uid="{00000000-0005-0000-0000-000054050000}"/>
    <cellStyle name="20% - Akzent2 122" xfId="1367" xr:uid="{00000000-0005-0000-0000-000055050000}"/>
    <cellStyle name="20% - Akzent2 122 2" xfId="1368" xr:uid="{00000000-0005-0000-0000-000056050000}"/>
    <cellStyle name="20% - Akzent2 123" xfId="1369" xr:uid="{00000000-0005-0000-0000-000057050000}"/>
    <cellStyle name="20% - Akzent2 123 2" xfId="1370" xr:uid="{00000000-0005-0000-0000-000058050000}"/>
    <cellStyle name="20% - Akzent2 124" xfId="1371" xr:uid="{00000000-0005-0000-0000-000059050000}"/>
    <cellStyle name="20% - Akzent2 124 2" xfId="1372" xr:uid="{00000000-0005-0000-0000-00005A050000}"/>
    <cellStyle name="20% - Akzent2 125" xfId="1373" xr:uid="{00000000-0005-0000-0000-00005B050000}"/>
    <cellStyle name="20% - Akzent2 125 2" xfId="1374" xr:uid="{00000000-0005-0000-0000-00005C050000}"/>
    <cellStyle name="20% - Akzent2 126" xfId="1375" xr:uid="{00000000-0005-0000-0000-00005D050000}"/>
    <cellStyle name="20% - Akzent2 126 2" xfId="1376" xr:uid="{00000000-0005-0000-0000-00005E050000}"/>
    <cellStyle name="20% - Akzent2 127" xfId="1377" xr:uid="{00000000-0005-0000-0000-00005F050000}"/>
    <cellStyle name="20% - Akzent2 127 2" xfId="1378" xr:uid="{00000000-0005-0000-0000-000060050000}"/>
    <cellStyle name="20% - Akzent2 128" xfId="1379" xr:uid="{00000000-0005-0000-0000-000061050000}"/>
    <cellStyle name="20% - Akzent2 128 2" xfId="1380" xr:uid="{00000000-0005-0000-0000-000062050000}"/>
    <cellStyle name="20% - Akzent2 129" xfId="1381" xr:uid="{00000000-0005-0000-0000-000063050000}"/>
    <cellStyle name="20% - Akzent2 129 2" xfId="1382" xr:uid="{00000000-0005-0000-0000-000064050000}"/>
    <cellStyle name="20% - Akzent2 13" xfId="1383" xr:uid="{00000000-0005-0000-0000-000065050000}"/>
    <cellStyle name="20% - Akzent2 13 2" xfId="1384" xr:uid="{00000000-0005-0000-0000-000066050000}"/>
    <cellStyle name="20% - Akzent2 130" xfId="1385" xr:uid="{00000000-0005-0000-0000-000067050000}"/>
    <cellStyle name="20% - Akzent2 130 2" xfId="1386" xr:uid="{00000000-0005-0000-0000-000068050000}"/>
    <cellStyle name="20% - Akzent2 131" xfId="1387" xr:uid="{00000000-0005-0000-0000-000069050000}"/>
    <cellStyle name="20% - Akzent2 131 2" xfId="1388" xr:uid="{00000000-0005-0000-0000-00006A050000}"/>
    <cellStyle name="20% - Akzent2 132" xfId="1389" xr:uid="{00000000-0005-0000-0000-00006B050000}"/>
    <cellStyle name="20% - Akzent2 132 2" xfId="1390" xr:uid="{00000000-0005-0000-0000-00006C050000}"/>
    <cellStyle name="20% - Akzent2 133" xfId="1391" xr:uid="{00000000-0005-0000-0000-00006D050000}"/>
    <cellStyle name="20% - Akzent2 133 2" xfId="1392" xr:uid="{00000000-0005-0000-0000-00006E050000}"/>
    <cellStyle name="20% - Akzent2 134" xfId="1393" xr:uid="{00000000-0005-0000-0000-00006F050000}"/>
    <cellStyle name="20% - Akzent2 134 2" xfId="1394" xr:uid="{00000000-0005-0000-0000-000070050000}"/>
    <cellStyle name="20% - Akzent2 135" xfId="1395" xr:uid="{00000000-0005-0000-0000-000071050000}"/>
    <cellStyle name="20% - Akzent2 135 2" xfId="1396" xr:uid="{00000000-0005-0000-0000-000072050000}"/>
    <cellStyle name="20% - Akzent2 136" xfId="1397" xr:uid="{00000000-0005-0000-0000-000073050000}"/>
    <cellStyle name="20% - Akzent2 136 2" xfId="1398" xr:uid="{00000000-0005-0000-0000-000074050000}"/>
    <cellStyle name="20% - Akzent2 137" xfId="1399" xr:uid="{00000000-0005-0000-0000-000075050000}"/>
    <cellStyle name="20% - Akzent2 137 2" xfId="1400" xr:uid="{00000000-0005-0000-0000-000076050000}"/>
    <cellStyle name="20% - Akzent2 138" xfId="1401" xr:uid="{00000000-0005-0000-0000-000077050000}"/>
    <cellStyle name="20% - Akzent2 138 2" xfId="1402" xr:uid="{00000000-0005-0000-0000-000078050000}"/>
    <cellStyle name="20% - Akzent2 139" xfId="1403" xr:uid="{00000000-0005-0000-0000-000079050000}"/>
    <cellStyle name="20% - Akzent2 139 2" xfId="1404" xr:uid="{00000000-0005-0000-0000-00007A050000}"/>
    <cellStyle name="20% - Akzent2 14" xfId="1405" xr:uid="{00000000-0005-0000-0000-00007B050000}"/>
    <cellStyle name="20% - Akzent2 14 2" xfId="1406" xr:uid="{00000000-0005-0000-0000-00007C050000}"/>
    <cellStyle name="20% - Akzent2 140" xfId="1407" xr:uid="{00000000-0005-0000-0000-00007D050000}"/>
    <cellStyle name="20% - Akzent2 140 2" xfId="1408" xr:uid="{00000000-0005-0000-0000-00007E050000}"/>
    <cellStyle name="20% - Akzent2 141" xfId="1409" xr:uid="{00000000-0005-0000-0000-00007F050000}"/>
    <cellStyle name="20% - Akzent2 141 2" xfId="1410" xr:uid="{00000000-0005-0000-0000-000080050000}"/>
    <cellStyle name="20% - Akzent2 142" xfId="1411" xr:uid="{00000000-0005-0000-0000-000081050000}"/>
    <cellStyle name="20% - Akzent2 142 2" xfId="1412" xr:uid="{00000000-0005-0000-0000-000082050000}"/>
    <cellStyle name="20% - Akzent2 143" xfId="1413" xr:uid="{00000000-0005-0000-0000-000083050000}"/>
    <cellStyle name="20% - Akzent2 143 2" xfId="1414" xr:uid="{00000000-0005-0000-0000-000084050000}"/>
    <cellStyle name="20% - Akzent2 144" xfId="1415" xr:uid="{00000000-0005-0000-0000-000085050000}"/>
    <cellStyle name="20% - Akzent2 144 2" xfId="1416" xr:uid="{00000000-0005-0000-0000-000086050000}"/>
    <cellStyle name="20% - Akzent2 145" xfId="1417" xr:uid="{00000000-0005-0000-0000-000087050000}"/>
    <cellStyle name="20% - Akzent2 145 2" xfId="1418" xr:uid="{00000000-0005-0000-0000-000088050000}"/>
    <cellStyle name="20% - Akzent2 146" xfId="1419" xr:uid="{00000000-0005-0000-0000-000089050000}"/>
    <cellStyle name="20% - Akzent2 146 2" xfId="1420" xr:uid="{00000000-0005-0000-0000-00008A050000}"/>
    <cellStyle name="20% - Akzent2 147" xfId="1421" xr:uid="{00000000-0005-0000-0000-00008B050000}"/>
    <cellStyle name="20% - Akzent2 147 2" xfId="1422" xr:uid="{00000000-0005-0000-0000-00008C050000}"/>
    <cellStyle name="20% - Akzent2 148" xfId="1423" xr:uid="{00000000-0005-0000-0000-00008D050000}"/>
    <cellStyle name="20% - Akzent2 148 2" xfId="1424" xr:uid="{00000000-0005-0000-0000-00008E050000}"/>
    <cellStyle name="20% - Akzent2 149" xfId="1425" xr:uid="{00000000-0005-0000-0000-00008F050000}"/>
    <cellStyle name="20% - Akzent2 149 2" xfId="1426" xr:uid="{00000000-0005-0000-0000-000090050000}"/>
    <cellStyle name="20% - Akzent2 15" xfId="1427" xr:uid="{00000000-0005-0000-0000-000091050000}"/>
    <cellStyle name="20% - Akzent2 15 2" xfId="1428" xr:uid="{00000000-0005-0000-0000-000092050000}"/>
    <cellStyle name="20% - Akzent2 150" xfId="1429" xr:uid="{00000000-0005-0000-0000-000093050000}"/>
    <cellStyle name="20% - Akzent2 150 2" xfId="1430" xr:uid="{00000000-0005-0000-0000-000094050000}"/>
    <cellStyle name="20% - Akzent2 151" xfId="1431" xr:uid="{00000000-0005-0000-0000-000095050000}"/>
    <cellStyle name="20% - Akzent2 151 2" xfId="1432" xr:uid="{00000000-0005-0000-0000-000096050000}"/>
    <cellStyle name="20% - Akzent2 16" xfId="1433" xr:uid="{00000000-0005-0000-0000-000097050000}"/>
    <cellStyle name="20% - Akzent2 16 2" xfId="1434" xr:uid="{00000000-0005-0000-0000-000098050000}"/>
    <cellStyle name="20% - Akzent2 17" xfId="1435" xr:uid="{00000000-0005-0000-0000-000099050000}"/>
    <cellStyle name="20% - Akzent2 17 2" xfId="1436" xr:uid="{00000000-0005-0000-0000-00009A050000}"/>
    <cellStyle name="20% - Akzent2 18" xfId="1437" xr:uid="{00000000-0005-0000-0000-00009B050000}"/>
    <cellStyle name="20% - Akzent2 18 2" xfId="1438" xr:uid="{00000000-0005-0000-0000-00009C050000}"/>
    <cellStyle name="20% - Akzent2 19" xfId="1439" xr:uid="{00000000-0005-0000-0000-00009D050000}"/>
    <cellStyle name="20% - Akzent2 19 2" xfId="1440" xr:uid="{00000000-0005-0000-0000-00009E050000}"/>
    <cellStyle name="20% - Akzent2 2" xfId="1441" xr:uid="{00000000-0005-0000-0000-00009F050000}"/>
    <cellStyle name="20% - Akzent2 2 2" xfId="1442" xr:uid="{00000000-0005-0000-0000-0000A0050000}"/>
    <cellStyle name="20% - Akzent2 2 3" xfId="1443" xr:uid="{00000000-0005-0000-0000-0000A1050000}"/>
    <cellStyle name="20% - Akzent2 2 4" xfId="1444" xr:uid="{00000000-0005-0000-0000-0000A2050000}"/>
    <cellStyle name="20% - Akzent2 2 4 2" xfId="1445" xr:uid="{00000000-0005-0000-0000-0000A3050000}"/>
    <cellStyle name="20% - Akzent2 2 5" xfId="1446" xr:uid="{00000000-0005-0000-0000-0000A4050000}"/>
    <cellStyle name="20% - Akzent2 20" xfId="1447" xr:uid="{00000000-0005-0000-0000-0000A5050000}"/>
    <cellStyle name="20% - Akzent2 20 2" xfId="1448" xr:uid="{00000000-0005-0000-0000-0000A6050000}"/>
    <cellStyle name="20% - Akzent2 21" xfId="1449" xr:uid="{00000000-0005-0000-0000-0000A7050000}"/>
    <cellStyle name="20% - Akzent2 21 2" xfId="1450" xr:uid="{00000000-0005-0000-0000-0000A8050000}"/>
    <cellStyle name="20% - Akzent2 22" xfId="1451" xr:uid="{00000000-0005-0000-0000-0000A9050000}"/>
    <cellStyle name="20% - Akzent2 22 2" xfId="1452" xr:uid="{00000000-0005-0000-0000-0000AA050000}"/>
    <cellStyle name="20% - Akzent2 23" xfId="1453" xr:uid="{00000000-0005-0000-0000-0000AB050000}"/>
    <cellStyle name="20% - Akzent2 23 2" xfId="1454" xr:uid="{00000000-0005-0000-0000-0000AC050000}"/>
    <cellStyle name="20% - Akzent2 24" xfId="1455" xr:uid="{00000000-0005-0000-0000-0000AD050000}"/>
    <cellStyle name="20% - Akzent2 24 2" xfId="1456" xr:uid="{00000000-0005-0000-0000-0000AE050000}"/>
    <cellStyle name="20% - Akzent2 25" xfId="1457" xr:uid="{00000000-0005-0000-0000-0000AF050000}"/>
    <cellStyle name="20% - Akzent2 25 2" xfId="1458" xr:uid="{00000000-0005-0000-0000-0000B0050000}"/>
    <cellStyle name="20% - Akzent2 26" xfId="1459" xr:uid="{00000000-0005-0000-0000-0000B1050000}"/>
    <cellStyle name="20% - Akzent2 26 2" xfId="1460" xr:uid="{00000000-0005-0000-0000-0000B2050000}"/>
    <cellStyle name="20% - Akzent2 27" xfId="1461" xr:uid="{00000000-0005-0000-0000-0000B3050000}"/>
    <cellStyle name="20% - Akzent2 27 2" xfId="1462" xr:uid="{00000000-0005-0000-0000-0000B4050000}"/>
    <cellStyle name="20% - Akzent2 28" xfId="1463" xr:uid="{00000000-0005-0000-0000-0000B5050000}"/>
    <cellStyle name="20% - Akzent2 28 2" xfId="1464" xr:uid="{00000000-0005-0000-0000-0000B6050000}"/>
    <cellStyle name="20% - Akzent2 29" xfId="1465" xr:uid="{00000000-0005-0000-0000-0000B7050000}"/>
    <cellStyle name="20% - Akzent2 29 2" xfId="1466" xr:uid="{00000000-0005-0000-0000-0000B8050000}"/>
    <cellStyle name="20% - Akzent2 3" xfId="1467" xr:uid="{00000000-0005-0000-0000-0000B9050000}"/>
    <cellStyle name="20% - Akzent2 3 2" xfId="1468" xr:uid="{00000000-0005-0000-0000-0000BA050000}"/>
    <cellStyle name="20% - Akzent2 3 3" xfId="1469" xr:uid="{00000000-0005-0000-0000-0000BB050000}"/>
    <cellStyle name="20% - Akzent2 3 4" xfId="1470" xr:uid="{00000000-0005-0000-0000-0000BC050000}"/>
    <cellStyle name="20% - Akzent2 3 4 2" xfId="1471" xr:uid="{00000000-0005-0000-0000-0000BD050000}"/>
    <cellStyle name="20% - Akzent2 3 5" xfId="1472" xr:uid="{00000000-0005-0000-0000-0000BE050000}"/>
    <cellStyle name="20% - Akzent2 30" xfId="1473" xr:uid="{00000000-0005-0000-0000-0000BF050000}"/>
    <cellStyle name="20% - Akzent2 30 2" xfId="1474" xr:uid="{00000000-0005-0000-0000-0000C0050000}"/>
    <cellStyle name="20% - Akzent2 31" xfId="1475" xr:uid="{00000000-0005-0000-0000-0000C1050000}"/>
    <cellStyle name="20% - Akzent2 31 2" xfId="1476" xr:uid="{00000000-0005-0000-0000-0000C2050000}"/>
    <cellStyle name="20% - Akzent2 32" xfId="1477" xr:uid="{00000000-0005-0000-0000-0000C3050000}"/>
    <cellStyle name="20% - Akzent2 32 2" xfId="1478" xr:uid="{00000000-0005-0000-0000-0000C4050000}"/>
    <cellStyle name="20% - Akzent2 33" xfId="1479" xr:uid="{00000000-0005-0000-0000-0000C5050000}"/>
    <cellStyle name="20% - Akzent2 33 2" xfId="1480" xr:uid="{00000000-0005-0000-0000-0000C6050000}"/>
    <cellStyle name="20% - Akzent2 34" xfId="1481" xr:uid="{00000000-0005-0000-0000-0000C7050000}"/>
    <cellStyle name="20% - Akzent2 34 2" xfId="1482" xr:uid="{00000000-0005-0000-0000-0000C8050000}"/>
    <cellStyle name="20% - Akzent2 35" xfId="1483" xr:uid="{00000000-0005-0000-0000-0000C9050000}"/>
    <cellStyle name="20% - Akzent2 35 2" xfId="1484" xr:uid="{00000000-0005-0000-0000-0000CA050000}"/>
    <cellStyle name="20% - Akzent2 36" xfId="1485" xr:uid="{00000000-0005-0000-0000-0000CB050000}"/>
    <cellStyle name="20% - Akzent2 36 2" xfId="1486" xr:uid="{00000000-0005-0000-0000-0000CC050000}"/>
    <cellStyle name="20% - Akzent2 37" xfId="1487" xr:uid="{00000000-0005-0000-0000-0000CD050000}"/>
    <cellStyle name="20% - Akzent2 37 2" xfId="1488" xr:uid="{00000000-0005-0000-0000-0000CE050000}"/>
    <cellStyle name="20% - Akzent2 38" xfId="1489" xr:uid="{00000000-0005-0000-0000-0000CF050000}"/>
    <cellStyle name="20% - Akzent2 38 2" xfId="1490" xr:uid="{00000000-0005-0000-0000-0000D0050000}"/>
    <cellStyle name="20% - Akzent2 39" xfId="1491" xr:uid="{00000000-0005-0000-0000-0000D1050000}"/>
    <cellStyle name="20% - Akzent2 39 2" xfId="1492" xr:uid="{00000000-0005-0000-0000-0000D2050000}"/>
    <cellStyle name="20% - Akzent2 4" xfId="1493" xr:uid="{00000000-0005-0000-0000-0000D3050000}"/>
    <cellStyle name="20% - Akzent2 4 2" xfId="1494" xr:uid="{00000000-0005-0000-0000-0000D4050000}"/>
    <cellStyle name="20% - Akzent2 4 3" xfId="1495" xr:uid="{00000000-0005-0000-0000-0000D5050000}"/>
    <cellStyle name="20% - Akzent2 4 4" xfId="1496" xr:uid="{00000000-0005-0000-0000-0000D6050000}"/>
    <cellStyle name="20% - Akzent2 4 4 2" xfId="1497" xr:uid="{00000000-0005-0000-0000-0000D7050000}"/>
    <cellStyle name="20% - Akzent2 4 5" xfId="1498" xr:uid="{00000000-0005-0000-0000-0000D8050000}"/>
    <cellStyle name="20% - Akzent2 40" xfId="1499" xr:uid="{00000000-0005-0000-0000-0000D9050000}"/>
    <cellStyle name="20% - Akzent2 40 2" xfId="1500" xr:uid="{00000000-0005-0000-0000-0000DA050000}"/>
    <cellStyle name="20% - Akzent2 41" xfId="1501" xr:uid="{00000000-0005-0000-0000-0000DB050000}"/>
    <cellStyle name="20% - Akzent2 41 2" xfId="1502" xr:uid="{00000000-0005-0000-0000-0000DC050000}"/>
    <cellStyle name="20% - Akzent2 42" xfId="1503" xr:uid="{00000000-0005-0000-0000-0000DD050000}"/>
    <cellStyle name="20% - Akzent2 42 2" xfId="1504" xr:uid="{00000000-0005-0000-0000-0000DE050000}"/>
    <cellStyle name="20% - Akzent2 43" xfId="1505" xr:uid="{00000000-0005-0000-0000-0000DF050000}"/>
    <cellStyle name="20% - Akzent2 43 2" xfId="1506" xr:uid="{00000000-0005-0000-0000-0000E0050000}"/>
    <cellStyle name="20% - Akzent2 44" xfId="1507" xr:uid="{00000000-0005-0000-0000-0000E1050000}"/>
    <cellStyle name="20% - Akzent2 44 2" xfId="1508" xr:uid="{00000000-0005-0000-0000-0000E2050000}"/>
    <cellStyle name="20% - Akzent2 45" xfId="1509" xr:uid="{00000000-0005-0000-0000-0000E3050000}"/>
    <cellStyle name="20% - Akzent2 45 2" xfId="1510" xr:uid="{00000000-0005-0000-0000-0000E4050000}"/>
    <cellStyle name="20% - Akzent2 46" xfId="1511" xr:uid="{00000000-0005-0000-0000-0000E5050000}"/>
    <cellStyle name="20% - Akzent2 46 2" xfId="1512" xr:uid="{00000000-0005-0000-0000-0000E6050000}"/>
    <cellStyle name="20% - Akzent2 47" xfId="1513" xr:uid="{00000000-0005-0000-0000-0000E7050000}"/>
    <cellStyle name="20% - Akzent2 47 2" xfId="1514" xr:uid="{00000000-0005-0000-0000-0000E8050000}"/>
    <cellStyle name="20% - Akzent2 48" xfId="1515" xr:uid="{00000000-0005-0000-0000-0000E9050000}"/>
    <cellStyle name="20% - Akzent2 48 2" xfId="1516" xr:uid="{00000000-0005-0000-0000-0000EA050000}"/>
    <cellStyle name="20% - Akzent2 49" xfId="1517" xr:uid="{00000000-0005-0000-0000-0000EB050000}"/>
    <cellStyle name="20% - Akzent2 49 2" xfId="1518" xr:uid="{00000000-0005-0000-0000-0000EC050000}"/>
    <cellStyle name="20% - Akzent2 5" xfId="1519" xr:uid="{00000000-0005-0000-0000-0000ED050000}"/>
    <cellStyle name="20% - Akzent2 5 2" xfId="1520" xr:uid="{00000000-0005-0000-0000-0000EE050000}"/>
    <cellStyle name="20% - Akzent2 50" xfId="1521" xr:uid="{00000000-0005-0000-0000-0000EF050000}"/>
    <cellStyle name="20% - Akzent2 50 2" xfId="1522" xr:uid="{00000000-0005-0000-0000-0000F0050000}"/>
    <cellStyle name="20% - Akzent2 51" xfId="1523" xr:uid="{00000000-0005-0000-0000-0000F1050000}"/>
    <cellStyle name="20% - Akzent2 51 2" xfId="1524" xr:uid="{00000000-0005-0000-0000-0000F2050000}"/>
    <cellStyle name="20% - Akzent2 52" xfId="1525" xr:uid="{00000000-0005-0000-0000-0000F3050000}"/>
    <cellStyle name="20% - Akzent2 52 2" xfId="1526" xr:uid="{00000000-0005-0000-0000-0000F4050000}"/>
    <cellStyle name="20% - Akzent2 53" xfId="1527" xr:uid="{00000000-0005-0000-0000-0000F5050000}"/>
    <cellStyle name="20% - Akzent2 53 2" xfId="1528" xr:uid="{00000000-0005-0000-0000-0000F6050000}"/>
    <cellStyle name="20% - Akzent2 54" xfId="1529" xr:uid="{00000000-0005-0000-0000-0000F7050000}"/>
    <cellStyle name="20% - Akzent2 54 2" xfId="1530" xr:uid="{00000000-0005-0000-0000-0000F8050000}"/>
    <cellStyle name="20% - Akzent2 55" xfId="1531" xr:uid="{00000000-0005-0000-0000-0000F9050000}"/>
    <cellStyle name="20% - Akzent2 55 2" xfId="1532" xr:uid="{00000000-0005-0000-0000-0000FA050000}"/>
    <cellStyle name="20% - Akzent2 56" xfId="1533" xr:uid="{00000000-0005-0000-0000-0000FB050000}"/>
    <cellStyle name="20% - Akzent2 56 2" xfId="1534" xr:uid="{00000000-0005-0000-0000-0000FC050000}"/>
    <cellStyle name="20% - Akzent2 57" xfId="1535" xr:uid="{00000000-0005-0000-0000-0000FD050000}"/>
    <cellStyle name="20% - Akzent2 57 2" xfId="1536" xr:uid="{00000000-0005-0000-0000-0000FE050000}"/>
    <cellStyle name="20% - Akzent2 58" xfId="1537" xr:uid="{00000000-0005-0000-0000-0000FF050000}"/>
    <cellStyle name="20% - Akzent2 58 2" xfId="1538" xr:uid="{00000000-0005-0000-0000-000000060000}"/>
    <cellStyle name="20% - Akzent2 59" xfId="1539" xr:uid="{00000000-0005-0000-0000-000001060000}"/>
    <cellStyle name="20% - Akzent2 59 2" xfId="1540" xr:uid="{00000000-0005-0000-0000-000002060000}"/>
    <cellStyle name="20% - Akzent2 6" xfId="1541" xr:uid="{00000000-0005-0000-0000-000003060000}"/>
    <cellStyle name="20% - Akzent2 6 2" xfId="1542" xr:uid="{00000000-0005-0000-0000-000004060000}"/>
    <cellStyle name="20% - Akzent2 60" xfId="1543" xr:uid="{00000000-0005-0000-0000-000005060000}"/>
    <cellStyle name="20% - Akzent2 60 2" xfId="1544" xr:uid="{00000000-0005-0000-0000-000006060000}"/>
    <cellStyle name="20% - Akzent2 61" xfId="1545" xr:uid="{00000000-0005-0000-0000-000007060000}"/>
    <cellStyle name="20% - Akzent2 61 2" xfId="1546" xr:uid="{00000000-0005-0000-0000-000008060000}"/>
    <cellStyle name="20% - Akzent2 62" xfId="1547" xr:uid="{00000000-0005-0000-0000-000009060000}"/>
    <cellStyle name="20% - Akzent2 62 2" xfId="1548" xr:uid="{00000000-0005-0000-0000-00000A060000}"/>
    <cellStyle name="20% - Akzent2 63" xfId="1549" xr:uid="{00000000-0005-0000-0000-00000B060000}"/>
    <cellStyle name="20% - Akzent2 63 2" xfId="1550" xr:uid="{00000000-0005-0000-0000-00000C060000}"/>
    <cellStyle name="20% - Akzent2 64" xfId="1551" xr:uid="{00000000-0005-0000-0000-00000D060000}"/>
    <cellStyle name="20% - Akzent2 64 2" xfId="1552" xr:uid="{00000000-0005-0000-0000-00000E060000}"/>
    <cellStyle name="20% - Akzent2 65" xfId="1553" xr:uid="{00000000-0005-0000-0000-00000F060000}"/>
    <cellStyle name="20% - Akzent2 65 2" xfId="1554" xr:uid="{00000000-0005-0000-0000-000010060000}"/>
    <cellStyle name="20% - Akzent2 66" xfId="1555" xr:uid="{00000000-0005-0000-0000-000011060000}"/>
    <cellStyle name="20% - Akzent2 66 2" xfId="1556" xr:uid="{00000000-0005-0000-0000-000012060000}"/>
    <cellStyle name="20% - Akzent2 67" xfId="1557" xr:uid="{00000000-0005-0000-0000-000013060000}"/>
    <cellStyle name="20% - Akzent2 67 2" xfId="1558" xr:uid="{00000000-0005-0000-0000-000014060000}"/>
    <cellStyle name="20% - Akzent2 68" xfId="1559" xr:uid="{00000000-0005-0000-0000-000015060000}"/>
    <cellStyle name="20% - Akzent2 68 2" xfId="1560" xr:uid="{00000000-0005-0000-0000-000016060000}"/>
    <cellStyle name="20% - Akzent2 69" xfId="1561" xr:uid="{00000000-0005-0000-0000-000017060000}"/>
    <cellStyle name="20% - Akzent2 69 2" xfId="1562" xr:uid="{00000000-0005-0000-0000-000018060000}"/>
    <cellStyle name="20% - Akzent2 7" xfId="1563" xr:uid="{00000000-0005-0000-0000-000019060000}"/>
    <cellStyle name="20% - Akzent2 7 2" xfId="1564" xr:uid="{00000000-0005-0000-0000-00001A060000}"/>
    <cellStyle name="20% - Akzent2 70" xfId="1565" xr:uid="{00000000-0005-0000-0000-00001B060000}"/>
    <cellStyle name="20% - Akzent2 70 2" xfId="1566" xr:uid="{00000000-0005-0000-0000-00001C060000}"/>
    <cellStyle name="20% - Akzent2 71" xfId="1567" xr:uid="{00000000-0005-0000-0000-00001D060000}"/>
    <cellStyle name="20% - Akzent2 71 2" xfId="1568" xr:uid="{00000000-0005-0000-0000-00001E060000}"/>
    <cellStyle name="20% - Akzent2 72" xfId="1569" xr:uid="{00000000-0005-0000-0000-00001F060000}"/>
    <cellStyle name="20% - Akzent2 72 2" xfId="1570" xr:uid="{00000000-0005-0000-0000-000020060000}"/>
    <cellStyle name="20% - Akzent2 73" xfId="1571" xr:uid="{00000000-0005-0000-0000-000021060000}"/>
    <cellStyle name="20% - Akzent2 73 2" xfId="1572" xr:uid="{00000000-0005-0000-0000-000022060000}"/>
    <cellStyle name="20% - Akzent2 74" xfId="1573" xr:uid="{00000000-0005-0000-0000-000023060000}"/>
    <cellStyle name="20% - Akzent2 74 2" xfId="1574" xr:uid="{00000000-0005-0000-0000-000024060000}"/>
    <cellStyle name="20% - Akzent2 75" xfId="1575" xr:uid="{00000000-0005-0000-0000-000025060000}"/>
    <cellStyle name="20% - Akzent2 75 2" xfId="1576" xr:uid="{00000000-0005-0000-0000-000026060000}"/>
    <cellStyle name="20% - Akzent2 76" xfId="1577" xr:uid="{00000000-0005-0000-0000-000027060000}"/>
    <cellStyle name="20% - Akzent2 76 2" xfId="1578" xr:uid="{00000000-0005-0000-0000-000028060000}"/>
    <cellStyle name="20% - Akzent2 77" xfId="1579" xr:uid="{00000000-0005-0000-0000-000029060000}"/>
    <cellStyle name="20% - Akzent2 77 2" xfId="1580" xr:uid="{00000000-0005-0000-0000-00002A060000}"/>
    <cellStyle name="20% - Akzent2 78" xfId="1581" xr:uid="{00000000-0005-0000-0000-00002B060000}"/>
    <cellStyle name="20% - Akzent2 78 2" xfId="1582" xr:uid="{00000000-0005-0000-0000-00002C060000}"/>
    <cellStyle name="20% - Akzent2 79" xfId="1583" xr:uid="{00000000-0005-0000-0000-00002D060000}"/>
    <cellStyle name="20% - Akzent2 79 2" xfId="1584" xr:uid="{00000000-0005-0000-0000-00002E060000}"/>
    <cellStyle name="20% - Akzent2 8" xfId="1585" xr:uid="{00000000-0005-0000-0000-00002F060000}"/>
    <cellStyle name="20% - Akzent2 8 2" xfId="1586" xr:uid="{00000000-0005-0000-0000-000030060000}"/>
    <cellStyle name="20% - Akzent2 80" xfId="1587" xr:uid="{00000000-0005-0000-0000-000031060000}"/>
    <cellStyle name="20% - Akzent2 80 2" xfId="1588" xr:uid="{00000000-0005-0000-0000-000032060000}"/>
    <cellStyle name="20% - Akzent2 81" xfId="1589" xr:uid="{00000000-0005-0000-0000-000033060000}"/>
    <cellStyle name="20% - Akzent2 81 2" xfId="1590" xr:uid="{00000000-0005-0000-0000-000034060000}"/>
    <cellStyle name="20% - Akzent2 82" xfId="1591" xr:uid="{00000000-0005-0000-0000-000035060000}"/>
    <cellStyle name="20% - Akzent2 82 2" xfId="1592" xr:uid="{00000000-0005-0000-0000-000036060000}"/>
    <cellStyle name="20% - Akzent2 83" xfId="1593" xr:uid="{00000000-0005-0000-0000-000037060000}"/>
    <cellStyle name="20% - Akzent2 83 2" xfId="1594" xr:uid="{00000000-0005-0000-0000-000038060000}"/>
    <cellStyle name="20% - Akzent2 84" xfId="1595" xr:uid="{00000000-0005-0000-0000-000039060000}"/>
    <cellStyle name="20% - Akzent2 84 2" xfId="1596" xr:uid="{00000000-0005-0000-0000-00003A060000}"/>
    <cellStyle name="20% - Akzent2 85" xfId="1597" xr:uid="{00000000-0005-0000-0000-00003B060000}"/>
    <cellStyle name="20% - Akzent2 85 2" xfId="1598" xr:uid="{00000000-0005-0000-0000-00003C060000}"/>
    <cellStyle name="20% - Akzent2 86" xfId="1599" xr:uid="{00000000-0005-0000-0000-00003D060000}"/>
    <cellStyle name="20% - Akzent2 86 2" xfId="1600" xr:uid="{00000000-0005-0000-0000-00003E060000}"/>
    <cellStyle name="20% - Akzent2 87" xfId="1601" xr:uid="{00000000-0005-0000-0000-00003F060000}"/>
    <cellStyle name="20% - Akzent2 87 2" xfId="1602" xr:uid="{00000000-0005-0000-0000-000040060000}"/>
    <cellStyle name="20% - Akzent2 88" xfId="1603" xr:uid="{00000000-0005-0000-0000-000041060000}"/>
    <cellStyle name="20% - Akzent2 88 2" xfId="1604" xr:uid="{00000000-0005-0000-0000-000042060000}"/>
    <cellStyle name="20% - Akzent2 89" xfId="1605" xr:uid="{00000000-0005-0000-0000-000043060000}"/>
    <cellStyle name="20% - Akzent2 89 2" xfId="1606" xr:uid="{00000000-0005-0000-0000-000044060000}"/>
    <cellStyle name="20% - Akzent2 9" xfId="1607" xr:uid="{00000000-0005-0000-0000-000045060000}"/>
    <cellStyle name="20% - Akzent2 9 2" xfId="1608" xr:uid="{00000000-0005-0000-0000-000046060000}"/>
    <cellStyle name="20% - Akzent2 90" xfId="1609" xr:uid="{00000000-0005-0000-0000-000047060000}"/>
    <cellStyle name="20% - Akzent2 90 2" xfId="1610" xr:uid="{00000000-0005-0000-0000-000048060000}"/>
    <cellStyle name="20% - Akzent2 91" xfId="1611" xr:uid="{00000000-0005-0000-0000-000049060000}"/>
    <cellStyle name="20% - Akzent2 91 2" xfId="1612" xr:uid="{00000000-0005-0000-0000-00004A060000}"/>
    <cellStyle name="20% - Akzent2 92" xfId="1613" xr:uid="{00000000-0005-0000-0000-00004B060000}"/>
    <cellStyle name="20% - Akzent2 92 2" xfId="1614" xr:uid="{00000000-0005-0000-0000-00004C060000}"/>
    <cellStyle name="20% - Akzent2 93" xfId="1615" xr:uid="{00000000-0005-0000-0000-00004D060000}"/>
    <cellStyle name="20% - Akzent2 93 2" xfId="1616" xr:uid="{00000000-0005-0000-0000-00004E060000}"/>
    <cellStyle name="20% - Akzent2 94" xfId="1617" xr:uid="{00000000-0005-0000-0000-00004F060000}"/>
    <cellStyle name="20% - Akzent2 94 2" xfId="1618" xr:uid="{00000000-0005-0000-0000-000050060000}"/>
    <cellStyle name="20% - Akzent2 95" xfId="1619" xr:uid="{00000000-0005-0000-0000-000051060000}"/>
    <cellStyle name="20% - Akzent2 95 2" xfId="1620" xr:uid="{00000000-0005-0000-0000-000052060000}"/>
    <cellStyle name="20% - Akzent2 96" xfId="1621" xr:uid="{00000000-0005-0000-0000-000053060000}"/>
    <cellStyle name="20% - Akzent2 96 2" xfId="1622" xr:uid="{00000000-0005-0000-0000-000054060000}"/>
    <cellStyle name="20% - Akzent2 97" xfId="1623" xr:uid="{00000000-0005-0000-0000-000055060000}"/>
    <cellStyle name="20% - Akzent2 97 2" xfId="1624" xr:uid="{00000000-0005-0000-0000-000056060000}"/>
    <cellStyle name="20% - Akzent2 98" xfId="1625" xr:uid="{00000000-0005-0000-0000-000057060000}"/>
    <cellStyle name="20% - Akzent2 98 2" xfId="1626" xr:uid="{00000000-0005-0000-0000-000058060000}"/>
    <cellStyle name="20% - Akzent2 99" xfId="1627" xr:uid="{00000000-0005-0000-0000-000059060000}"/>
    <cellStyle name="20% - Akzent2 99 2" xfId="1628" xr:uid="{00000000-0005-0000-0000-00005A060000}"/>
    <cellStyle name="20% - Akzent3 10" xfId="1629" xr:uid="{00000000-0005-0000-0000-00005B060000}"/>
    <cellStyle name="20% - Akzent3 10 2" xfId="1630" xr:uid="{00000000-0005-0000-0000-00005C060000}"/>
    <cellStyle name="20% - Akzent3 100" xfId="1631" xr:uid="{00000000-0005-0000-0000-00005D060000}"/>
    <cellStyle name="20% - Akzent3 100 2" xfId="1632" xr:uid="{00000000-0005-0000-0000-00005E060000}"/>
    <cellStyle name="20% - Akzent3 101" xfId="1633" xr:uid="{00000000-0005-0000-0000-00005F060000}"/>
    <cellStyle name="20% - Akzent3 101 2" xfId="1634" xr:uid="{00000000-0005-0000-0000-000060060000}"/>
    <cellStyle name="20% - Akzent3 102" xfId="1635" xr:uid="{00000000-0005-0000-0000-000061060000}"/>
    <cellStyle name="20% - Akzent3 102 2" xfId="1636" xr:uid="{00000000-0005-0000-0000-000062060000}"/>
    <cellStyle name="20% - Akzent3 103" xfId="1637" xr:uid="{00000000-0005-0000-0000-000063060000}"/>
    <cellStyle name="20% - Akzent3 103 2" xfId="1638" xr:uid="{00000000-0005-0000-0000-000064060000}"/>
    <cellStyle name="20% - Akzent3 104" xfId="1639" xr:uid="{00000000-0005-0000-0000-000065060000}"/>
    <cellStyle name="20% - Akzent3 104 2" xfId="1640" xr:uid="{00000000-0005-0000-0000-000066060000}"/>
    <cellStyle name="20% - Akzent3 105" xfId="1641" xr:uid="{00000000-0005-0000-0000-000067060000}"/>
    <cellStyle name="20% - Akzent3 105 2" xfId="1642" xr:uid="{00000000-0005-0000-0000-000068060000}"/>
    <cellStyle name="20% - Akzent3 106" xfId="1643" xr:uid="{00000000-0005-0000-0000-000069060000}"/>
    <cellStyle name="20% - Akzent3 106 2" xfId="1644" xr:uid="{00000000-0005-0000-0000-00006A060000}"/>
    <cellStyle name="20% - Akzent3 107" xfId="1645" xr:uid="{00000000-0005-0000-0000-00006B060000}"/>
    <cellStyle name="20% - Akzent3 107 2" xfId="1646" xr:uid="{00000000-0005-0000-0000-00006C060000}"/>
    <cellStyle name="20% - Akzent3 108" xfId="1647" xr:uid="{00000000-0005-0000-0000-00006D060000}"/>
    <cellStyle name="20% - Akzent3 108 2" xfId="1648" xr:uid="{00000000-0005-0000-0000-00006E060000}"/>
    <cellStyle name="20% - Akzent3 109" xfId="1649" xr:uid="{00000000-0005-0000-0000-00006F060000}"/>
    <cellStyle name="20% - Akzent3 109 2" xfId="1650" xr:uid="{00000000-0005-0000-0000-000070060000}"/>
    <cellStyle name="20% - Akzent3 11" xfId="1651" xr:uid="{00000000-0005-0000-0000-000071060000}"/>
    <cellStyle name="20% - Akzent3 11 2" xfId="1652" xr:uid="{00000000-0005-0000-0000-000072060000}"/>
    <cellStyle name="20% - Akzent3 110" xfId="1653" xr:uid="{00000000-0005-0000-0000-000073060000}"/>
    <cellStyle name="20% - Akzent3 110 2" xfId="1654" xr:uid="{00000000-0005-0000-0000-000074060000}"/>
    <cellStyle name="20% - Akzent3 111" xfId="1655" xr:uid="{00000000-0005-0000-0000-000075060000}"/>
    <cellStyle name="20% - Akzent3 111 2" xfId="1656" xr:uid="{00000000-0005-0000-0000-000076060000}"/>
    <cellStyle name="20% - Akzent3 112" xfId="1657" xr:uid="{00000000-0005-0000-0000-000077060000}"/>
    <cellStyle name="20% - Akzent3 112 2" xfId="1658" xr:uid="{00000000-0005-0000-0000-000078060000}"/>
    <cellStyle name="20% - Akzent3 113" xfId="1659" xr:uid="{00000000-0005-0000-0000-000079060000}"/>
    <cellStyle name="20% - Akzent3 113 2" xfId="1660" xr:uid="{00000000-0005-0000-0000-00007A060000}"/>
    <cellStyle name="20% - Akzent3 114" xfId="1661" xr:uid="{00000000-0005-0000-0000-00007B060000}"/>
    <cellStyle name="20% - Akzent3 114 2" xfId="1662" xr:uid="{00000000-0005-0000-0000-00007C060000}"/>
    <cellStyle name="20% - Akzent3 115" xfId="1663" xr:uid="{00000000-0005-0000-0000-00007D060000}"/>
    <cellStyle name="20% - Akzent3 115 2" xfId="1664" xr:uid="{00000000-0005-0000-0000-00007E060000}"/>
    <cellStyle name="20% - Akzent3 116" xfId="1665" xr:uid="{00000000-0005-0000-0000-00007F060000}"/>
    <cellStyle name="20% - Akzent3 116 2" xfId="1666" xr:uid="{00000000-0005-0000-0000-000080060000}"/>
    <cellStyle name="20% - Akzent3 117" xfId="1667" xr:uid="{00000000-0005-0000-0000-000081060000}"/>
    <cellStyle name="20% - Akzent3 117 2" xfId="1668" xr:uid="{00000000-0005-0000-0000-000082060000}"/>
    <cellStyle name="20% - Akzent3 118" xfId="1669" xr:uid="{00000000-0005-0000-0000-000083060000}"/>
    <cellStyle name="20% - Akzent3 118 2" xfId="1670" xr:uid="{00000000-0005-0000-0000-000084060000}"/>
    <cellStyle name="20% - Akzent3 119" xfId="1671" xr:uid="{00000000-0005-0000-0000-000085060000}"/>
    <cellStyle name="20% - Akzent3 119 2" xfId="1672" xr:uid="{00000000-0005-0000-0000-000086060000}"/>
    <cellStyle name="20% - Akzent3 12" xfId="1673" xr:uid="{00000000-0005-0000-0000-000087060000}"/>
    <cellStyle name="20% - Akzent3 12 2" xfId="1674" xr:uid="{00000000-0005-0000-0000-000088060000}"/>
    <cellStyle name="20% - Akzent3 120" xfId="1675" xr:uid="{00000000-0005-0000-0000-000089060000}"/>
    <cellStyle name="20% - Akzent3 120 2" xfId="1676" xr:uid="{00000000-0005-0000-0000-00008A060000}"/>
    <cellStyle name="20% - Akzent3 121" xfId="1677" xr:uid="{00000000-0005-0000-0000-00008B060000}"/>
    <cellStyle name="20% - Akzent3 121 2" xfId="1678" xr:uid="{00000000-0005-0000-0000-00008C060000}"/>
    <cellStyle name="20% - Akzent3 122" xfId="1679" xr:uid="{00000000-0005-0000-0000-00008D060000}"/>
    <cellStyle name="20% - Akzent3 122 2" xfId="1680" xr:uid="{00000000-0005-0000-0000-00008E060000}"/>
    <cellStyle name="20% - Akzent3 123" xfId="1681" xr:uid="{00000000-0005-0000-0000-00008F060000}"/>
    <cellStyle name="20% - Akzent3 123 2" xfId="1682" xr:uid="{00000000-0005-0000-0000-000090060000}"/>
    <cellStyle name="20% - Akzent3 124" xfId="1683" xr:uid="{00000000-0005-0000-0000-000091060000}"/>
    <cellStyle name="20% - Akzent3 124 2" xfId="1684" xr:uid="{00000000-0005-0000-0000-000092060000}"/>
    <cellStyle name="20% - Akzent3 125" xfId="1685" xr:uid="{00000000-0005-0000-0000-000093060000}"/>
    <cellStyle name="20% - Akzent3 125 2" xfId="1686" xr:uid="{00000000-0005-0000-0000-000094060000}"/>
    <cellStyle name="20% - Akzent3 126" xfId="1687" xr:uid="{00000000-0005-0000-0000-000095060000}"/>
    <cellStyle name="20% - Akzent3 126 2" xfId="1688" xr:uid="{00000000-0005-0000-0000-000096060000}"/>
    <cellStyle name="20% - Akzent3 127" xfId="1689" xr:uid="{00000000-0005-0000-0000-000097060000}"/>
    <cellStyle name="20% - Akzent3 127 2" xfId="1690" xr:uid="{00000000-0005-0000-0000-000098060000}"/>
    <cellStyle name="20% - Akzent3 128" xfId="1691" xr:uid="{00000000-0005-0000-0000-000099060000}"/>
    <cellStyle name="20% - Akzent3 128 2" xfId="1692" xr:uid="{00000000-0005-0000-0000-00009A060000}"/>
    <cellStyle name="20% - Akzent3 129" xfId="1693" xr:uid="{00000000-0005-0000-0000-00009B060000}"/>
    <cellStyle name="20% - Akzent3 129 2" xfId="1694" xr:uid="{00000000-0005-0000-0000-00009C060000}"/>
    <cellStyle name="20% - Akzent3 13" xfId="1695" xr:uid="{00000000-0005-0000-0000-00009D060000}"/>
    <cellStyle name="20% - Akzent3 13 2" xfId="1696" xr:uid="{00000000-0005-0000-0000-00009E060000}"/>
    <cellStyle name="20% - Akzent3 130" xfId="1697" xr:uid="{00000000-0005-0000-0000-00009F060000}"/>
    <cellStyle name="20% - Akzent3 130 2" xfId="1698" xr:uid="{00000000-0005-0000-0000-0000A0060000}"/>
    <cellStyle name="20% - Akzent3 131" xfId="1699" xr:uid="{00000000-0005-0000-0000-0000A1060000}"/>
    <cellStyle name="20% - Akzent3 131 2" xfId="1700" xr:uid="{00000000-0005-0000-0000-0000A2060000}"/>
    <cellStyle name="20% - Akzent3 132" xfId="1701" xr:uid="{00000000-0005-0000-0000-0000A3060000}"/>
    <cellStyle name="20% - Akzent3 132 2" xfId="1702" xr:uid="{00000000-0005-0000-0000-0000A4060000}"/>
    <cellStyle name="20% - Akzent3 133" xfId="1703" xr:uid="{00000000-0005-0000-0000-0000A5060000}"/>
    <cellStyle name="20% - Akzent3 133 2" xfId="1704" xr:uid="{00000000-0005-0000-0000-0000A6060000}"/>
    <cellStyle name="20% - Akzent3 134" xfId="1705" xr:uid="{00000000-0005-0000-0000-0000A7060000}"/>
    <cellStyle name="20% - Akzent3 134 2" xfId="1706" xr:uid="{00000000-0005-0000-0000-0000A8060000}"/>
    <cellStyle name="20% - Akzent3 135" xfId="1707" xr:uid="{00000000-0005-0000-0000-0000A9060000}"/>
    <cellStyle name="20% - Akzent3 135 2" xfId="1708" xr:uid="{00000000-0005-0000-0000-0000AA060000}"/>
    <cellStyle name="20% - Akzent3 136" xfId="1709" xr:uid="{00000000-0005-0000-0000-0000AB060000}"/>
    <cellStyle name="20% - Akzent3 136 2" xfId="1710" xr:uid="{00000000-0005-0000-0000-0000AC060000}"/>
    <cellStyle name="20% - Akzent3 137" xfId="1711" xr:uid="{00000000-0005-0000-0000-0000AD060000}"/>
    <cellStyle name="20% - Akzent3 137 2" xfId="1712" xr:uid="{00000000-0005-0000-0000-0000AE060000}"/>
    <cellStyle name="20% - Akzent3 138" xfId="1713" xr:uid="{00000000-0005-0000-0000-0000AF060000}"/>
    <cellStyle name="20% - Akzent3 138 2" xfId="1714" xr:uid="{00000000-0005-0000-0000-0000B0060000}"/>
    <cellStyle name="20% - Akzent3 139" xfId="1715" xr:uid="{00000000-0005-0000-0000-0000B1060000}"/>
    <cellStyle name="20% - Akzent3 139 2" xfId="1716" xr:uid="{00000000-0005-0000-0000-0000B2060000}"/>
    <cellStyle name="20% - Akzent3 14" xfId="1717" xr:uid="{00000000-0005-0000-0000-0000B3060000}"/>
    <cellStyle name="20% - Akzent3 14 2" xfId="1718" xr:uid="{00000000-0005-0000-0000-0000B4060000}"/>
    <cellStyle name="20% - Akzent3 140" xfId="1719" xr:uid="{00000000-0005-0000-0000-0000B5060000}"/>
    <cellStyle name="20% - Akzent3 140 2" xfId="1720" xr:uid="{00000000-0005-0000-0000-0000B6060000}"/>
    <cellStyle name="20% - Akzent3 141" xfId="1721" xr:uid="{00000000-0005-0000-0000-0000B7060000}"/>
    <cellStyle name="20% - Akzent3 141 2" xfId="1722" xr:uid="{00000000-0005-0000-0000-0000B8060000}"/>
    <cellStyle name="20% - Akzent3 142" xfId="1723" xr:uid="{00000000-0005-0000-0000-0000B9060000}"/>
    <cellStyle name="20% - Akzent3 142 2" xfId="1724" xr:uid="{00000000-0005-0000-0000-0000BA060000}"/>
    <cellStyle name="20% - Akzent3 143" xfId="1725" xr:uid="{00000000-0005-0000-0000-0000BB060000}"/>
    <cellStyle name="20% - Akzent3 143 2" xfId="1726" xr:uid="{00000000-0005-0000-0000-0000BC060000}"/>
    <cellStyle name="20% - Akzent3 144" xfId="1727" xr:uid="{00000000-0005-0000-0000-0000BD060000}"/>
    <cellStyle name="20% - Akzent3 144 2" xfId="1728" xr:uid="{00000000-0005-0000-0000-0000BE060000}"/>
    <cellStyle name="20% - Akzent3 145" xfId="1729" xr:uid="{00000000-0005-0000-0000-0000BF060000}"/>
    <cellStyle name="20% - Akzent3 145 2" xfId="1730" xr:uid="{00000000-0005-0000-0000-0000C0060000}"/>
    <cellStyle name="20% - Akzent3 146" xfId="1731" xr:uid="{00000000-0005-0000-0000-0000C1060000}"/>
    <cellStyle name="20% - Akzent3 146 2" xfId="1732" xr:uid="{00000000-0005-0000-0000-0000C2060000}"/>
    <cellStyle name="20% - Akzent3 147" xfId="1733" xr:uid="{00000000-0005-0000-0000-0000C3060000}"/>
    <cellStyle name="20% - Akzent3 147 2" xfId="1734" xr:uid="{00000000-0005-0000-0000-0000C4060000}"/>
    <cellStyle name="20% - Akzent3 148" xfId="1735" xr:uid="{00000000-0005-0000-0000-0000C5060000}"/>
    <cellStyle name="20% - Akzent3 148 2" xfId="1736" xr:uid="{00000000-0005-0000-0000-0000C6060000}"/>
    <cellStyle name="20% - Akzent3 149" xfId="1737" xr:uid="{00000000-0005-0000-0000-0000C7060000}"/>
    <cellStyle name="20% - Akzent3 149 2" xfId="1738" xr:uid="{00000000-0005-0000-0000-0000C8060000}"/>
    <cellStyle name="20% - Akzent3 15" xfId="1739" xr:uid="{00000000-0005-0000-0000-0000C9060000}"/>
    <cellStyle name="20% - Akzent3 15 2" xfId="1740" xr:uid="{00000000-0005-0000-0000-0000CA060000}"/>
    <cellStyle name="20% - Akzent3 150" xfId="1741" xr:uid="{00000000-0005-0000-0000-0000CB060000}"/>
    <cellStyle name="20% - Akzent3 150 2" xfId="1742" xr:uid="{00000000-0005-0000-0000-0000CC060000}"/>
    <cellStyle name="20% - Akzent3 151" xfId="1743" xr:uid="{00000000-0005-0000-0000-0000CD060000}"/>
    <cellStyle name="20% - Akzent3 151 2" xfId="1744" xr:uid="{00000000-0005-0000-0000-0000CE060000}"/>
    <cellStyle name="20% - Akzent3 16" xfId="1745" xr:uid="{00000000-0005-0000-0000-0000CF060000}"/>
    <cellStyle name="20% - Akzent3 16 2" xfId="1746" xr:uid="{00000000-0005-0000-0000-0000D0060000}"/>
    <cellStyle name="20% - Akzent3 17" xfId="1747" xr:uid="{00000000-0005-0000-0000-0000D1060000}"/>
    <cellStyle name="20% - Akzent3 17 2" xfId="1748" xr:uid="{00000000-0005-0000-0000-0000D2060000}"/>
    <cellStyle name="20% - Akzent3 18" xfId="1749" xr:uid="{00000000-0005-0000-0000-0000D3060000}"/>
    <cellStyle name="20% - Akzent3 18 2" xfId="1750" xr:uid="{00000000-0005-0000-0000-0000D4060000}"/>
    <cellStyle name="20% - Akzent3 19" xfId="1751" xr:uid="{00000000-0005-0000-0000-0000D5060000}"/>
    <cellStyle name="20% - Akzent3 19 2" xfId="1752" xr:uid="{00000000-0005-0000-0000-0000D6060000}"/>
    <cellStyle name="20% - Akzent3 2" xfId="1753" xr:uid="{00000000-0005-0000-0000-0000D7060000}"/>
    <cellStyle name="20% - Akzent3 2 2" xfId="1754" xr:uid="{00000000-0005-0000-0000-0000D8060000}"/>
    <cellStyle name="20% - Akzent3 2 3" xfId="1755" xr:uid="{00000000-0005-0000-0000-0000D9060000}"/>
    <cellStyle name="20% - Akzent3 2 4" xfId="1756" xr:uid="{00000000-0005-0000-0000-0000DA060000}"/>
    <cellStyle name="20% - Akzent3 2 4 2" xfId="1757" xr:uid="{00000000-0005-0000-0000-0000DB060000}"/>
    <cellStyle name="20% - Akzent3 2 5" xfId="1758" xr:uid="{00000000-0005-0000-0000-0000DC060000}"/>
    <cellStyle name="20% - Akzent3 20" xfId="1759" xr:uid="{00000000-0005-0000-0000-0000DD060000}"/>
    <cellStyle name="20% - Akzent3 20 2" xfId="1760" xr:uid="{00000000-0005-0000-0000-0000DE060000}"/>
    <cellStyle name="20% - Akzent3 21" xfId="1761" xr:uid="{00000000-0005-0000-0000-0000DF060000}"/>
    <cellStyle name="20% - Akzent3 21 2" xfId="1762" xr:uid="{00000000-0005-0000-0000-0000E0060000}"/>
    <cellStyle name="20% - Akzent3 22" xfId="1763" xr:uid="{00000000-0005-0000-0000-0000E1060000}"/>
    <cellStyle name="20% - Akzent3 22 2" xfId="1764" xr:uid="{00000000-0005-0000-0000-0000E2060000}"/>
    <cellStyle name="20% - Akzent3 23" xfId="1765" xr:uid="{00000000-0005-0000-0000-0000E3060000}"/>
    <cellStyle name="20% - Akzent3 23 2" xfId="1766" xr:uid="{00000000-0005-0000-0000-0000E4060000}"/>
    <cellStyle name="20% - Akzent3 24" xfId="1767" xr:uid="{00000000-0005-0000-0000-0000E5060000}"/>
    <cellStyle name="20% - Akzent3 24 2" xfId="1768" xr:uid="{00000000-0005-0000-0000-0000E6060000}"/>
    <cellStyle name="20% - Akzent3 25" xfId="1769" xr:uid="{00000000-0005-0000-0000-0000E7060000}"/>
    <cellStyle name="20% - Akzent3 25 2" xfId="1770" xr:uid="{00000000-0005-0000-0000-0000E8060000}"/>
    <cellStyle name="20% - Akzent3 26" xfId="1771" xr:uid="{00000000-0005-0000-0000-0000E9060000}"/>
    <cellStyle name="20% - Akzent3 26 2" xfId="1772" xr:uid="{00000000-0005-0000-0000-0000EA060000}"/>
    <cellStyle name="20% - Akzent3 27" xfId="1773" xr:uid="{00000000-0005-0000-0000-0000EB060000}"/>
    <cellStyle name="20% - Akzent3 27 2" xfId="1774" xr:uid="{00000000-0005-0000-0000-0000EC060000}"/>
    <cellStyle name="20% - Akzent3 28" xfId="1775" xr:uid="{00000000-0005-0000-0000-0000ED060000}"/>
    <cellStyle name="20% - Akzent3 28 2" xfId="1776" xr:uid="{00000000-0005-0000-0000-0000EE060000}"/>
    <cellStyle name="20% - Akzent3 29" xfId="1777" xr:uid="{00000000-0005-0000-0000-0000EF060000}"/>
    <cellStyle name="20% - Akzent3 29 2" xfId="1778" xr:uid="{00000000-0005-0000-0000-0000F0060000}"/>
    <cellStyle name="20% - Akzent3 3" xfId="1779" xr:uid="{00000000-0005-0000-0000-0000F1060000}"/>
    <cellStyle name="20% - Akzent3 3 2" xfId="1780" xr:uid="{00000000-0005-0000-0000-0000F2060000}"/>
    <cellStyle name="20% - Akzent3 3 3" xfId="1781" xr:uid="{00000000-0005-0000-0000-0000F3060000}"/>
    <cellStyle name="20% - Akzent3 3 4" xfId="1782" xr:uid="{00000000-0005-0000-0000-0000F4060000}"/>
    <cellStyle name="20% - Akzent3 3 4 2" xfId="1783" xr:uid="{00000000-0005-0000-0000-0000F5060000}"/>
    <cellStyle name="20% - Akzent3 3 5" xfId="1784" xr:uid="{00000000-0005-0000-0000-0000F6060000}"/>
    <cellStyle name="20% - Akzent3 30" xfId="1785" xr:uid="{00000000-0005-0000-0000-0000F7060000}"/>
    <cellStyle name="20% - Akzent3 30 2" xfId="1786" xr:uid="{00000000-0005-0000-0000-0000F8060000}"/>
    <cellStyle name="20% - Akzent3 31" xfId="1787" xr:uid="{00000000-0005-0000-0000-0000F9060000}"/>
    <cellStyle name="20% - Akzent3 31 2" xfId="1788" xr:uid="{00000000-0005-0000-0000-0000FA060000}"/>
    <cellStyle name="20% - Akzent3 32" xfId="1789" xr:uid="{00000000-0005-0000-0000-0000FB060000}"/>
    <cellStyle name="20% - Akzent3 32 2" xfId="1790" xr:uid="{00000000-0005-0000-0000-0000FC060000}"/>
    <cellStyle name="20% - Akzent3 33" xfId="1791" xr:uid="{00000000-0005-0000-0000-0000FD060000}"/>
    <cellStyle name="20% - Akzent3 33 2" xfId="1792" xr:uid="{00000000-0005-0000-0000-0000FE060000}"/>
    <cellStyle name="20% - Akzent3 34" xfId="1793" xr:uid="{00000000-0005-0000-0000-0000FF060000}"/>
    <cellStyle name="20% - Akzent3 34 2" xfId="1794" xr:uid="{00000000-0005-0000-0000-000000070000}"/>
    <cellStyle name="20% - Akzent3 35" xfId="1795" xr:uid="{00000000-0005-0000-0000-000001070000}"/>
    <cellStyle name="20% - Akzent3 35 2" xfId="1796" xr:uid="{00000000-0005-0000-0000-000002070000}"/>
    <cellStyle name="20% - Akzent3 36" xfId="1797" xr:uid="{00000000-0005-0000-0000-000003070000}"/>
    <cellStyle name="20% - Akzent3 36 2" xfId="1798" xr:uid="{00000000-0005-0000-0000-000004070000}"/>
    <cellStyle name="20% - Akzent3 37" xfId="1799" xr:uid="{00000000-0005-0000-0000-000005070000}"/>
    <cellStyle name="20% - Akzent3 37 2" xfId="1800" xr:uid="{00000000-0005-0000-0000-000006070000}"/>
    <cellStyle name="20% - Akzent3 38" xfId="1801" xr:uid="{00000000-0005-0000-0000-000007070000}"/>
    <cellStyle name="20% - Akzent3 38 2" xfId="1802" xr:uid="{00000000-0005-0000-0000-000008070000}"/>
    <cellStyle name="20% - Akzent3 39" xfId="1803" xr:uid="{00000000-0005-0000-0000-000009070000}"/>
    <cellStyle name="20% - Akzent3 39 2" xfId="1804" xr:uid="{00000000-0005-0000-0000-00000A070000}"/>
    <cellStyle name="20% - Akzent3 4" xfId="1805" xr:uid="{00000000-0005-0000-0000-00000B070000}"/>
    <cellStyle name="20% - Akzent3 4 2" xfId="1806" xr:uid="{00000000-0005-0000-0000-00000C070000}"/>
    <cellStyle name="20% - Akzent3 4 3" xfId="1807" xr:uid="{00000000-0005-0000-0000-00000D070000}"/>
    <cellStyle name="20% - Akzent3 4 4" xfId="1808" xr:uid="{00000000-0005-0000-0000-00000E070000}"/>
    <cellStyle name="20% - Akzent3 4 4 2" xfId="1809" xr:uid="{00000000-0005-0000-0000-00000F070000}"/>
    <cellStyle name="20% - Akzent3 4 5" xfId="1810" xr:uid="{00000000-0005-0000-0000-000010070000}"/>
    <cellStyle name="20% - Akzent3 40" xfId="1811" xr:uid="{00000000-0005-0000-0000-000011070000}"/>
    <cellStyle name="20% - Akzent3 40 2" xfId="1812" xr:uid="{00000000-0005-0000-0000-000012070000}"/>
    <cellStyle name="20% - Akzent3 41" xfId="1813" xr:uid="{00000000-0005-0000-0000-000013070000}"/>
    <cellStyle name="20% - Akzent3 41 2" xfId="1814" xr:uid="{00000000-0005-0000-0000-000014070000}"/>
    <cellStyle name="20% - Akzent3 42" xfId="1815" xr:uid="{00000000-0005-0000-0000-000015070000}"/>
    <cellStyle name="20% - Akzent3 42 2" xfId="1816" xr:uid="{00000000-0005-0000-0000-000016070000}"/>
    <cellStyle name="20% - Akzent3 43" xfId="1817" xr:uid="{00000000-0005-0000-0000-000017070000}"/>
    <cellStyle name="20% - Akzent3 43 2" xfId="1818" xr:uid="{00000000-0005-0000-0000-000018070000}"/>
    <cellStyle name="20% - Akzent3 44" xfId="1819" xr:uid="{00000000-0005-0000-0000-000019070000}"/>
    <cellStyle name="20% - Akzent3 44 2" xfId="1820" xr:uid="{00000000-0005-0000-0000-00001A070000}"/>
    <cellStyle name="20% - Akzent3 45" xfId="1821" xr:uid="{00000000-0005-0000-0000-00001B070000}"/>
    <cellStyle name="20% - Akzent3 45 2" xfId="1822" xr:uid="{00000000-0005-0000-0000-00001C070000}"/>
    <cellStyle name="20% - Akzent3 46" xfId="1823" xr:uid="{00000000-0005-0000-0000-00001D070000}"/>
    <cellStyle name="20% - Akzent3 46 2" xfId="1824" xr:uid="{00000000-0005-0000-0000-00001E070000}"/>
    <cellStyle name="20% - Akzent3 47" xfId="1825" xr:uid="{00000000-0005-0000-0000-00001F070000}"/>
    <cellStyle name="20% - Akzent3 47 2" xfId="1826" xr:uid="{00000000-0005-0000-0000-000020070000}"/>
    <cellStyle name="20% - Akzent3 48" xfId="1827" xr:uid="{00000000-0005-0000-0000-000021070000}"/>
    <cellStyle name="20% - Akzent3 48 2" xfId="1828" xr:uid="{00000000-0005-0000-0000-000022070000}"/>
    <cellStyle name="20% - Akzent3 49" xfId="1829" xr:uid="{00000000-0005-0000-0000-000023070000}"/>
    <cellStyle name="20% - Akzent3 49 2" xfId="1830" xr:uid="{00000000-0005-0000-0000-000024070000}"/>
    <cellStyle name="20% - Akzent3 5" xfId="1831" xr:uid="{00000000-0005-0000-0000-000025070000}"/>
    <cellStyle name="20% - Akzent3 5 2" xfId="1832" xr:uid="{00000000-0005-0000-0000-000026070000}"/>
    <cellStyle name="20% - Akzent3 50" xfId="1833" xr:uid="{00000000-0005-0000-0000-000027070000}"/>
    <cellStyle name="20% - Akzent3 50 2" xfId="1834" xr:uid="{00000000-0005-0000-0000-000028070000}"/>
    <cellStyle name="20% - Akzent3 51" xfId="1835" xr:uid="{00000000-0005-0000-0000-000029070000}"/>
    <cellStyle name="20% - Akzent3 51 2" xfId="1836" xr:uid="{00000000-0005-0000-0000-00002A070000}"/>
    <cellStyle name="20% - Akzent3 52" xfId="1837" xr:uid="{00000000-0005-0000-0000-00002B070000}"/>
    <cellStyle name="20% - Akzent3 52 2" xfId="1838" xr:uid="{00000000-0005-0000-0000-00002C070000}"/>
    <cellStyle name="20% - Akzent3 53" xfId="1839" xr:uid="{00000000-0005-0000-0000-00002D070000}"/>
    <cellStyle name="20% - Akzent3 53 2" xfId="1840" xr:uid="{00000000-0005-0000-0000-00002E070000}"/>
    <cellStyle name="20% - Akzent3 54" xfId="1841" xr:uid="{00000000-0005-0000-0000-00002F070000}"/>
    <cellStyle name="20% - Akzent3 54 2" xfId="1842" xr:uid="{00000000-0005-0000-0000-000030070000}"/>
    <cellStyle name="20% - Akzent3 55" xfId="1843" xr:uid="{00000000-0005-0000-0000-000031070000}"/>
    <cellStyle name="20% - Akzent3 55 2" xfId="1844" xr:uid="{00000000-0005-0000-0000-000032070000}"/>
    <cellStyle name="20% - Akzent3 56" xfId="1845" xr:uid="{00000000-0005-0000-0000-000033070000}"/>
    <cellStyle name="20% - Akzent3 56 2" xfId="1846" xr:uid="{00000000-0005-0000-0000-000034070000}"/>
    <cellStyle name="20% - Akzent3 57" xfId="1847" xr:uid="{00000000-0005-0000-0000-000035070000}"/>
    <cellStyle name="20% - Akzent3 57 2" xfId="1848" xr:uid="{00000000-0005-0000-0000-000036070000}"/>
    <cellStyle name="20% - Akzent3 58" xfId="1849" xr:uid="{00000000-0005-0000-0000-000037070000}"/>
    <cellStyle name="20% - Akzent3 58 2" xfId="1850" xr:uid="{00000000-0005-0000-0000-000038070000}"/>
    <cellStyle name="20% - Akzent3 59" xfId="1851" xr:uid="{00000000-0005-0000-0000-000039070000}"/>
    <cellStyle name="20% - Akzent3 59 2" xfId="1852" xr:uid="{00000000-0005-0000-0000-00003A070000}"/>
    <cellStyle name="20% - Akzent3 6" xfId="1853" xr:uid="{00000000-0005-0000-0000-00003B070000}"/>
    <cellStyle name="20% - Akzent3 6 2" xfId="1854" xr:uid="{00000000-0005-0000-0000-00003C070000}"/>
    <cellStyle name="20% - Akzent3 60" xfId="1855" xr:uid="{00000000-0005-0000-0000-00003D070000}"/>
    <cellStyle name="20% - Akzent3 60 2" xfId="1856" xr:uid="{00000000-0005-0000-0000-00003E070000}"/>
    <cellStyle name="20% - Akzent3 61" xfId="1857" xr:uid="{00000000-0005-0000-0000-00003F070000}"/>
    <cellStyle name="20% - Akzent3 61 2" xfId="1858" xr:uid="{00000000-0005-0000-0000-000040070000}"/>
    <cellStyle name="20% - Akzent3 62" xfId="1859" xr:uid="{00000000-0005-0000-0000-000041070000}"/>
    <cellStyle name="20% - Akzent3 62 2" xfId="1860" xr:uid="{00000000-0005-0000-0000-000042070000}"/>
    <cellStyle name="20% - Akzent3 63" xfId="1861" xr:uid="{00000000-0005-0000-0000-000043070000}"/>
    <cellStyle name="20% - Akzent3 63 2" xfId="1862" xr:uid="{00000000-0005-0000-0000-000044070000}"/>
    <cellStyle name="20% - Akzent3 64" xfId="1863" xr:uid="{00000000-0005-0000-0000-000045070000}"/>
    <cellStyle name="20% - Akzent3 64 2" xfId="1864" xr:uid="{00000000-0005-0000-0000-000046070000}"/>
    <cellStyle name="20% - Akzent3 65" xfId="1865" xr:uid="{00000000-0005-0000-0000-000047070000}"/>
    <cellStyle name="20% - Akzent3 65 2" xfId="1866" xr:uid="{00000000-0005-0000-0000-000048070000}"/>
    <cellStyle name="20% - Akzent3 66" xfId="1867" xr:uid="{00000000-0005-0000-0000-000049070000}"/>
    <cellStyle name="20% - Akzent3 66 2" xfId="1868" xr:uid="{00000000-0005-0000-0000-00004A070000}"/>
    <cellStyle name="20% - Akzent3 67" xfId="1869" xr:uid="{00000000-0005-0000-0000-00004B070000}"/>
    <cellStyle name="20% - Akzent3 67 2" xfId="1870" xr:uid="{00000000-0005-0000-0000-00004C070000}"/>
    <cellStyle name="20% - Akzent3 68" xfId="1871" xr:uid="{00000000-0005-0000-0000-00004D070000}"/>
    <cellStyle name="20% - Akzent3 68 2" xfId="1872" xr:uid="{00000000-0005-0000-0000-00004E070000}"/>
    <cellStyle name="20% - Akzent3 69" xfId="1873" xr:uid="{00000000-0005-0000-0000-00004F070000}"/>
    <cellStyle name="20% - Akzent3 69 2" xfId="1874" xr:uid="{00000000-0005-0000-0000-000050070000}"/>
    <cellStyle name="20% - Akzent3 7" xfId="1875" xr:uid="{00000000-0005-0000-0000-000051070000}"/>
    <cellStyle name="20% - Akzent3 7 2" xfId="1876" xr:uid="{00000000-0005-0000-0000-000052070000}"/>
    <cellStyle name="20% - Akzent3 70" xfId="1877" xr:uid="{00000000-0005-0000-0000-000053070000}"/>
    <cellStyle name="20% - Akzent3 70 2" xfId="1878" xr:uid="{00000000-0005-0000-0000-000054070000}"/>
    <cellStyle name="20% - Akzent3 71" xfId="1879" xr:uid="{00000000-0005-0000-0000-000055070000}"/>
    <cellStyle name="20% - Akzent3 71 2" xfId="1880" xr:uid="{00000000-0005-0000-0000-000056070000}"/>
    <cellStyle name="20% - Akzent3 72" xfId="1881" xr:uid="{00000000-0005-0000-0000-000057070000}"/>
    <cellStyle name="20% - Akzent3 72 2" xfId="1882" xr:uid="{00000000-0005-0000-0000-000058070000}"/>
    <cellStyle name="20% - Akzent3 73" xfId="1883" xr:uid="{00000000-0005-0000-0000-000059070000}"/>
    <cellStyle name="20% - Akzent3 73 2" xfId="1884" xr:uid="{00000000-0005-0000-0000-00005A070000}"/>
    <cellStyle name="20% - Akzent3 74" xfId="1885" xr:uid="{00000000-0005-0000-0000-00005B070000}"/>
    <cellStyle name="20% - Akzent3 74 2" xfId="1886" xr:uid="{00000000-0005-0000-0000-00005C070000}"/>
    <cellStyle name="20% - Akzent3 75" xfId="1887" xr:uid="{00000000-0005-0000-0000-00005D070000}"/>
    <cellStyle name="20% - Akzent3 75 2" xfId="1888" xr:uid="{00000000-0005-0000-0000-00005E070000}"/>
    <cellStyle name="20% - Akzent3 76" xfId="1889" xr:uid="{00000000-0005-0000-0000-00005F070000}"/>
    <cellStyle name="20% - Akzent3 76 2" xfId="1890" xr:uid="{00000000-0005-0000-0000-000060070000}"/>
    <cellStyle name="20% - Akzent3 77" xfId="1891" xr:uid="{00000000-0005-0000-0000-000061070000}"/>
    <cellStyle name="20% - Akzent3 77 2" xfId="1892" xr:uid="{00000000-0005-0000-0000-000062070000}"/>
    <cellStyle name="20% - Akzent3 78" xfId="1893" xr:uid="{00000000-0005-0000-0000-000063070000}"/>
    <cellStyle name="20% - Akzent3 78 2" xfId="1894" xr:uid="{00000000-0005-0000-0000-000064070000}"/>
    <cellStyle name="20% - Akzent3 79" xfId="1895" xr:uid="{00000000-0005-0000-0000-000065070000}"/>
    <cellStyle name="20% - Akzent3 79 2" xfId="1896" xr:uid="{00000000-0005-0000-0000-000066070000}"/>
    <cellStyle name="20% - Akzent3 8" xfId="1897" xr:uid="{00000000-0005-0000-0000-000067070000}"/>
    <cellStyle name="20% - Akzent3 8 2" xfId="1898" xr:uid="{00000000-0005-0000-0000-000068070000}"/>
    <cellStyle name="20% - Akzent3 80" xfId="1899" xr:uid="{00000000-0005-0000-0000-000069070000}"/>
    <cellStyle name="20% - Akzent3 80 2" xfId="1900" xr:uid="{00000000-0005-0000-0000-00006A070000}"/>
    <cellStyle name="20% - Akzent3 81" xfId="1901" xr:uid="{00000000-0005-0000-0000-00006B070000}"/>
    <cellStyle name="20% - Akzent3 81 2" xfId="1902" xr:uid="{00000000-0005-0000-0000-00006C070000}"/>
    <cellStyle name="20% - Akzent3 82" xfId="1903" xr:uid="{00000000-0005-0000-0000-00006D070000}"/>
    <cellStyle name="20% - Akzent3 82 2" xfId="1904" xr:uid="{00000000-0005-0000-0000-00006E070000}"/>
    <cellStyle name="20% - Akzent3 83" xfId="1905" xr:uid="{00000000-0005-0000-0000-00006F070000}"/>
    <cellStyle name="20% - Akzent3 83 2" xfId="1906" xr:uid="{00000000-0005-0000-0000-000070070000}"/>
    <cellStyle name="20% - Akzent3 84" xfId="1907" xr:uid="{00000000-0005-0000-0000-000071070000}"/>
    <cellStyle name="20% - Akzent3 84 2" xfId="1908" xr:uid="{00000000-0005-0000-0000-000072070000}"/>
    <cellStyle name="20% - Akzent3 85" xfId="1909" xr:uid="{00000000-0005-0000-0000-000073070000}"/>
    <cellStyle name="20% - Akzent3 85 2" xfId="1910" xr:uid="{00000000-0005-0000-0000-000074070000}"/>
    <cellStyle name="20% - Akzent3 86" xfId="1911" xr:uid="{00000000-0005-0000-0000-000075070000}"/>
    <cellStyle name="20% - Akzent3 86 2" xfId="1912" xr:uid="{00000000-0005-0000-0000-000076070000}"/>
    <cellStyle name="20% - Akzent3 87" xfId="1913" xr:uid="{00000000-0005-0000-0000-000077070000}"/>
    <cellStyle name="20% - Akzent3 87 2" xfId="1914" xr:uid="{00000000-0005-0000-0000-000078070000}"/>
    <cellStyle name="20% - Akzent3 88" xfId="1915" xr:uid="{00000000-0005-0000-0000-000079070000}"/>
    <cellStyle name="20% - Akzent3 88 2" xfId="1916" xr:uid="{00000000-0005-0000-0000-00007A070000}"/>
    <cellStyle name="20% - Akzent3 89" xfId="1917" xr:uid="{00000000-0005-0000-0000-00007B070000}"/>
    <cellStyle name="20% - Akzent3 89 2" xfId="1918" xr:uid="{00000000-0005-0000-0000-00007C070000}"/>
    <cellStyle name="20% - Akzent3 9" xfId="1919" xr:uid="{00000000-0005-0000-0000-00007D070000}"/>
    <cellStyle name="20% - Akzent3 9 2" xfId="1920" xr:uid="{00000000-0005-0000-0000-00007E070000}"/>
    <cellStyle name="20% - Akzent3 90" xfId="1921" xr:uid="{00000000-0005-0000-0000-00007F070000}"/>
    <cellStyle name="20% - Akzent3 90 2" xfId="1922" xr:uid="{00000000-0005-0000-0000-000080070000}"/>
    <cellStyle name="20% - Akzent3 91" xfId="1923" xr:uid="{00000000-0005-0000-0000-000081070000}"/>
    <cellStyle name="20% - Akzent3 91 2" xfId="1924" xr:uid="{00000000-0005-0000-0000-000082070000}"/>
    <cellStyle name="20% - Akzent3 92" xfId="1925" xr:uid="{00000000-0005-0000-0000-000083070000}"/>
    <cellStyle name="20% - Akzent3 92 2" xfId="1926" xr:uid="{00000000-0005-0000-0000-000084070000}"/>
    <cellStyle name="20% - Akzent3 93" xfId="1927" xr:uid="{00000000-0005-0000-0000-000085070000}"/>
    <cellStyle name="20% - Akzent3 93 2" xfId="1928" xr:uid="{00000000-0005-0000-0000-000086070000}"/>
    <cellStyle name="20% - Akzent3 94" xfId="1929" xr:uid="{00000000-0005-0000-0000-000087070000}"/>
    <cellStyle name="20% - Akzent3 94 2" xfId="1930" xr:uid="{00000000-0005-0000-0000-000088070000}"/>
    <cellStyle name="20% - Akzent3 95" xfId="1931" xr:uid="{00000000-0005-0000-0000-000089070000}"/>
    <cellStyle name="20% - Akzent3 95 2" xfId="1932" xr:uid="{00000000-0005-0000-0000-00008A070000}"/>
    <cellStyle name="20% - Akzent3 96" xfId="1933" xr:uid="{00000000-0005-0000-0000-00008B070000}"/>
    <cellStyle name="20% - Akzent3 96 2" xfId="1934" xr:uid="{00000000-0005-0000-0000-00008C070000}"/>
    <cellStyle name="20% - Akzent3 97" xfId="1935" xr:uid="{00000000-0005-0000-0000-00008D070000}"/>
    <cellStyle name="20% - Akzent3 97 2" xfId="1936" xr:uid="{00000000-0005-0000-0000-00008E070000}"/>
    <cellStyle name="20% - Akzent3 98" xfId="1937" xr:uid="{00000000-0005-0000-0000-00008F070000}"/>
    <cellStyle name="20% - Akzent3 98 2" xfId="1938" xr:uid="{00000000-0005-0000-0000-000090070000}"/>
    <cellStyle name="20% - Akzent3 99" xfId="1939" xr:uid="{00000000-0005-0000-0000-000091070000}"/>
    <cellStyle name="20% - Akzent3 99 2" xfId="1940" xr:uid="{00000000-0005-0000-0000-000092070000}"/>
    <cellStyle name="20% - Akzent4 10" xfId="1941" xr:uid="{00000000-0005-0000-0000-000093070000}"/>
    <cellStyle name="20% - Akzent4 10 2" xfId="1942" xr:uid="{00000000-0005-0000-0000-000094070000}"/>
    <cellStyle name="20% - Akzent4 100" xfId="1943" xr:uid="{00000000-0005-0000-0000-000095070000}"/>
    <cellStyle name="20% - Akzent4 100 2" xfId="1944" xr:uid="{00000000-0005-0000-0000-000096070000}"/>
    <cellStyle name="20% - Akzent4 101" xfId="1945" xr:uid="{00000000-0005-0000-0000-000097070000}"/>
    <cellStyle name="20% - Akzent4 101 2" xfId="1946" xr:uid="{00000000-0005-0000-0000-000098070000}"/>
    <cellStyle name="20% - Akzent4 102" xfId="1947" xr:uid="{00000000-0005-0000-0000-000099070000}"/>
    <cellStyle name="20% - Akzent4 102 2" xfId="1948" xr:uid="{00000000-0005-0000-0000-00009A070000}"/>
    <cellStyle name="20% - Akzent4 103" xfId="1949" xr:uid="{00000000-0005-0000-0000-00009B070000}"/>
    <cellStyle name="20% - Akzent4 103 2" xfId="1950" xr:uid="{00000000-0005-0000-0000-00009C070000}"/>
    <cellStyle name="20% - Akzent4 104" xfId="1951" xr:uid="{00000000-0005-0000-0000-00009D070000}"/>
    <cellStyle name="20% - Akzent4 104 2" xfId="1952" xr:uid="{00000000-0005-0000-0000-00009E070000}"/>
    <cellStyle name="20% - Akzent4 105" xfId="1953" xr:uid="{00000000-0005-0000-0000-00009F070000}"/>
    <cellStyle name="20% - Akzent4 105 2" xfId="1954" xr:uid="{00000000-0005-0000-0000-0000A0070000}"/>
    <cellStyle name="20% - Akzent4 106" xfId="1955" xr:uid="{00000000-0005-0000-0000-0000A1070000}"/>
    <cellStyle name="20% - Akzent4 106 2" xfId="1956" xr:uid="{00000000-0005-0000-0000-0000A2070000}"/>
    <cellStyle name="20% - Akzent4 107" xfId="1957" xr:uid="{00000000-0005-0000-0000-0000A3070000}"/>
    <cellStyle name="20% - Akzent4 107 2" xfId="1958" xr:uid="{00000000-0005-0000-0000-0000A4070000}"/>
    <cellStyle name="20% - Akzent4 108" xfId="1959" xr:uid="{00000000-0005-0000-0000-0000A5070000}"/>
    <cellStyle name="20% - Akzent4 108 2" xfId="1960" xr:uid="{00000000-0005-0000-0000-0000A6070000}"/>
    <cellStyle name="20% - Akzent4 109" xfId="1961" xr:uid="{00000000-0005-0000-0000-0000A7070000}"/>
    <cellStyle name="20% - Akzent4 109 2" xfId="1962" xr:uid="{00000000-0005-0000-0000-0000A8070000}"/>
    <cellStyle name="20% - Akzent4 11" xfId="1963" xr:uid="{00000000-0005-0000-0000-0000A9070000}"/>
    <cellStyle name="20% - Akzent4 11 2" xfId="1964" xr:uid="{00000000-0005-0000-0000-0000AA070000}"/>
    <cellStyle name="20% - Akzent4 110" xfId="1965" xr:uid="{00000000-0005-0000-0000-0000AB070000}"/>
    <cellStyle name="20% - Akzent4 110 2" xfId="1966" xr:uid="{00000000-0005-0000-0000-0000AC070000}"/>
    <cellStyle name="20% - Akzent4 111" xfId="1967" xr:uid="{00000000-0005-0000-0000-0000AD070000}"/>
    <cellStyle name="20% - Akzent4 111 2" xfId="1968" xr:uid="{00000000-0005-0000-0000-0000AE070000}"/>
    <cellStyle name="20% - Akzent4 112" xfId="1969" xr:uid="{00000000-0005-0000-0000-0000AF070000}"/>
    <cellStyle name="20% - Akzent4 112 2" xfId="1970" xr:uid="{00000000-0005-0000-0000-0000B0070000}"/>
    <cellStyle name="20% - Akzent4 113" xfId="1971" xr:uid="{00000000-0005-0000-0000-0000B1070000}"/>
    <cellStyle name="20% - Akzent4 113 2" xfId="1972" xr:uid="{00000000-0005-0000-0000-0000B2070000}"/>
    <cellStyle name="20% - Akzent4 114" xfId="1973" xr:uid="{00000000-0005-0000-0000-0000B3070000}"/>
    <cellStyle name="20% - Akzent4 114 2" xfId="1974" xr:uid="{00000000-0005-0000-0000-0000B4070000}"/>
    <cellStyle name="20% - Akzent4 115" xfId="1975" xr:uid="{00000000-0005-0000-0000-0000B5070000}"/>
    <cellStyle name="20% - Akzent4 115 2" xfId="1976" xr:uid="{00000000-0005-0000-0000-0000B6070000}"/>
    <cellStyle name="20% - Akzent4 116" xfId="1977" xr:uid="{00000000-0005-0000-0000-0000B7070000}"/>
    <cellStyle name="20% - Akzent4 116 2" xfId="1978" xr:uid="{00000000-0005-0000-0000-0000B8070000}"/>
    <cellStyle name="20% - Akzent4 117" xfId="1979" xr:uid="{00000000-0005-0000-0000-0000B9070000}"/>
    <cellStyle name="20% - Akzent4 117 2" xfId="1980" xr:uid="{00000000-0005-0000-0000-0000BA070000}"/>
    <cellStyle name="20% - Akzent4 118" xfId="1981" xr:uid="{00000000-0005-0000-0000-0000BB070000}"/>
    <cellStyle name="20% - Akzent4 118 2" xfId="1982" xr:uid="{00000000-0005-0000-0000-0000BC070000}"/>
    <cellStyle name="20% - Akzent4 119" xfId="1983" xr:uid="{00000000-0005-0000-0000-0000BD070000}"/>
    <cellStyle name="20% - Akzent4 119 2" xfId="1984" xr:uid="{00000000-0005-0000-0000-0000BE070000}"/>
    <cellStyle name="20% - Akzent4 12" xfId="1985" xr:uid="{00000000-0005-0000-0000-0000BF070000}"/>
    <cellStyle name="20% - Akzent4 12 2" xfId="1986" xr:uid="{00000000-0005-0000-0000-0000C0070000}"/>
    <cellStyle name="20% - Akzent4 120" xfId="1987" xr:uid="{00000000-0005-0000-0000-0000C1070000}"/>
    <cellStyle name="20% - Akzent4 120 2" xfId="1988" xr:uid="{00000000-0005-0000-0000-0000C2070000}"/>
    <cellStyle name="20% - Akzent4 121" xfId="1989" xr:uid="{00000000-0005-0000-0000-0000C3070000}"/>
    <cellStyle name="20% - Akzent4 121 2" xfId="1990" xr:uid="{00000000-0005-0000-0000-0000C4070000}"/>
    <cellStyle name="20% - Akzent4 122" xfId="1991" xr:uid="{00000000-0005-0000-0000-0000C5070000}"/>
    <cellStyle name="20% - Akzent4 122 2" xfId="1992" xr:uid="{00000000-0005-0000-0000-0000C6070000}"/>
    <cellStyle name="20% - Akzent4 123" xfId="1993" xr:uid="{00000000-0005-0000-0000-0000C7070000}"/>
    <cellStyle name="20% - Akzent4 123 2" xfId="1994" xr:uid="{00000000-0005-0000-0000-0000C8070000}"/>
    <cellStyle name="20% - Akzent4 124" xfId="1995" xr:uid="{00000000-0005-0000-0000-0000C9070000}"/>
    <cellStyle name="20% - Akzent4 124 2" xfId="1996" xr:uid="{00000000-0005-0000-0000-0000CA070000}"/>
    <cellStyle name="20% - Akzent4 125" xfId="1997" xr:uid="{00000000-0005-0000-0000-0000CB070000}"/>
    <cellStyle name="20% - Akzent4 125 2" xfId="1998" xr:uid="{00000000-0005-0000-0000-0000CC070000}"/>
    <cellStyle name="20% - Akzent4 126" xfId="1999" xr:uid="{00000000-0005-0000-0000-0000CD070000}"/>
    <cellStyle name="20% - Akzent4 126 2" xfId="2000" xr:uid="{00000000-0005-0000-0000-0000CE070000}"/>
    <cellStyle name="20% - Akzent4 127" xfId="2001" xr:uid="{00000000-0005-0000-0000-0000CF070000}"/>
    <cellStyle name="20% - Akzent4 127 2" xfId="2002" xr:uid="{00000000-0005-0000-0000-0000D0070000}"/>
    <cellStyle name="20% - Akzent4 128" xfId="2003" xr:uid="{00000000-0005-0000-0000-0000D1070000}"/>
    <cellStyle name="20% - Akzent4 128 2" xfId="2004" xr:uid="{00000000-0005-0000-0000-0000D2070000}"/>
    <cellStyle name="20% - Akzent4 129" xfId="2005" xr:uid="{00000000-0005-0000-0000-0000D3070000}"/>
    <cellStyle name="20% - Akzent4 129 2" xfId="2006" xr:uid="{00000000-0005-0000-0000-0000D4070000}"/>
    <cellStyle name="20% - Akzent4 13" xfId="2007" xr:uid="{00000000-0005-0000-0000-0000D5070000}"/>
    <cellStyle name="20% - Akzent4 13 2" xfId="2008" xr:uid="{00000000-0005-0000-0000-0000D6070000}"/>
    <cellStyle name="20% - Akzent4 130" xfId="2009" xr:uid="{00000000-0005-0000-0000-0000D7070000}"/>
    <cellStyle name="20% - Akzent4 130 2" xfId="2010" xr:uid="{00000000-0005-0000-0000-0000D8070000}"/>
    <cellStyle name="20% - Akzent4 131" xfId="2011" xr:uid="{00000000-0005-0000-0000-0000D9070000}"/>
    <cellStyle name="20% - Akzent4 131 2" xfId="2012" xr:uid="{00000000-0005-0000-0000-0000DA070000}"/>
    <cellStyle name="20% - Akzent4 132" xfId="2013" xr:uid="{00000000-0005-0000-0000-0000DB070000}"/>
    <cellStyle name="20% - Akzent4 132 2" xfId="2014" xr:uid="{00000000-0005-0000-0000-0000DC070000}"/>
    <cellStyle name="20% - Akzent4 133" xfId="2015" xr:uid="{00000000-0005-0000-0000-0000DD070000}"/>
    <cellStyle name="20% - Akzent4 133 2" xfId="2016" xr:uid="{00000000-0005-0000-0000-0000DE070000}"/>
    <cellStyle name="20% - Akzent4 134" xfId="2017" xr:uid="{00000000-0005-0000-0000-0000DF070000}"/>
    <cellStyle name="20% - Akzent4 134 2" xfId="2018" xr:uid="{00000000-0005-0000-0000-0000E0070000}"/>
    <cellStyle name="20% - Akzent4 135" xfId="2019" xr:uid="{00000000-0005-0000-0000-0000E1070000}"/>
    <cellStyle name="20% - Akzent4 135 2" xfId="2020" xr:uid="{00000000-0005-0000-0000-0000E2070000}"/>
    <cellStyle name="20% - Akzent4 136" xfId="2021" xr:uid="{00000000-0005-0000-0000-0000E3070000}"/>
    <cellStyle name="20% - Akzent4 136 2" xfId="2022" xr:uid="{00000000-0005-0000-0000-0000E4070000}"/>
    <cellStyle name="20% - Akzent4 137" xfId="2023" xr:uid="{00000000-0005-0000-0000-0000E5070000}"/>
    <cellStyle name="20% - Akzent4 137 2" xfId="2024" xr:uid="{00000000-0005-0000-0000-0000E6070000}"/>
    <cellStyle name="20% - Akzent4 138" xfId="2025" xr:uid="{00000000-0005-0000-0000-0000E7070000}"/>
    <cellStyle name="20% - Akzent4 138 2" xfId="2026" xr:uid="{00000000-0005-0000-0000-0000E8070000}"/>
    <cellStyle name="20% - Akzent4 139" xfId="2027" xr:uid="{00000000-0005-0000-0000-0000E9070000}"/>
    <cellStyle name="20% - Akzent4 139 2" xfId="2028" xr:uid="{00000000-0005-0000-0000-0000EA070000}"/>
    <cellStyle name="20% - Akzent4 14" xfId="2029" xr:uid="{00000000-0005-0000-0000-0000EB070000}"/>
    <cellStyle name="20% - Akzent4 14 2" xfId="2030" xr:uid="{00000000-0005-0000-0000-0000EC070000}"/>
    <cellStyle name="20% - Akzent4 140" xfId="2031" xr:uid="{00000000-0005-0000-0000-0000ED070000}"/>
    <cellStyle name="20% - Akzent4 140 2" xfId="2032" xr:uid="{00000000-0005-0000-0000-0000EE070000}"/>
    <cellStyle name="20% - Akzent4 141" xfId="2033" xr:uid="{00000000-0005-0000-0000-0000EF070000}"/>
    <cellStyle name="20% - Akzent4 141 2" xfId="2034" xr:uid="{00000000-0005-0000-0000-0000F0070000}"/>
    <cellStyle name="20% - Akzent4 142" xfId="2035" xr:uid="{00000000-0005-0000-0000-0000F1070000}"/>
    <cellStyle name="20% - Akzent4 142 2" xfId="2036" xr:uid="{00000000-0005-0000-0000-0000F2070000}"/>
    <cellStyle name="20% - Akzent4 143" xfId="2037" xr:uid="{00000000-0005-0000-0000-0000F3070000}"/>
    <cellStyle name="20% - Akzent4 143 2" xfId="2038" xr:uid="{00000000-0005-0000-0000-0000F4070000}"/>
    <cellStyle name="20% - Akzent4 144" xfId="2039" xr:uid="{00000000-0005-0000-0000-0000F5070000}"/>
    <cellStyle name="20% - Akzent4 144 2" xfId="2040" xr:uid="{00000000-0005-0000-0000-0000F6070000}"/>
    <cellStyle name="20% - Akzent4 145" xfId="2041" xr:uid="{00000000-0005-0000-0000-0000F7070000}"/>
    <cellStyle name="20% - Akzent4 145 2" xfId="2042" xr:uid="{00000000-0005-0000-0000-0000F8070000}"/>
    <cellStyle name="20% - Akzent4 146" xfId="2043" xr:uid="{00000000-0005-0000-0000-0000F9070000}"/>
    <cellStyle name="20% - Akzent4 146 2" xfId="2044" xr:uid="{00000000-0005-0000-0000-0000FA070000}"/>
    <cellStyle name="20% - Akzent4 147" xfId="2045" xr:uid="{00000000-0005-0000-0000-0000FB070000}"/>
    <cellStyle name="20% - Akzent4 147 2" xfId="2046" xr:uid="{00000000-0005-0000-0000-0000FC070000}"/>
    <cellStyle name="20% - Akzent4 148" xfId="2047" xr:uid="{00000000-0005-0000-0000-0000FD070000}"/>
    <cellStyle name="20% - Akzent4 148 2" xfId="2048" xr:uid="{00000000-0005-0000-0000-0000FE070000}"/>
    <cellStyle name="20% - Akzent4 149" xfId="2049" xr:uid="{00000000-0005-0000-0000-0000FF070000}"/>
    <cellStyle name="20% - Akzent4 149 2" xfId="2050" xr:uid="{00000000-0005-0000-0000-000000080000}"/>
    <cellStyle name="20% - Akzent4 15" xfId="2051" xr:uid="{00000000-0005-0000-0000-000001080000}"/>
    <cellStyle name="20% - Akzent4 15 2" xfId="2052" xr:uid="{00000000-0005-0000-0000-000002080000}"/>
    <cellStyle name="20% - Akzent4 150" xfId="2053" xr:uid="{00000000-0005-0000-0000-000003080000}"/>
    <cellStyle name="20% - Akzent4 150 2" xfId="2054" xr:uid="{00000000-0005-0000-0000-000004080000}"/>
    <cellStyle name="20% - Akzent4 151" xfId="2055" xr:uid="{00000000-0005-0000-0000-000005080000}"/>
    <cellStyle name="20% - Akzent4 151 2" xfId="2056" xr:uid="{00000000-0005-0000-0000-000006080000}"/>
    <cellStyle name="20% - Akzent4 16" xfId="2057" xr:uid="{00000000-0005-0000-0000-000007080000}"/>
    <cellStyle name="20% - Akzent4 16 2" xfId="2058" xr:uid="{00000000-0005-0000-0000-000008080000}"/>
    <cellStyle name="20% - Akzent4 17" xfId="2059" xr:uid="{00000000-0005-0000-0000-000009080000}"/>
    <cellStyle name="20% - Akzent4 17 2" xfId="2060" xr:uid="{00000000-0005-0000-0000-00000A080000}"/>
    <cellStyle name="20% - Akzent4 18" xfId="2061" xr:uid="{00000000-0005-0000-0000-00000B080000}"/>
    <cellStyle name="20% - Akzent4 18 2" xfId="2062" xr:uid="{00000000-0005-0000-0000-00000C080000}"/>
    <cellStyle name="20% - Akzent4 19" xfId="2063" xr:uid="{00000000-0005-0000-0000-00000D080000}"/>
    <cellStyle name="20% - Akzent4 19 2" xfId="2064" xr:uid="{00000000-0005-0000-0000-00000E080000}"/>
    <cellStyle name="20% - Akzent4 2" xfId="2065" xr:uid="{00000000-0005-0000-0000-00000F080000}"/>
    <cellStyle name="20% - Akzent4 2 2" xfId="2066" xr:uid="{00000000-0005-0000-0000-000010080000}"/>
    <cellStyle name="20% - Akzent4 2 3" xfId="2067" xr:uid="{00000000-0005-0000-0000-000011080000}"/>
    <cellStyle name="20% - Akzent4 2 4" xfId="2068" xr:uid="{00000000-0005-0000-0000-000012080000}"/>
    <cellStyle name="20% - Akzent4 2 4 2" xfId="2069" xr:uid="{00000000-0005-0000-0000-000013080000}"/>
    <cellStyle name="20% - Akzent4 2 5" xfId="2070" xr:uid="{00000000-0005-0000-0000-000014080000}"/>
    <cellStyle name="20% - Akzent4 20" xfId="2071" xr:uid="{00000000-0005-0000-0000-000015080000}"/>
    <cellStyle name="20% - Akzent4 20 2" xfId="2072" xr:uid="{00000000-0005-0000-0000-000016080000}"/>
    <cellStyle name="20% - Akzent4 21" xfId="2073" xr:uid="{00000000-0005-0000-0000-000017080000}"/>
    <cellStyle name="20% - Akzent4 21 2" xfId="2074" xr:uid="{00000000-0005-0000-0000-000018080000}"/>
    <cellStyle name="20% - Akzent4 22" xfId="2075" xr:uid="{00000000-0005-0000-0000-000019080000}"/>
    <cellStyle name="20% - Akzent4 22 2" xfId="2076" xr:uid="{00000000-0005-0000-0000-00001A080000}"/>
    <cellStyle name="20% - Akzent4 23" xfId="2077" xr:uid="{00000000-0005-0000-0000-00001B080000}"/>
    <cellStyle name="20% - Akzent4 23 2" xfId="2078" xr:uid="{00000000-0005-0000-0000-00001C080000}"/>
    <cellStyle name="20% - Akzent4 24" xfId="2079" xr:uid="{00000000-0005-0000-0000-00001D080000}"/>
    <cellStyle name="20% - Akzent4 24 2" xfId="2080" xr:uid="{00000000-0005-0000-0000-00001E080000}"/>
    <cellStyle name="20% - Akzent4 25" xfId="2081" xr:uid="{00000000-0005-0000-0000-00001F080000}"/>
    <cellStyle name="20% - Akzent4 25 2" xfId="2082" xr:uid="{00000000-0005-0000-0000-000020080000}"/>
    <cellStyle name="20% - Akzent4 26" xfId="2083" xr:uid="{00000000-0005-0000-0000-000021080000}"/>
    <cellStyle name="20% - Akzent4 26 2" xfId="2084" xr:uid="{00000000-0005-0000-0000-000022080000}"/>
    <cellStyle name="20% - Akzent4 27" xfId="2085" xr:uid="{00000000-0005-0000-0000-000023080000}"/>
    <cellStyle name="20% - Akzent4 27 2" xfId="2086" xr:uid="{00000000-0005-0000-0000-000024080000}"/>
    <cellStyle name="20% - Akzent4 28" xfId="2087" xr:uid="{00000000-0005-0000-0000-000025080000}"/>
    <cellStyle name="20% - Akzent4 28 2" xfId="2088" xr:uid="{00000000-0005-0000-0000-000026080000}"/>
    <cellStyle name="20% - Akzent4 29" xfId="2089" xr:uid="{00000000-0005-0000-0000-000027080000}"/>
    <cellStyle name="20% - Akzent4 29 2" xfId="2090" xr:uid="{00000000-0005-0000-0000-000028080000}"/>
    <cellStyle name="20% - Akzent4 3" xfId="2091" xr:uid="{00000000-0005-0000-0000-000029080000}"/>
    <cellStyle name="20% - Akzent4 3 2" xfId="2092" xr:uid="{00000000-0005-0000-0000-00002A080000}"/>
    <cellStyle name="20% - Akzent4 3 3" xfId="2093" xr:uid="{00000000-0005-0000-0000-00002B080000}"/>
    <cellStyle name="20% - Akzent4 3 4" xfId="2094" xr:uid="{00000000-0005-0000-0000-00002C080000}"/>
    <cellStyle name="20% - Akzent4 3 4 2" xfId="2095" xr:uid="{00000000-0005-0000-0000-00002D080000}"/>
    <cellStyle name="20% - Akzent4 3 5" xfId="2096" xr:uid="{00000000-0005-0000-0000-00002E080000}"/>
    <cellStyle name="20% - Akzent4 30" xfId="2097" xr:uid="{00000000-0005-0000-0000-00002F080000}"/>
    <cellStyle name="20% - Akzent4 30 2" xfId="2098" xr:uid="{00000000-0005-0000-0000-000030080000}"/>
    <cellStyle name="20% - Akzent4 31" xfId="2099" xr:uid="{00000000-0005-0000-0000-000031080000}"/>
    <cellStyle name="20% - Akzent4 31 2" xfId="2100" xr:uid="{00000000-0005-0000-0000-000032080000}"/>
    <cellStyle name="20% - Akzent4 32" xfId="2101" xr:uid="{00000000-0005-0000-0000-000033080000}"/>
    <cellStyle name="20% - Akzent4 32 2" xfId="2102" xr:uid="{00000000-0005-0000-0000-000034080000}"/>
    <cellStyle name="20% - Akzent4 33" xfId="2103" xr:uid="{00000000-0005-0000-0000-000035080000}"/>
    <cellStyle name="20% - Akzent4 33 2" xfId="2104" xr:uid="{00000000-0005-0000-0000-000036080000}"/>
    <cellStyle name="20% - Akzent4 34" xfId="2105" xr:uid="{00000000-0005-0000-0000-000037080000}"/>
    <cellStyle name="20% - Akzent4 34 2" xfId="2106" xr:uid="{00000000-0005-0000-0000-000038080000}"/>
    <cellStyle name="20% - Akzent4 35" xfId="2107" xr:uid="{00000000-0005-0000-0000-000039080000}"/>
    <cellStyle name="20% - Akzent4 35 2" xfId="2108" xr:uid="{00000000-0005-0000-0000-00003A080000}"/>
    <cellStyle name="20% - Akzent4 36" xfId="2109" xr:uid="{00000000-0005-0000-0000-00003B080000}"/>
    <cellStyle name="20% - Akzent4 36 2" xfId="2110" xr:uid="{00000000-0005-0000-0000-00003C080000}"/>
    <cellStyle name="20% - Akzent4 37" xfId="2111" xr:uid="{00000000-0005-0000-0000-00003D080000}"/>
    <cellStyle name="20% - Akzent4 37 2" xfId="2112" xr:uid="{00000000-0005-0000-0000-00003E080000}"/>
    <cellStyle name="20% - Akzent4 38" xfId="2113" xr:uid="{00000000-0005-0000-0000-00003F080000}"/>
    <cellStyle name="20% - Akzent4 38 2" xfId="2114" xr:uid="{00000000-0005-0000-0000-000040080000}"/>
    <cellStyle name="20% - Akzent4 39" xfId="2115" xr:uid="{00000000-0005-0000-0000-000041080000}"/>
    <cellStyle name="20% - Akzent4 39 2" xfId="2116" xr:uid="{00000000-0005-0000-0000-000042080000}"/>
    <cellStyle name="20% - Akzent4 4" xfId="2117" xr:uid="{00000000-0005-0000-0000-000043080000}"/>
    <cellStyle name="20% - Akzent4 4 2" xfId="2118" xr:uid="{00000000-0005-0000-0000-000044080000}"/>
    <cellStyle name="20% - Akzent4 4 3" xfId="2119" xr:uid="{00000000-0005-0000-0000-000045080000}"/>
    <cellStyle name="20% - Akzent4 4 4" xfId="2120" xr:uid="{00000000-0005-0000-0000-000046080000}"/>
    <cellStyle name="20% - Akzent4 4 4 2" xfId="2121" xr:uid="{00000000-0005-0000-0000-000047080000}"/>
    <cellStyle name="20% - Akzent4 4 5" xfId="2122" xr:uid="{00000000-0005-0000-0000-000048080000}"/>
    <cellStyle name="20% - Akzent4 40" xfId="2123" xr:uid="{00000000-0005-0000-0000-000049080000}"/>
    <cellStyle name="20% - Akzent4 40 2" xfId="2124" xr:uid="{00000000-0005-0000-0000-00004A080000}"/>
    <cellStyle name="20% - Akzent4 41" xfId="2125" xr:uid="{00000000-0005-0000-0000-00004B080000}"/>
    <cellStyle name="20% - Akzent4 41 2" xfId="2126" xr:uid="{00000000-0005-0000-0000-00004C080000}"/>
    <cellStyle name="20% - Akzent4 42" xfId="2127" xr:uid="{00000000-0005-0000-0000-00004D080000}"/>
    <cellStyle name="20% - Akzent4 42 2" xfId="2128" xr:uid="{00000000-0005-0000-0000-00004E080000}"/>
    <cellStyle name="20% - Akzent4 43" xfId="2129" xr:uid="{00000000-0005-0000-0000-00004F080000}"/>
    <cellStyle name="20% - Akzent4 43 2" xfId="2130" xr:uid="{00000000-0005-0000-0000-000050080000}"/>
    <cellStyle name="20% - Akzent4 44" xfId="2131" xr:uid="{00000000-0005-0000-0000-000051080000}"/>
    <cellStyle name="20% - Akzent4 44 2" xfId="2132" xr:uid="{00000000-0005-0000-0000-000052080000}"/>
    <cellStyle name="20% - Akzent4 45" xfId="2133" xr:uid="{00000000-0005-0000-0000-000053080000}"/>
    <cellStyle name="20% - Akzent4 45 2" xfId="2134" xr:uid="{00000000-0005-0000-0000-000054080000}"/>
    <cellStyle name="20% - Akzent4 46" xfId="2135" xr:uid="{00000000-0005-0000-0000-000055080000}"/>
    <cellStyle name="20% - Akzent4 46 2" xfId="2136" xr:uid="{00000000-0005-0000-0000-000056080000}"/>
    <cellStyle name="20% - Akzent4 47" xfId="2137" xr:uid="{00000000-0005-0000-0000-000057080000}"/>
    <cellStyle name="20% - Akzent4 47 2" xfId="2138" xr:uid="{00000000-0005-0000-0000-000058080000}"/>
    <cellStyle name="20% - Akzent4 48" xfId="2139" xr:uid="{00000000-0005-0000-0000-000059080000}"/>
    <cellStyle name="20% - Akzent4 48 2" xfId="2140" xr:uid="{00000000-0005-0000-0000-00005A080000}"/>
    <cellStyle name="20% - Akzent4 49" xfId="2141" xr:uid="{00000000-0005-0000-0000-00005B080000}"/>
    <cellStyle name="20% - Akzent4 49 2" xfId="2142" xr:uid="{00000000-0005-0000-0000-00005C080000}"/>
    <cellStyle name="20% - Akzent4 5" xfId="2143" xr:uid="{00000000-0005-0000-0000-00005D080000}"/>
    <cellStyle name="20% - Akzent4 5 2" xfId="2144" xr:uid="{00000000-0005-0000-0000-00005E080000}"/>
    <cellStyle name="20% - Akzent4 50" xfId="2145" xr:uid="{00000000-0005-0000-0000-00005F080000}"/>
    <cellStyle name="20% - Akzent4 50 2" xfId="2146" xr:uid="{00000000-0005-0000-0000-000060080000}"/>
    <cellStyle name="20% - Akzent4 51" xfId="2147" xr:uid="{00000000-0005-0000-0000-000061080000}"/>
    <cellStyle name="20% - Akzent4 51 2" xfId="2148" xr:uid="{00000000-0005-0000-0000-000062080000}"/>
    <cellStyle name="20% - Akzent4 52" xfId="2149" xr:uid="{00000000-0005-0000-0000-000063080000}"/>
    <cellStyle name="20% - Akzent4 52 2" xfId="2150" xr:uid="{00000000-0005-0000-0000-000064080000}"/>
    <cellStyle name="20% - Akzent4 53" xfId="2151" xr:uid="{00000000-0005-0000-0000-000065080000}"/>
    <cellStyle name="20% - Akzent4 53 2" xfId="2152" xr:uid="{00000000-0005-0000-0000-000066080000}"/>
    <cellStyle name="20% - Akzent4 54" xfId="2153" xr:uid="{00000000-0005-0000-0000-000067080000}"/>
    <cellStyle name="20% - Akzent4 54 2" xfId="2154" xr:uid="{00000000-0005-0000-0000-000068080000}"/>
    <cellStyle name="20% - Akzent4 55" xfId="2155" xr:uid="{00000000-0005-0000-0000-000069080000}"/>
    <cellStyle name="20% - Akzent4 55 2" xfId="2156" xr:uid="{00000000-0005-0000-0000-00006A080000}"/>
    <cellStyle name="20% - Akzent4 56" xfId="2157" xr:uid="{00000000-0005-0000-0000-00006B080000}"/>
    <cellStyle name="20% - Akzent4 56 2" xfId="2158" xr:uid="{00000000-0005-0000-0000-00006C080000}"/>
    <cellStyle name="20% - Akzent4 57" xfId="2159" xr:uid="{00000000-0005-0000-0000-00006D080000}"/>
    <cellStyle name="20% - Akzent4 57 2" xfId="2160" xr:uid="{00000000-0005-0000-0000-00006E080000}"/>
    <cellStyle name="20% - Akzent4 58" xfId="2161" xr:uid="{00000000-0005-0000-0000-00006F080000}"/>
    <cellStyle name="20% - Akzent4 58 2" xfId="2162" xr:uid="{00000000-0005-0000-0000-000070080000}"/>
    <cellStyle name="20% - Akzent4 59" xfId="2163" xr:uid="{00000000-0005-0000-0000-000071080000}"/>
    <cellStyle name="20% - Akzent4 59 2" xfId="2164" xr:uid="{00000000-0005-0000-0000-000072080000}"/>
    <cellStyle name="20% - Akzent4 6" xfId="2165" xr:uid="{00000000-0005-0000-0000-000073080000}"/>
    <cellStyle name="20% - Akzent4 6 2" xfId="2166" xr:uid="{00000000-0005-0000-0000-000074080000}"/>
    <cellStyle name="20% - Akzent4 60" xfId="2167" xr:uid="{00000000-0005-0000-0000-000075080000}"/>
    <cellStyle name="20% - Akzent4 60 2" xfId="2168" xr:uid="{00000000-0005-0000-0000-000076080000}"/>
    <cellStyle name="20% - Akzent4 61" xfId="2169" xr:uid="{00000000-0005-0000-0000-000077080000}"/>
    <cellStyle name="20% - Akzent4 61 2" xfId="2170" xr:uid="{00000000-0005-0000-0000-000078080000}"/>
    <cellStyle name="20% - Akzent4 62" xfId="2171" xr:uid="{00000000-0005-0000-0000-000079080000}"/>
    <cellStyle name="20% - Akzent4 62 2" xfId="2172" xr:uid="{00000000-0005-0000-0000-00007A080000}"/>
    <cellStyle name="20% - Akzent4 63" xfId="2173" xr:uid="{00000000-0005-0000-0000-00007B080000}"/>
    <cellStyle name="20% - Akzent4 63 2" xfId="2174" xr:uid="{00000000-0005-0000-0000-00007C080000}"/>
    <cellStyle name="20% - Akzent4 64" xfId="2175" xr:uid="{00000000-0005-0000-0000-00007D080000}"/>
    <cellStyle name="20% - Akzent4 64 2" xfId="2176" xr:uid="{00000000-0005-0000-0000-00007E080000}"/>
    <cellStyle name="20% - Akzent4 65" xfId="2177" xr:uid="{00000000-0005-0000-0000-00007F080000}"/>
    <cellStyle name="20% - Akzent4 65 2" xfId="2178" xr:uid="{00000000-0005-0000-0000-000080080000}"/>
    <cellStyle name="20% - Akzent4 66" xfId="2179" xr:uid="{00000000-0005-0000-0000-000081080000}"/>
    <cellStyle name="20% - Akzent4 66 2" xfId="2180" xr:uid="{00000000-0005-0000-0000-000082080000}"/>
    <cellStyle name="20% - Akzent4 67" xfId="2181" xr:uid="{00000000-0005-0000-0000-000083080000}"/>
    <cellStyle name="20% - Akzent4 67 2" xfId="2182" xr:uid="{00000000-0005-0000-0000-000084080000}"/>
    <cellStyle name="20% - Akzent4 68" xfId="2183" xr:uid="{00000000-0005-0000-0000-000085080000}"/>
    <cellStyle name="20% - Akzent4 68 2" xfId="2184" xr:uid="{00000000-0005-0000-0000-000086080000}"/>
    <cellStyle name="20% - Akzent4 69" xfId="2185" xr:uid="{00000000-0005-0000-0000-000087080000}"/>
    <cellStyle name="20% - Akzent4 69 2" xfId="2186" xr:uid="{00000000-0005-0000-0000-000088080000}"/>
    <cellStyle name="20% - Akzent4 7" xfId="2187" xr:uid="{00000000-0005-0000-0000-000089080000}"/>
    <cellStyle name="20% - Akzent4 7 2" xfId="2188" xr:uid="{00000000-0005-0000-0000-00008A080000}"/>
    <cellStyle name="20% - Akzent4 70" xfId="2189" xr:uid="{00000000-0005-0000-0000-00008B080000}"/>
    <cellStyle name="20% - Akzent4 70 2" xfId="2190" xr:uid="{00000000-0005-0000-0000-00008C080000}"/>
    <cellStyle name="20% - Akzent4 71" xfId="2191" xr:uid="{00000000-0005-0000-0000-00008D080000}"/>
    <cellStyle name="20% - Akzent4 71 2" xfId="2192" xr:uid="{00000000-0005-0000-0000-00008E080000}"/>
    <cellStyle name="20% - Akzent4 72" xfId="2193" xr:uid="{00000000-0005-0000-0000-00008F080000}"/>
    <cellStyle name="20% - Akzent4 72 2" xfId="2194" xr:uid="{00000000-0005-0000-0000-000090080000}"/>
    <cellStyle name="20% - Akzent4 73" xfId="2195" xr:uid="{00000000-0005-0000-0000-000091080000}"/>
    <cellStyle name="20% - Akzent4 73 2" xfId="2196" xr:uid="{00000000-0005-0000-0000-000092080000}"/>
    <cellStyle name="20% - Akzent4 74" xfId="2197" xr:uid="{00000000-0005-0000-0000-000093080000}"/>
    <cellStyle name="20% - Akzent4 74 2" xfId="2198" xr:uid="{00000000-0005-0000-0000-000094080000}"/>
    <cellStyle name="20% - Akzent4 75" xfId="2199" xr:uid="{00000000-0005-0000-0000-000095080000}"/>
    <cellStyle name="20% - Akzent4 75 2" xfId="2200" xr:uid="{00000000-0005-0000-0000-000096080000}"/>
    <cellStyle name="20% - Akzent4 76" xfId="2201" xr:uid="{00000000-0005-0000-0000-000097080000}"/>
    <cellStyle name="20% - Akzent4 76 2" xfId="2202" xr:uid="{00000000-0005-0000-0000-000098080000}"/>
    <cellStyle name="20% - Akzent4 77" xfId="2203" xr:uid="{00000000-0005-0000-0000-000099080000}"/>
    <cellStyle name="20% - Akzent4 77 2" xfId="2204" xr:uid="{00000000-0005-0000-0000-00009A080000}"/>
    <cellStyle name="20% - Akzent4 78" xfId="2205" xr:uid="{00000000-0005-0000-0000-00009B080000}"/>
    <cellStyle name="20% - Akzent4 78 2" xfId="2206" xr:uid="{00000000-0005-0000-0000-00009C080000}"/>
    <cellStyle name="20% - Akzent4 79" xfId="2207" xr:uid="{00000000-0005-0000-0000-00009D080000}"/>
    <cellStyle name="20% - Akzent4 79 2" xfId="2208" xr:uid="{00000000-0005-0000-0000-00009E080000}"/>
    <cellStyle name="20% - Akzent4 8" xfId="2209" xr:uid="{00000000-0005-0000-0000-00009F080000}"/>
    <cellStyle name="20% - Akzent4 8 2" xfId="2210" xr:uid="{00000000-0005-0000-0000-0000A0080000}"/>
    <cellStyle name="20% - Akzent4 80" xfId="2211" xr:uid="{00000000-0005-0000-0000-0000A1080000}"/>
    <cellStyle name="20% - Akzent4 80 2" xfId="2212" xr:uid="{00000000-0005-0000-0000-0000A2080000}"/>
    <cellStyle name="20% - Akzent4 81" xfId="2213" xr:uid="{00000000-0005-0000-0000-0000A3080000}"/>
    <cellStyle name="20% - Akzent4 81 2" xfId="2214" xr:uid="{00000000-0005-0000-0000-0000A4080000}"/>
    <cellStyle name="20% - Akzent4 82" xfId="2215" xr:uid="{00000000-0005-0000-0000-0000A5080000}"/>
    <cellStyle name="20% - Akzent4 82 2" xfId="2216" xr:uid="{00000000-0005-0000-0000-0000A6080000}"/>
    <cellStyle name="20% - Akzent4 83" xfId="2217" xr:uid="{00000000-0005-0000-0000-0000A7080000}"/>
    <cellStyle name="20% - Akzent4 83 2" xfId="2218" xr:uid="{00000000-0005-0000-0000-0000A8080000}"/>
    <cellStyle name="20% - Akzent4 84" xfId="2219" xr:uid="{00000000-0005-0000-0000-0000A9080000}"/>
    <cellStyle name="20% - Akzent4 84 2" xfId="2220" xr:uid="{00000000-0005-0000-0000-0000AA080000}"/>
    <cellStyle name="20% - Akzent4 85" xfId="2221" xr:uid="{00000000-0005-0000-0000-0000AB080000}"/>
    <cellStyle name="20% - Akzent4 85 2" xfId="2222" xr:uid="{00000000-0005-0000-0000-0000AC080000}"/>
    <cellStyle name="20% - Akzent4 86" xfId="2223" xr:uid="{00000000-0005-0000-0000-0000AD080000}"/>
    <cellStyle name="20% - Akzent4 86 2" xfId="2224" xr:uid="{00000000-0005-0000-0000-0000AE080000}"/>
    <cellStyle name="20% - Akzent4 87" xfId="2225" xr:uid="{00000000-0005-0000-0000-0000AF080000}"/>
    <cellStyle name="20% - Akzent4 87 2" xfId="2226" xr:uid="{00000000-0005-0000-0000-0000B0080000}"/>
    <cellStyle name="20% - Akzent4 88" xfId="2227" xr:uid="{00000000-0005-0000-0000-0000B1080000}"/>
    <cellStyle name="20% - Akzent4 88 2" xfId="2228" xr:uid="{00000000-0005-0000-0000-0000B2080000}"/>
    <cellStyle name="20% - Akzent4 89" xfId="2229" xr:uid="{00000000-0005-0000-0000-0000B3080000}"/>
    <cellStyle name="20% - Akzent4 89 2" xfId="2230" xr:uid="{00000000-0005-0000-0000-0000B4080000}"/>
    <cellStyle name="20% - Akzent4 9" xfId="2231" xr:uid="{00000000-0005-0000-0000-0000B5080000}"/>
    <cellStyle name="20% - Akzent4 9 2" xfId="2232" xr:uid="{00000000-0005-0000-0000-0000B6080000}"/>
    <cellStyle name="20% - Akzent4 90" xfId="2233" xr:uid="{00000000-0005-0000-0000-0000B7080000}"/>
    <cellStyle name="20% - Akzent4 90 2" xfId="2234" xr:uid="{00000000-0005-0000-0000-0000B8080000}"/>
    <cellStyle name="20% - Akzent4 91" xfId="2235" xr:uid="{00000000-0005-0000-0000-0000B9080000}"/>
    <cellStyle name="20% - Akzent4 91 2" xfId="2236" xr:uid="{00000000-0005-0000-0000-0000BA080000}"/>
    <cellStyle name="20% - Akzent4 92" xfId="2237" xr:uid="{00000000-0005-0000-0000-0000BB080000}"/>
    <cellStyle name="20% - Akzent4 92 2" xfId="2238" xr:uid="{00000000-0005-0000-0000-0000BC080000}"/>
    <cellStyle name="20% - Akzent4 93" xfId="2239" xr:uid="{00000000-0005-0000-0000-0000BD080000}"/>
    <cellStyle name="20% - Akzent4 93 2" xfId="2240" xr:uid="{00000000-0005-0000-0000-0000BE080000}"/>
    <cellStyle name="20% - Akzent4 94" xfId="2241" xr:uid="{00000000-0005-0000-0000-0000BF080000}"/>
    <cellStyle name="20% - Akzent4 94 2" xfId="2242" xr:uid="{00000000-0005-0000-0000-0000C0080000}"/>
    <cellStyle name="20% - Akzent4 95" xfId="2243" xr:uid="{00000000-0005-0000-0000-0000C1080000}"/>
    <cellStyle name="20% - Akzent4 95 2" xfId="2244" xr:uid="{00000000-0005-0000-0000-0000C2080000}"/>
    <cellStyle name="20% - Akzent4 96" xfId="2245" xr:uid="{00000000-0005-0000-0000-0000C3080000}"/>
    <cellStyle name="20% - Akzent4 96 2" xfId="2246" xr:uid="{00000000-0005-0000-0000-0000C4080000}"/>
    <cellStyle name="20% - Akzent4 97" xfId="2247" xr:uid="{00000000-0005-0000-0000-0000C5080000}"/>
    <cellStyle name="20% - Akzent4 97 2" xfId="2248" xr:uid="{00000000-0005-0000-0000-0000C6080000}"/>
    <cellStyle name="20% - Akzent4 98" xfId="2249" xr:uid="{00000000-0005-0000-0000-0000C7080000}"/>
    <cellStyle name="20% - Akzent4 98 2" xfId="2250" xr:uid="{00000000-0005-0000-0000-0000C8080000}"/>
    <cellStyle name="20% - Akzent4 99" xfId="2251" xr:uid="{00000000-0005-0000-0000-0000C9080000}"/>
    <cellStyle name="20% - Akzent4 99 2" xfId="2252" xr:uid="{00000000-0005-0000-0000-0000CA080000}"/>
    <cellStyle name="20% - Akzent5 10" xfId="2253" xr:uid="{00000000-0005-0000-0000-0000CB080000}"/>
    <cellStyle name="20% - Akzent5 100" xfId="2254" xr:uid="{00000000-0005-0000-0000-0000CC080000}"/>
    <cellStyle name="20% - Akzent5 101" xfId="2255" xr:uid="{00000000-0005-0000-0000-0000CD080000}"/>
    <cellStyle name="20% - Akzent5 102" xfId="2256" xr:uid="{00000000-0005-0000-0000-0000CE080000}"/>
    <cellStyle name="20% - Akzent5 103" xfId="2257" xr:uid="{00000000-0005-0000-0000-0000CF080000}"/>
    <cellStyle name="20% - Akzent5 104" xfId="2258" xr:uid="{00000000-0005-0000-0000-0000D0080000}"/>
    <cellStyle name="20% - Akzent5 105" xfId="2259" xr:uid="{00000000-0005-0000-0000-0000D1080000}"/>
    <cellStyle name="20% - Akzent5 106" xfId="2260" xr:uid="{00000000-0005-0000-0000-0000D2080000}"/>
    <cellStyle name="20% - Akzent5 107" xfId="2261" xr:uid="{00000000-0005-0000-0000-0000D3080000}"/>
    <cellStyle name="20% - Akzent5 11" xfId="2262" xr:uid="{00000000-0005-0000-0000-0000D4080000}"/>
    <cellStyle name="20% - Akzent5 12" xfId="2263" xr:uid="{00000000-0005-0000-0000-0000D5080000}"/>
    <cellStyle name="20% - Akzent5 13" xfId="2264" xr:uid="{00000000-0005-0000-0000-0000D6080000}"/>
    <cellStyle name="20% - Akzent5 14" xfId="2265" xr:uid="{00000000-0005-0000-0000-0000D7080000}"/>
    <cellStyle name="20% - Akzent5 15" xfId="2266" xr:uid="{00000000-0005-0000-0000-0000D8080000}"/>
    <cellStyle name="20% - Akzent5 16" xfId="2267" xr:uid="{00000000-0005-0000-0000-0000D9080000}"/>
    <cellStyle name="20% - Akzent5 17" xfId="2268" xr:uid="{00000000-0005-0000-0000-0000DA080000}"/>
    <cellStyle name="20% - Akzent5 18" xfId="2269" xr:uid="{00000000-0005-0000-0000-0000DB080000}"/>
    <cellStyle name="20% - Akzent5 19" xfId="2270" xr:uid="{00000000-0005-0000-0000-0000DC080000}"/>
    <cellStyle name="20% - Akzent5 2" xfId="2271" xr:uid="{00000000-0005-0000-0000-0000DD080000}"/>
    <cellStyle name="20% - Akzent5 2 2" xfId="2272" xr:uid="{00000000-0005-0000-0000-0000DE080000}"/>
    <cellStyle name="20% - Akzent5 2 3" xfId="2273" xr:uid="{00000000-0005-0000-0000-0000DF080000}"/>
    <cellStyle name="20% - Akzent5 2 4" xfId="2274" xr:uid="{00000000-0005-0000-0000-0000E0080000}"/>
    <cellStyle name="20% - Akzent5 2 4 2" xfId="2275" xr:uid="{00000000-0005-0000-0000-0000E1080000}"/>
    <cellStyle name="20% - Akzent5 2 5" xfId="2276" xr:uid="{00000000-0005-0000-0000-0000E2080000}"/>
    <cellStyle name="20% - Akzent5 20" xfId="2277" xr:uid="{00000000-0005-0000-0000-0000E3080000}"/>
    <cellStyle name="20% - Akzent5 21" xfId="2278" xr:uid="{00000000-0005-0000-0000-0000E4080000}"/>
    <cellStyle name="20% - Akzent5 22" xfId="2279" xr:uid="{00000000-0005-0000-0000-0000E5080000}"/>
    <cellStyle name="20% - Akzent5 23" xfId="2280" xr:uid="{00000000-0005-0000-0000-0000E6080000}"/>
    <cellStyle name="20% - Akzent5 24" xfId="2281" xr:uid="{00000000-0005-0000-0000-0000E7080000}"/>
    <cellStyle name="20% - Akzent5 25" xfId="2282" xr:uid="{00000000-0005-0000-0000-0000E8080000}"/>
    <cellStyle name="20% - Akzent5 26" xfId="2283" xr:uid="{00000000-0005-0000-0000-0000E9080000}"/>
    <cellStyle name="20% - Akzent5 27" xfId="2284" xr:uid="{00000000-0005-0000-0000-0000EA080000}"/>
    <cellStyle name="20% - Akzent5 28" xfId="2285" xr:uid="{00000000-0005-0000-0000-0000EB080000}"/>
    <cellStyle name="20% - Akzent5 29" xfId="2286" xr:uid="{00000000-0005-0000-0000-0000EC080000}"/>
    <cellStyle name="20% - Akzent5 3" xfId="2287" xr:uid="{00000000-0005-0000-0000-0000ED080000}"/>
    <cellStyle name="20% - Akzent5 3 2" xfId="2288" xr:uid="{00000000-0005-0000-0000-0000EE080000}"/>
    <cellStyle name="20% - Akzent5 3 3" xfId="2289" xr:uid="{00000000-0005-0000-0000-0000EF080000}"/>
    <cellStyle name="20% - Akzent5 3 4" xfId="2290" xr:uid="{00000000-0005-0000-0000-0000F0080000}"/>
    <cellStyle name="20% - Akzent5 3 4 2" xfId="2291" xr:uid="{00000000-0005-0000-0000-0000F1080000}"/>
    <cellStyle name="20% - Akzent5 3 5" xfId="2292" xr:uid="{00000000-0005-0000-0000-0000F2080000}"/>
    <cellStyle name="20% - Akzent5 30" xfId="2293" xr:uid="{00000000-0005-0000-0000-0000F3080000}"/>
    <cellStyle name="20% - Akzent5 31" xfId="2294" xr:uid="{00000000-0005-0000-0000-0000F4080000}"/>
    <cellStyle name="20% - Akzent5 32" xfId="2295" xr:uid="{00000000-0005-0000-0000-0000F5080000}"/>
    <cellStyle name="20% - Akzent5 33" xfId="2296" xr:uid="{00000000-0005-0000-0000-0000F6080000}"/>
    <cellStyle name="20% - Akzent5 34" xfId="2297" xr:uid="{00000000-0005-0000-0000-0000F7080000}"/>
    <cellStyle name="20% - Akzent5 35" xfId="2298" xr:uid="{00000000-0005-0000-0000-0000F8080000}"/>
    <cellStyle name="20% - Akzent5 36" xfId="2299" xr:uid="{00000000-0005-0000-0000-0000F9080000}"/>
    <cellStyle name="20% - Akzent5 37" xfId="2300" xr:uid="{00000000-0005-0000-0000-0000FA080000}"/>
    <cellStyle name="20% - Akzent5 38" xfId="2301" xr:uid="{00000000-0005-0000-0000-0000FB080000}"/>
    <cellStyle name="20% - Akzent5 39" xfId="2302" xr:uid="{00000000-0005-0000-0000-0000FC080000}"/>
    <cellStyle name="20% - Akzent5 4" xfId="2303" xr:uid="{00000000-0005-0000-0000-0000FD080000}"/>
    <cellStyle name="20% - Akzent5 4 2" xfId="2304" xr:uid="{00000000-0005-0000-0000-0000FE080000}"/>
    <cellStyle name="20% - Akzent5 4 3" xfId="2305" xr:uid="{00000000-0005-0000-0000-0000FF080000}"/>
    <cellStyle name="20% - Akzent5 4 4" xfId="2306" xr:uid="{00000000-0005-0000-0000-000000090000}"/>
    <cellStyle name="20% - Akzent5 4 4 2" xfId="2307" xr:uid="{00000000-0005-0000-0000-000001090000}"/>
    <cellStyle name="20% - Akzent5 4 5" xfId="2308" xr:uid="{00000000-0005-0000-0000-000002090000}"/>
    <cellStyle name="20% - Akzent5 40" xfId="2309" xr:uid="{00000000-0005-0000-0000-000003090000}"/>
    <cellStyle name="20% - Akzent5 41" xfId="2310" xr:uid="{00000000-0005-0000-0000-000004090000}"/>
    <cellStyle name="20% - Akzent5 42" xfId="2311" xr:uid="{00000000-0005-0000-0000-000005090000}"/>
    <cellStyle name="20% - Akzent5 43" xfId="2312" xr:uid="{00000000-0005-0000-0000-000006090000}"/>
    <cellStyle name="20% - Akzent5 44" xfId="2313" xr:uid="{00000000-0005-0000-0000-000007090000}"/>
    <cellStyle name="20% - Akzent5 45" xfId="2314" xr:uid="{00000000-0005-0000-0000-000008090000}"/>
    <cellStyle name="20% - Akzent5 46" xfId="2315" xr:uid="{00000000-0005-0000-0000-000009090000}"/>
    <cellStyle name="20% - Akzent5 47" xfId="2316" xr:uid="{00000000-0005-0000-0000-00000A090000}"/>
    <cellStyle name="20% - Akzent5 48" xfId="2317" xr:uid="{00000000-0005-0000-0000-00000B090000}"/>
    <cellStyle name="20% - Akzent5 49" xfId="2318" xr:uid="{00000000-0005-0000-0000-00000C090000}"/>
    <cellStyle name="20% - Akzent5 5" xfId="2319" xr:uid="{00000000-0005-0000-0000-00000D090000}"/>
    <cellStyle name="20% - Akzent5 50" xfId="2320" xr:uid="{00000000-0005-0000-0000-00000E090000}"/>
    <cellStyle name="20% - Akzent5 51" xfId="2321" xr:uid="{00000000-0005-0000-0000-00000F090000}"/>
    <cellStyle name="20% - Akzent5 52" xfId="2322" xr:uid="{00000000-0005-0000-0000-000010090000}"/>
    <cellStyle name="20% - Akzent5 53" xfId="2323" xr:uid="{00000000-0005-0000-0000-000011090000}"/>
    <cellStyle name="20% - Akzent5 54" xfId="2324" xr:uid="{00000000-0005-0000-0000-000012090000}"/>
    <cellStyle name="20% - Akzent5 55" xfId="2325" xr:uid="{00000000-0005-0000-0000-000013090000}"/>
    <cellStyle name="20% - Akzent5 56" xfId="2326" xr:uid="{00000000-0005-0000-0000-000014090000}"/>
    <cellStyle name="20% - Akzent5 57" xfId="2327" xr:uid="{00000000-0005-0000-0000-000015090000}"/>
    <cellStyle name="20% - Akzent5 58" xfId="2328" xr:uid="{00000000-0005-0000-0000-000016090000}"/>
    <cellStyle name="20% - Akzent5 59" xfId="2329" xr:uid="{00000000-0005-0000-0000-000017090000}"/>
    <cellStyle name="20% - Akzent5 6" xfId="2330" xr:uid="{00000000-0005-0000-0000-000018090000}"/>
    <cellStyle name="20% - Akzent5 60" xfId="2331" xr:uid="{00000000-0005-0000-0000-000019090000}"/>
    <cellStyle name="20% - Akzent5 61" xfId="2332" xr:uid="{00000000-0005-0000-0000-00001A090000}"/>
    <cellStyle name="20% - Akzent5 62" xfId="2333" xr:uid="{00000000-0005-0000-0000-00001B090000}"/>
    <cellStyle name="20% - Akzent5 63" xfId="2334" xr:uid="{00000000-0005-0000-0000-00001C090000}"/>
    <cellStyle name="20% - Akzent5 64" xfId="2335" xr:uid="{00000000-0005-0000-0000-00001D090000}"/>
    <cellStyle name="20% - Akzent5 65" xfId="2336" xr:uid="{00000000-0005-0000-0000-00001E090000}"/>
    <cellStyle name="20% - Akzent5 66" xfId="2337" xr:uid="{00000000-0005-0000-0000-00001F090000}"/>
    <cellStyle name="20% - Akzent5 67" xfId="2338" xr:uid="{00000000-0005-0000-0000-000020090000}"/>
    <cellStyle name="20% - Akzent5 68" xfId="2339" xr:uid="{00000000-0005-0000-0000-000021090000}"/>
    <cellStyle name="20% - Akzent5 69" xfId="2340" xr:uid="{00000000-0005-0000-0000-000022090000}"/>
    <cellStyle name="20% - Akzent5 7" xfId="2341" xr:uid="{00000000-0005-0000-0000-000023090000}"/>
    <cellStyle name="20% - Akzent5 70" xfId="2342" xr:uid="{00000000-0005-0000-0000-000024090000}"/>
    <cellStyle name="20% - Akzent5 71" xfId="2343" xr:uid="{00000000-0005-0000-0000-000025090000}"/>
    <cellStyle name="20% - Akzent5 72" xfId="2344" xr:uid="{00000000-0005-0000-0000-000026090000}"/>
    <cellStyle name="20% - Akzent5 73" xfId="2345" xr:uid="{00000000-0005-0000-0000-000027090000}"/>
    <cellStyle name="20% - Akzent5 74" xfId="2346" xr:uid="{00000000-0005-0000-0000-000028090000}"/>
    <cellStyle name="20% - Akzent5 75" xfId="2347" xr:uid="{00000000-0005-0000-0000-000029090000}"/>
    <cellStyle name="20% - Akzent5 76" xfId="2348" xr:uid="{00000000-0005-0000-0000-00002A090000}"/>
    <cellStyle name="20% - Akzent5 77" xfId="2349" xr:uid="{00000000-0005-0000-0000-00002B090000}"/>
    <cellStyle name="20% - Akzent5 78" xfId="2350" xr:uid="{00000000-0005-0000-0000-00002C090000}"/>
    <cellStyle name="20% - Akzent5 79" xfId="2351" xr:uid="{00000000-0005-0000-0000-00002D090000}"/>
    <cellStyle name="20% - Akzent5 8" xfId="2352" xr:uid="{00000000-0005-0000-0000-00002E090000}"/>
    <cellStyle name="20% - Akzent5 80" xfId="2353" xr:uid="{00000000-0005-0000-0000-00002F090000}"/>
    <cellStyle name="20% - Akzent5 81" xfId="2354" xr:uid="{00000000-0005-0000-0000-000030090000}"/>
    <cellStyle name="20% - Akzent5 82" xfId="2355" xr:uid="{00000000-0005-0000-0000-000031090000}"/>
    <cellStyle name="20% - Akzent5 83" xfId="2356" xr:uid="{00000000-0005-0000-0000-000032090000}"/>
    <cellStyle name="20% - Akzent5 84" xfId="2357" xr:uid="{00000000-0005-0000-0000-000033090000}"/>
    <cellStyle name="20% - Akzent5 85" xfId="2358" xr:uid="{00000000-0005-0000-0000-000034090000}"/>
    <cellStyle name="20% - Akzent5 86" xfId="2359" xr:uid="{00000000-0005-0000-0000-000035090000}"/>
    <cellStyle name="20% - Akzent5 87" xfId="2360" xr:uid="{00000000-0005-0000-0000-000036090000}"/>
    <cellStyle name="20% - Akzent5 88" xfId="2361" xr:uid="{00000000-0005-0000-0000-000037090000}"/>
    <cellStyle name="20% - Akzent5 89" xfId="2362" xr:uid="{00000000-0005-0000-0000-000038090000}"/>
    <cellStyle name="20% - Akzent5 9" xfId="2363" xr:uid="{00000000-0005-0000-0000-000039090000}"/>
    <cellStyle name="20% - Akzent5 90" xfId="2364" xr:uid="{00000000-0005-0000-0000-00003A090000}"/>
    <cellStyle name="20% - Akzent5 91" xfId="2365" xr:uid="{00000000-0005-0000-0000-00003B090000}"/>
    <cellStyle name="20% - Akzent5 92" xfId="2366" xr:uid="{00000000-0005-0000-0000-00003C090000}"/>
    <cellStyle name="20% - Akzent5 93" xfId="2367" xr:uid="{00000000-0005-0000-0000-00003D090000}"/>
    <cellStyle name="20% - Akzent5 94" xfId="2368" xr:uid="{00000000-0005-0000-0000-00003E090000}"/>
    <cellStyle name="20% - Akzent5 95" xfId="2369" xr:uid="{00000000-0005-0000-0000-00003F090000}"/>
    <cellStyle name="20% - Akzent5 96" xfId="2370" xr:uid="{00000000-0005-0000-0000-000040090000}"/>
    <cellStyle name="20% - Akzent5 97" xfId="2371" xr:uid="{00000000-0005-0000-0000-000041090000}"/>
    <cellStyle name="20% - Akzent5 98" xfId="2372" xr:uid="{00000000-0005-0000-0000-000042090000}"/>
    <cellStyle name="20% - Akzent5 99" xfId="2373" xr:uid="{00000000-0005-0000-0000-000043090000}"/>
    <cellStyle name="20% - Akzent6 10" xfId="2374" xr:uid="{00000000-0005-0000-0000-000044090000}"/>
    <cellStyle name="20% - Akzent6 10 2" xfId="2375" xr:uid="{00000000-0005-0000-0000-000045090000}"/>
    <cellStyle name="20% - Akzent6 100" xfId="2376" xr:uid="{00000000-0005-0000-0000-000046090000}"/>
    <cellStyle name="20% - Akzent6 100 2" xfId="2377" xr:uid="{00000000-0005-0000-0000-000047090000}"/>
    <cellStyle name="20% - Akzent6 101" xfId="2378" xr:uid="{00000000-0005-0000-0000-000048090000}"/>
    <cellStyle name="20% - Akzent6 101 2" xfId="2379" xr:uid="{00000000-0005-0000-0000-000049090000}"/>
    <cellStyle name="20% - Akzent6 102" xfId="2380" xr:uid="{00000000-0005-0000-0000-00004A090000}"/>
    <cellStyle name="20% - Akzent6 102 2" xfId="2381" xr:uid="{00000000-0005-0000-0000-00004B090000}"/>
    <cellStyle name="20% - Akzent6 103" xfId="2382" xr:uid="{00000000-0005-0000-0000-00004C090000}"/>
    <cellStyle name="20% - Akzent6 103 2" xfId="2383" xr:uid="{00000000-0005-0000-0000-00004D090000}"/>
    <cellStyle name="20% - Akzent6 104" xfId="2384" xr:uid="{00000000-0005-0000-0000-00004E090000}"/>
    <cellStyle name="20% - Akzent6 104 2" xfId="2385" xr:uid="{00000000-0005-0000-0000-00004F090000}"/>
    <cellStyle name="20% - Akzent6 105" xfId="2386" xr:uid="{00000000-0005-0000-0000-000050090000}"/>
    <cellStyle name="20% - Akzent6 105 2" xfId="2387" xr:uid="{00000000-0005-0000-0000-000051090000}"/>
    <cellStyle name="20% - Akzent6 106" xfId="2388" xr:uid="{00000000-0005-0000-0000-000052090000}"/>
    <cellStyle name="20% - Akzent6 106 2" xfId="2389" xr:uid="{00000000-0005-0000-0000-000053090000}"/>
    <cellStyle name="20% - Akzent6 107" xfId="2390" xr:uid="{00000000-0005-0000-0000-000054090000}"/>
    <cellStyle name="20% - Akzent6 107 2" xfId="2391" xr:uid="{00000000-0005-0000-0000-000055090000}"/>
    <cellStyle name="20% - Akzent6 108" xfId="2392" xr:uid="{00000000-0005-0000-0000-000056090000}"/>
    <cellStyle name="20% - Akzent6 108 2" xfId="2393" xr:uid="{00000000-0005-0000-0000-000057090000}"/>
    <cellStyle name="20% - Akzent6 109" xfId="2394" xr:uid="{00000000-0005-0000-0000-000058090000}"/>
    <cellStyle name="20% - Akzent6 109 2" xfId="2395" xr:uid="{00000000-0005-0000-0000-000059090000}"/>
    <cellStyle name="20% - Akzent6 11" xfId="2396" xr:uid="{00000000-0005-0000-0000-00005A090000}"/>
    <cellStyle name="20% - Akzent6 11 2" xfId="2397" xr:uid="{00000000-0005-0000-0000-00005B090000}"/>
    <cellStyle name="20% - Akzent6 110" xfId="2398" xr:uid="{00000000-0005-0000-0000-00005C090000}"/>
    <cellStyle name="20% - Akzent6 110 2" xfId="2399" xr:uid="{00000000-0005-0000-0000-00005D090000}"/>
    <cellStyle name="20% - Akzent6 111" xfId="2400" xr:uid="{00000000-0005-0000-0000-00005E090000}"/>
    <cellStyle name="20% - Akzent6 111 2" xfId="2401" xr:uid="{00000000-0005-0000-0000-00005F090000}"/>
    <cellStyle name="20% - Akzent6 112" xfId="2402" xr:uid="{00000000-0005-0000-0000-000060090000}"/>
    <cellStyle name="20% - Akzent6 112 2" xfId="2403" xr:uid="{00000000-0005-0000-0000-000061090000}"/>
    <cellStyle name="20% - Akzent6 113" xfId="2404" xr:uid="{00000000-0005-0000-0000-000062090000}"/>
    <cellStyle name="20% - Akzent6 113 2" xfId="2405" xr:uid="{00000000-0005-0000-0000-000063090000}"/>
    <cellStyle name="20% - Akzent6 114" xfId="2406" xr:uid="{00000000-0005-0000-0000-000064090000}"/>
    <cellStyle name="20% - Akzent6 114 2" xfId="2407" xr:uid="{00000000-0005-0000-0000-000065090000}"/>
    <cellStyle name="20% - Akzent6 115" xfId="2408" xr:uid="{00000000-0005-0000-0000-000066090000}"/>
    <cellStyle name="20% - Akzent6 115 2" xfId="2409" xr:uid="{00000000-0005-0000-0000-000067090000}"/>
    <cellStyle name="20% - Akzent6 116" xfId="2410" xr:uid="{00000000-0005-0000-0000-000068090000}"/>
    <cellStyle name="20% - Akzent6 116 2" xfId="2411" xr:uid="{00000000-0005-0000-0000-000069090000}"/>
    <cellStyle name="20% - Akzent6 117" xfId="2412" xr:uid="{00000000-0005-0000-0000-00006A090000}"/>
    <cellStyle name="20% - Akzent6 117 2" xfId="2413" xr:uid="{00000000-0005-0000-0000-00006B090000}"/>
    <cellStyle name="20% - Akzent6 118" xfId="2414" xr:uid="{00000000-0005-0000-0000-00006C090000}"/>
    <cellStyle name="20% - Akzent6 118 2" xfId="2415" xr:uid="{00000000-0005-0000-0000-00006D090000}"/>
    <cellStyle name="20% - Akzent6 119" xfId="2416" xr:uid="{00000000-0005-0000-0000-00006E090000}"/>
    <cellStyle name="20% - Akzent6 119 2" xfId="2417" xr:uid="{00000000-0005-0000-0000-00006F090000}"/>
    <cellStyle name="20% - Akzent6 12" xfId="2418" xr:uid="{00000000-0005-0000-0000-000070090000}"/>
    <cellStyle name="20% - Akzent6 12 2" xfId="2419" xr:uid="{00000000-0005-0000-0000-000071090000}"/>
    <cellStyle name="20% - Akzent6 120" xfId="2420" xr:uid="{00000000-0005-0000-0000-000072090000}"/>
    <cellStyle name="20% - Akzent6 120 2" xfId="2421" xr:uid="{00000000-0005-0000-0000-000073090000}"/>
    <cellStyle name="20% - Akzent6 121" xfId="2422" xr:uid="{00000000-0005-0000-0000-000074090000}"/>
    <cellStyle name="20% - Akzent6 121 2" xfId="2423" xr:uid="{00000000-0005-0000-0000-000075090000}"/>
    <cellStyle name="20% - Akzent6 122" xfId="2424" xr:uid="{00000000-0005-0000-0000-000076090000}"/>
    <cellStyle name="20% - Akzent6 122 2" xfId="2425" xr:uid="{00000000-0005-0000-0000-000077090000}"/>
    <cellStyle name="20% - Akzent6 123" xfId="2426" xr:uid="{00000000-0005-0000-0000-000078090000}"/>
    <cellStyle name="20% - Akzent6 123 2" xfId="2427" xr:uid="{00000000-0005-0000-0000-000079090000}"/>
    <cellStyle name="20% - Akzent6 124" xfId="2428" xr:uid="{00000000-0005-0000-0000-00007A090000}"/>
    <cellStyle name="20% - Akzent6 124 2" xfId="2429" xr:uid="{00000000-0005-0000-0000-00007B090000}"/>
    <cellStyle name="20% - Akzent6 125" xfId="2430" xr:uid="{00000000-0005-0000-0000-00007C090000}"/>
    <cellStyle name="20% - Akzent6 125 2" xfId="2431" xr:uid="{00000000-0005-0000-0000-00007D090000}"/>
    <cellStyle name="20% - Akzent6 126" xfId="2432" xr:uid="{00000000-0005-0000-0000-00007E090000}"/>
    <cellStyle name="20% - Akzent6 126 2" xfId="2433" xr:uid="{00000000-0005-0000-0000-00007F090000}"/>
    <cellStyle name="20% - Akzent6 127" xfId="2434" xr:uid="{00000000-0005-0000-0000-000080090000}"/>
    <cellStyle name="20% - Akzent6 127 2" xfId="2435" xr:uid="{00000000-0005-0000-0000-000081090000}"/>
    <cellStyle name="20% - Akzent6 128" xfId="2436" xr:uid="{00000000-0005-0000-0000-000082090000}"/>
    <cellStyle name="20% - Akzent6 128 2" xfId="2437" xr:uid="{00000000-0005-0000-0000-000083090000}"/>
    <cellStyle name="20% - Akzent6 129" xfId="2438" xr:uid="{00000000-0005-0000-0000-000084090000}"/>
    <cellStyle name="20% - Akzent6 129 2" xfId="2439" xr:uid="{00000000-0005-0000-0000-000085090000}"/>
    <cellStyle name="20% - Akzent6 13" xfId="2440" xr:uid="{00000000-0005-0000-0000-000086090000}"/>
    <cellStyle name="20% - Akzent6 13 2" xfId="2441" xr:uid="{00000000-0005-0000-0000-000087090000}"/>
    <cellStyle name="20% - Akzent6 130" xfId="2442" xr:uid="{00000000-0005-0000-0000-000088090000}"/>
    <cellStyle name="20% - Akzent6 130 2" xfId="2443" xr:uid="{00000000-0005-0000-0000-000089090000}"/>
    <cellStyle name="20% - Akzent6 131" xfId="2444" xr:uid="{00000000-0005-0000-0000-00008A090000}"/>
    <cellStyle name="20% - Akzent6 131 2" xfId="2445" xr:uid="{00000000-0005-0000-0000-00008B090000}"/>
    <cellStyle name="20% - Akzent6 132" xfId="2446" xr:uid="{00000000-0005-0000-0000-00008C090000}"/>
    <cellStyle name="20% - Akzent6 132 2" xfId="2447" xr:uid="{00000000-0005-0000-0000-00008D090000}"/>
    <cellStyle name="20% - Akzent6 133" xfId="2448" xr:uid="{00000000-0005-0000-0000-00008E090000}"/>
    <cellStyle name="20% - Akzent6 133 2" xfId="2449" xr:uid="{00000000-0005-0000-0000-00008F090000}"/>
    <cellStyle name="20% - Akzent6 134" xfId="2450" xr:uid="{00000000-0005-0000-0000-000090090000}"/>
    <cellStyle name="20% - Akzent6 134 2" xfId="2451" xr:uid="{00000000-0005-0000-0000-000091090000}"/>
    <cellStyle name="20% - Akzent6 135" xfId="2452" xr:uid="{00000000-0005-0000-0000-000092090000}"/>
    <cellStyle name="20% - Akzent6 135 2" xfId="2453" xr:uid="{00000000-0005-0000-0000-000093090000}"/>
    <cellStyle name="20% - Akzent6 136" xfId="2454" xr:uid="{00000000-0005-0000-0000-000094090000}"/>
    <cellStyle name="20% - Akzent6 136 2" xfId="2455" xr:uid="{00000000-0005-0000-0000-000095090000}"/>
    <cellStyle name="20% - Akzent6 137" xfId="2456" xr:uid="{00000000-0005-0000-0000-000096090000}"/>
    <cellStyle name="20% - Akzent6 137 2" xfId="2457" xr:uid="{00000000-0005-0000-0000-000097090000}"/>
    <cellStyle name="20% - Akzent6 138" xfId="2458" xr:uid="{00000000-0005-0000-0000-000098090000}"/>
    <cellStyle name="20% - Akzent6 138 2" xfId="2459" xr:uid="{00000000-0005-0000-0000-000099090000}"/>
    <cellStyle name="20% - Akzent6 139" xfId="2460" xr:uid="{00000000-0005-0000-0000-00009A090000}"/>
    <cellStyle name="20% - Akzent6 139 2" xfId="2461" xr:uid="{00000000-0005-0000-0000-00009B090000}"/>
    <cellStyle name="20% - Akzent6 14" xfId="2462" xr:uid="{00000000-0005-0000-0000-00009C090000}"/>
    <cellStyle name="20% - Akzent6 14 2" xfId="2463" xr:uid="{00000000-0005-0000-0000-00009D090000}"/>
    <cellStyle name="20% - Akzent6 140" xfId="2464" xr:uid="{00000000-0005-0000-0000-00009E090000}"/>
    <cellStyle name="20% - Akzent6 140 2" xfId="2465" xr:uid="{00000000-0005-0000-0000-00009F090000}"/>
    <cellStyle name="20% - Akzent6 141" xfId="2466" xr:uid="{00000000-0005-0000-0000-0000A0090000}"/>
    <cellStyle name="20% - Akzent6 141 2" xfId="2467" xr:uid="{00000000-0005-0000-0000-0000A1090000}"/>
    <cellStyle name="20% - Akzent6 142" xfId="2468" xr:uid="{00000000-0005-0000-0000-0000A2090000}"/>
    <cellStyle name="20% - Akzent6 142 2" xfId="2469" xr:uid="{00000000-0005-0000-0000-0000A3090000}"/>
    <cellStyle name="20% - Akzent6 143" xfId="2470" xr:uid="{00000000-0005-0000-0000-0000A4090000}"/>
    <cellStyle name="20% - Akzent6 143 2" xfId="2471" xr:uid="{00000000-0005-0000-0000-0000A5090000}"/>
    <cellStyle name="20% - Akzent6 144" xfId="2472" xr:uid="{00000000-0005-0000-0000-0000A6090000}"/>
    <cellStyle name="20% - Akzent6 144 2" xfId="2473" xr:uid="{00000000-0005-0000-0000-0000A7090000}"/>
    <cellStyle name="20% - Akzent6 145" xfId="2474" xr:uid="{00000000-0005-0000-0000-0000A8090000}"/>
    <cellStyle name="20% - Akzent6 145 2" xfId="2475" xr:uid="{00000000-0005-0000-0000-0000A9090000}"/>
    <cellStyle name="20% - Akzent6 146" xfId="2476" xr:uid="{00000000-0005-0000-0000-0000AA090000}"/>
    <cellStyle name="20% - Akzent6 146 2" xfId="2477" xr:uid="{00000000-0005-0000-0000-0000AB090000}"/>
    <cellStyle name="20% - Akzent6 147" xfId="2478" xr:uid="{00000000-0005-0000-0000-0000AC090000}"/>
    <cellStyle name="20% - Akzent6 147 2" xfId="2479" xr:uid="{00000000-0005-0000-0000-0000AD090000}"/>
    <cellStyle name="20% - Akzent6 148" xfId="2480" xr:uid="{00000000-0005-0000-0000-0000AE090000}"/>
    <cellStyle name="20% - Akzent6 148 2" xfId="2481" xr:uid="{00000000-0005-0000-0000-0000AF090000}"/>
    <cellStyle name="20% - Akzent6 149" xfId="2482" xr:uid="{00000000-0005-0000-0000-0000B0090000}"/>
    <cellStyle name="20% - Akzent6 149 2" xfId="2483" xr:uid="{00000000-0005-0000-0000-0000B1090000}"/>
    <cellStyle name="20% - Akzent6 15" xfId="2484" xr:uid="{00000000-0005-0000-0000-0000B2090000}"/>
    <cellStyle name="20% - Akzent6 15 2" xfId="2485" xr:uid="{00000000-0005-0000-0000-0000B3090000}"/>
    <cellStyle name="20% - Akzent6 150" xfId="2486" xr:uid="{00000000-0005-0000-0000-0000B4090000}"/>
    <cellStyle name="20% - Akzent6 150 2" xfId="2487" xr:uid="{00000000-0005-0000-0000-0000B5090000}"/>
    <cellStyle name="20% - Akzent6 151" xfId="2488" xr:uid="{00000000-0005-0000-0000-0000B6090000}"/>
    <cellStyle name="20% - Akzent6 151 2" xfId="2489" xr:uid="{00000000-0005-0000-0000-0000B7090000}"/>
    <cellStyle name="20% - Akzent6 16" xfId="2490" xr:uid="{00000000-0005-0000-0000-0000B8090000}"/>
    <cellStyle name="20% - Akzent6 16 2" xfId="2491" xr:uid="{00000000-0005-0000-0000-0000B9090000}"/>
    <cellStyle name="20% - Akzent6 17" xfId="2492" xr:uid="{00000000-0005-0000-0000-0000BA090000}"/>
    <cellStyle name="20% - Akzent6 17 2" xfId="2493" xr:uid="{00000000-0005-0000-0000-0000BB090000}"/>
    <cellStyle name="20% - Akzent6 18" xfId="2494" xr:uid="{00000000-0005-0000-0000-0000BC090000}"/>
    <cellStyle name="20% - Akzent6 18 2" xfId="2495" xr:uid="{00000000-0005-0000-0000-0000BD090000}"/>
    <cellStyle name="20% - Akzent6 19" xfId="2496" xr:uid="{00000000-0005-0000-0000-0000BE090000}"/>
    <cellStyle name="20% - Akzent6 19 2" xfId="2497" xr:uid="{00000000-0005-0000-0000-0000BF090000}"/>
    <cellStyle name="20% - Akzent6 2" xfId="2498" xr:uid="{00000000-0005-0000-0000-0000C0090000}"/>
    <cellStyle name="20% - Akzent6 2 2" xfId="2499" xr:uid="{00000000-0005-0000-0000-0000C1090000}"/>
    <cellStyle name="20% - Akzent6 2 3" xfId="2500" xr:uid="{00000000-0005-0000-0000-0000C2090000}"/>
    <cellStyle name="20% - Akzent6 2 4" xfId="2501" xr:uid="{00000000-0005-0000-0000-0000C3090000}"/>
    <cellStyle name="20% - Akzent6 2 4 2" xfId="2502" xr:uid="{00000000-0005-0000-0000-0000C4090000}"/>
    <cellStyle name="20% - Akzent6 2 5" xfId="2503" xr:uid="{00000000-0005-0000-0000-0000C5090000}"/>
    <cellStyle name="20% - Akzent6 20" xfId="2504" xr:uid="{00000000-0005-0000-0000-0000C6090000}"/>
    <cellStyle name="20% - Akzent6 20 2" xfId="2505" xr:uid="{00000000-0005-0000-0000-0000C7090000}"/>
    <cellStyle name="20% - Akzent6 21" xfId="2506" xr:uid="{00000000-0005-0000-0000-0000C8090000}"/>
    <cellStyle name="20% - Akzent6 21 2" xfId="2507" xr:uid="{00000000-0005-0000-0000-0000C9090000}"/>
    <cellStyle name="20% - Akzent6 22" xfId="2508" xr:uid="{00000000-0005-0000-0000-0000CA090000}"/>
    <cellStyle name="20% - Akzent6 22 2" xfId="2509" xr:uid="{00000000-0005-0000-0000-0000CB090000}"/>
    <cellStyle name="20% - Akzent6 23" xfId="2510" xr:uid="{00000000-0005-0000-0000-0000CC090000}"/>
    <cellStyle name="20% - Akzent6 23 2" xfId="2511" xr:uid="{00000000-0005-0000-0000-0000CD090000}"/>
    <cellStyle name="20% - Akzent6 24" xfId="2512" xr:uid="{00000000-0005-0000-0000-0000CE090000}"/>
    <cellStyle name="20% - Akzent6 24 2" xfId="2513" xr:uid="{00000000-0005-0000-0000-0000CF090000}"/>
    <cellStyle name="20% - Akzent6 25" xfId="2514" xr:uid="{00000000-0005-0000-0000-0000D0090000}"/>
    <cellStyle name="20% - Akzent6 25 2" xfId="2515" xr:uid="{00000000-0005-0000-0000-0000D1090000}"/>
    <cellStyle name="20% - Akzent6 26" xfId="2516" xr:uid="{00000000-0005-0000-0000-0000D2090000}"/>
    <cellStyle name="20% - Akzent6 26 2" xfId="2517" xr:uid="{00000000-0005-0000-0000-0000D3090000}"/>
    <cellStyle name="20% - Akzent6 27" xfId="2518" xr:uid="{00000000-0005-0000-0000-0000D4090000}"/>
    <cellStyle name="20% - Akzent6 27 2" xfId="2519" xr:uid="{00000000-0005-0000-0000-0000D5090000}"/>
    <cellStyle name="20% - Akzent6 28" xfId="2520" xr:uid="{00000000-0005-0000-0000-0000D6090000}"/>
    <cellStyle name="20% - Akzent6 28 2" xfId="2521" xr:uid="{00000000-0005-0000-0000-0000D7090000}"/>
    <cellStyle name="20% - Akzent6 29" xfId="2522" xr:uid="{00000000-0005-0000-0000-0000D8090000}"/>
    <cellStyle name="20% - Akzent6 29 2" xfId="2523" xr:uid="{00000000-0005-0000-0000-0000D9090000}"/>
    <cellStyle name="20% - Akzent6 3" xfId="2524" xr:uid="{00000000-0005-0000-0000-0000DA090000}"/>
    <cellStyle name="20% - Akzent6 3 2" xfId="2525" xr:uid="{00000000-0005-0000-0000-0000DB090000}"/>
    <cellStyle name="20% - Akzent6 3 3" xfId="2526" xr:uid="{00000000-0005-0000-0000-0000DC090000}"/>
    <cellStyle name="20% - Akzent6 3 4" xfId="2527" xr:uid="{00000000-0005-0000-0000-0000DD090000}"/>
    <cellStyle name="20% - Akzent6 3 4 2" xfId="2528" xr:uid="{00000000-0005-0000-0000-0000DE090000}"/>
    <cellStyle name="20% - Akzent6 3 5" xfId="2529" xr:uid="{00000000-0005-0000-0000-0000DF090000}"/>
    <cellStyle name="20% - Akzent6 30" xfId="2530" xr:uid="{00000000-0005-0000-0000-0000E0090000}"/>
    <cellStyle name="20% - Akzent6 30 2" xfId="2531" xr:uid="{00000000-0005-0000-0000-0000E1090000}"/>
    <cellStyle name="20% - Akzent6 31" xfId="2532" xr:uid="{00000000-0005-0000-0000-0000E2090000}"/>
    <cellStyle name="20% - Akzent6 31 2" xfId="2533" xr:uid="{00000000-0005-0000-0000-0000E3090000}"/>
    <cellStyle name="20% - Akzent6 32" xfId="2534" xr:uid="{00000000-0005-0000-0000-0000E4090000}"/>
    <cellStyle name="20% - Akzent6 32 2" xfId="2535" xr:uid="{00000000-0005-0000-0000-0000E5090000}"/>
    <cellStyle name="20% - Akzent6 33" xfId="2536" xr:uid="{00000000-0005-0000-0000-0000E6090000}"/>
    <cellStyle name="20% - Akzent6 33 2" xfId="2537" xr:uid="{00000000-0005-0000-0000-0000E7090000}"/>
    <cellStyle name="20% - Akzent6 34" xfId="2538" xr:uid="{00000000-0005-0000-0000-0000E8090000}"/>
    <cellStyle name="20% - Akzent6 34 2" xfId="2539" xr:uid="{00000000-0005-0000-0000-0000E9090000}"/>
    <cellStyle name="20% - Akzent6 35" xfId="2540" xr:uid="{00000000-0005-0000-0000-0000EA090000}"/>
    <cellStyle name="20% - Akzent6 35 2" xfId="2541" xr:uid="{00000000-0005-0000-0000-0000EB090000}"/>
    <cellStyle name="20% - Akzent6 36" xfId="2542" xr:uid="{00000000-0005-0000-0000-0000EC090000}"/>
    <cellStyle name="20% - Akzent6 36 2" xfId="2543" xr:uid="{00000000-0005-0000-0000-0000ED090000}"/>
    <cellStyle name="20% - Akzent6 37" xfId="2544" xr:uid="{00000000-0005-0000-0000-0000EE090000}"/>
    <cellStyle name="20% - Akzent6 37 2" xfId="2545" xr:uid="{00000000-0005-0000-0000-0000EF090000}"/>
    <cellStyle name="20% - Akzent6 38" xfId="2546" xr:uid="{00000000-0005-0000-0000-0000F0090000}"/>
    <cellStyle name="20% - Akzent6 38 2" xfId="2547" xr:uid="{00000000-0005-0000-0000-0000F1090000}"/>
    <cellStyle name="20% - Akzent6 39" xfId="2548" xr:uid="{00000000-0005-0000-0000-0000F2090000}"/>
    <cellStyle name="20% - Akzent6 39 2" xfId="2549" xr:uid="{00000000-0005-0000-0000-0000F3090000}"/>
    <cellStyle name="20% - Akzent6 4" xfId="2550" xr:uid="{00000000-0005-0000-0000-0000F4090000}"/>
    <cellStyle name="20% - Akzent6 4 2" xfId="2551" xr:uid="{00000000-0005-0000-0000-0000F5090000}"/>
    <cellStyle name="20% - Akzent6 4 3" xfId="2552" xr:uid="{00000000-0005-0000-0000-0000F6090000}"/>
    <cellStyle name="20% - Akzent6 4 4" xfId="2553" xr:uid="{00000000-0005-0000-0000-0000F7090000}"/>
    <cellStyle name="20% - Akzent6 4 4 2" xfId="2554" xr:uid="{00000000-0005-0000-0000-0000F8090000}"/>
    <cellStyle name="20% - Akzent6 4 5" xfId="2555" xr:uid="{00000000-0005-0000-0000-0000F9090000}"/>
    <cellStyle name="20% - Akzent6 40" xfId="2556" xr:uid="{00000000-0005-0000-0000-0000FA090000}"/>
    <cellStyle name="20% - Akzent6 40 2" xfId="2557" xr:uid="{00000000-0005-0000-0000-0000FB090000}"/>
    <cellStyle name="20% - Akzent6 41" xfId="2558" xr:uid="{00000000-0005-0000-0000-0000FC090000}"/>
    <cellStyle name="20% - Akzent6 41 2" xfId="2559" xr:uid="{00000000-0005-0000-0000-0000FD090000}"/>
    <cellStyle name="20% - Akzent6 42" xfId="2560" xr:uid="{00000000-0005-0000-0000-0000FE090000}"/>
    <cellStyle name="20% - Akzent6 42 2" xfId="2561" xr:uid="{00000000-0005-0000-0000-0000FF090000}"/>
    <cellStyle name="20% - Akzent6 43" xfId="2562" xr:uid="{00000000-0005-0000-0000-0000000A0000}"/>
    <cellStyle name="20% - Akzent6 43 2" xfId="2563" xr:uid="{00000000-0005-0000-0000-0000010A0000}"/>
    <cellStyle name="20% - Akzent6 44" xfId="2564" xr:uid="{00000000-0005-0000-0000-0000020A0000}"/>
    <cellStyle name="20% - Akzent6 44 2" xfId="2565" xr:uid="{00000000-0005-0000-0000-0000030A0000}"/>
    <cellStyle name="20% - Akzent6 45" xfId="2566" xr:uid="{00000000-0005-0000-0000-0000040A0000}"/>
    <cellStyle name="20% - Akzent6 45 2" xfId="2567" xr:uid="{00000000-0005-0000-0000-0000050A0000}"/>
    <cellStyle name="20% - Akzent6 46" xfId="2568" xr:uid="{00000000-0005-0000-0000-0000060A0000}"/>
    <cellStyle name="20% - Akzent6 46 2" xfId="2569" xr:uid="{00000000-0005-0000-0000-0000070A0000}"/>
    <cellStyle name="20% - Akzent6 47" xfId="2570" xr:uid="{00000000-0005-0000-0000-0000080A0000}"/>
    <cellStyle name="20% - Akzent6 47 2" xfId="2571" xr:uid="{00000000-0005-0000-0000-0000090A0000}"/>
    <cellStyle name="20% - Akzent6 48" xfId="2572" xr:uid="{00000000-0005-0000-0000-00000A0A0000}"/>
    <cellStyle name="20% - Akzent6 48 2" xfId="2573" xr:uid="{00000000-0005-0000-0000-00000B0A0000}"/>
    <cellStyle name="20% - Akzent6 49" xfId="2574" xr:uid="{00000000-0005-0000-0000-00000C0A0000}"/>
    <cellStyle name="20% - Akzent6 49 2" xfId="2575" xr:uid="{00000000-0005-0000-0000-00000D0A0000}"/>
    <cellStyle name="20% - Akzent6 5" xfId="2576" xr:uid="{00000000-0005-0000-0000-00000E0A0000}"/>
    <cellStyle name="20% - Akzent6 5 2" xfId="2577" xr:uid="{00000000-0005-0000-0000-00000F0A0000}"/>
    <cellStyle name="20% - Akzent6 50" xfId="2578" xr:uid="{00000000-0005-0000-0000-0000100A0000}"/>
    <cellStyle name="20% - Akzent6 50 2" xfId="2579" xr:uid="{00000000-0005-0000-0000-0000110A0000}"/>
    <cellStyle name="20% - Akzent6 51" xfId="2580" xr:uid="{00000000-0005-0000-0000-0000120A0000}"/>
    <cellStyle name="20% - Akzent6 51 2" xfId="2581" xr:uid="{00000000-0005-0000-0000-0000130A0000}"/>
    <cellStyle name="20% - Akzent6 52" xfId="2582" xr:uid="{00000000-0005-0000-0000-0000140A0000}"/>
    <cellStyle name="20% - Akzent6 52 2" xfId="2583" xr:uid="{00000000-0005-0000-0000-0000150A0000}"/>
    <cellStyle name="20% - Akzent6 53" xfId="2584" xr:uid="{00000000-0005-0000-0000-0000160A0000}"/>
    <cellStyle name="20% - Akzent6 53 2" xfId="2585" xr:uid="{00000000-0005-0000-0000-0000170A0000}"/>
    <cellStyle name="20% - Akzent6 54" xfId="2586" xr:uid="{00000000-0005-0000-0000-0000180A0000}"/>
    <cellStyle name="20% - Akzent6 54 2" xfId="2587" xr:uid="{00000000-0005-0000-0000-0000190A0000}"/>
    <cellStyle name="20% - Akzent6 55" xfId="2588" xr:uid="{00000000-0005-0000-0000-00001A0A0000}"/>
    <cellStyle name="20% - Akzent6 55 2" xfId="2589" xr:uid="{00000000-0005-0000-0000-00001B0A0000}"/>
    <cellStyle name="20% - Akzent6 56" xfId="2590" xr:uid="{00000000-0005-0000-0000-00001C0A0000}"/>
    <cellStyle name="20% - Akzent6 56 2" xfId="2591" xr:uid="{00000000-0005-0000-0000-00001D0A0000}"/>
    <cellStyle name="20% - Akzent6 57" xfId="2592" xr:uid="{00000000-0005-0000-0000-00001E0A0000}"/>
    <cellStyle name="20% - Akzent6 57 2" xfId="2593" xr:uid="{00000000-0005-0000-0000-00001F0A0000}"/>
    <cellStyle name="20% - Akzent6 58" xfId="2594" xr:uid="{00000000-0005-0000-0000-0000200A0000}"/>
    <cellStyle name="20% - Akzent6 58 2" xfId="2595" xr:uid="{00000000-0005-0000-0000-0000210A0000}"/>
    <cellStyle name="20% - Akzent6 59" xfId="2596" xr:uid="{00000000-0005-0000-0000-0000220A0000}"/>
    <cellStyle name="20% - Akzent6 59 2" xfId="2597" xr:uid="{00000000-0005-0000-0000-0000230A0000}"/>
    <cellStyle name="20% - Akzent6 6" xfId="2598" xr:uid="{00000000-0005-0000-0000-0000240A0000}"/>
    <cellStyle name="20% - Akzent6 6 2" xfId="2599" xr:uid="{00000000-0005-0000-0000-0000250A0000}"/>
    <cellStyle name="20% - Akzent6 60" xfId="2600" xr:uid="{00000000-0005-0000-0000-0000260A0000}"/>
    <cellStyle name="20% - Akzent6 60 2" xfId="2601" xr:uid="{00000000-0005-0000-0000-0000270A0000}"/>
    <cellStyle name="20% - Akzent6 61" xfId="2602" xr:uid="{00000000-0005-0000-0000-0000280A0000}"/>
    <cellStyle name="20% - Akzent6 61 2" xfId="2603" xr:uid="{00000000-0005-0000-0000-0000290A0000}"/>
    <cellStyle name="20% - Akzent6 62" xfId="2604" xr:uid="{00000000-0005-0000-0000-00002A0A0000}"/>
    <cellStyle name="20% - Akzent6 62 2" xfId="2605" xr:uid="{00000000-0005-0000-0000-00002B0A0000}"/>
    <cellStyle name="20% - Akzent6 63" xfId="2606" xr:uid="{00000000-0005-0000-0000-00002C0A0000}"/>
    <cellStyle name="20% - Akzent6 63 2" xfId="2607" xr:uid="{00000000-0005-0000-0000-00002D0A0000}"/>
    <cellStyle name="20% - Akzent6 64" xfId="2608" xr:uid="{00000000-0005-0000-0000-00002E0A0000}"/>
    <cellStyle name="20% - Akzent6 64 2" xfId="2609" xr:uid="{00000000-0005-0000-0000-00002F0A0000}"/>
    <cellStyle name="20% - Akzent6 65" xfId="2610" xr:uid="{00000000-0005-0000-0000-0000300A0000}"/>
    <cellStyle name="20% - Akzent6 65 2" xfId="2611" xr:uid="{00000000-0005-0000-0000-0000310A0000}"/>
    <cellStyle name="20% - Akzent6 66" xfId="2612" xr:uid="{00000000-0005-0000-0000-0000320A0000}"/>
    <cellStyle name="20% - Akzent6 66 2" xfId="2613" xr:uid="{00000000-0005-0000-0000-0000330A0000}"/>
    <cellStyle name="20% - Akzent6 67" xfId="2614" xr:uid="{00000000-0005-0000-0000-0000340A0000}"/>
    <cellStyle name="20% - Akzent6 67 2" xfId="2615" xr:uid="{00000000-0005-0000-0000-0000350A0000}"/>
    <cellStyle name="20% - Akzent6 68" xfId="2616" xr:uid="{00000000-0005-0000-0000-0000360A0000}"/>
    <cellStyle name="20% - Akzent6 68 2" xfId="2617" xr:uid="{00000000-0005-0000-0000-0000370A0000}"/>
    <cellStyle name="20% - Akzent6 69" xfId="2618" xr:uid="{00000000-0005-0000-0000-0000380A0000}"/>
    <cellStyle name="20% - Akzent6 69 2" xfId="2619" xr:uid="{00000000-0005-0000-0000-0000390A0000}"/>
    <cellStyle name="20% - Akzent6 7" xfId="2620" xr:uid="{00000000-0005-0000-0000-00003A0A0000}"/>
    <cellStyle name="20% - Akzent6 7 2" xfId="2621" xr:uid="{00000000-0005-0000-0000-00003B0A0000}"/>
    <cellStyle name="20% - Akzent6 70" xfId="2622" xr:uid="{00000000-0005-0000-0000-00003C0A0000}"/>
    <cellStyle name="20% - Akzent6 70 2" xfId="2623" xr:uid="{00000000-0005-0000-0000-00003D0A0000}"/>
    <cellStyle name="20% - Akzent6 71" xfId="2624" xr:uid="{00000000-0005-0000-0000-00003E0A0000}"/>
    <cellStyle name="20% - Akzent6 71 2" xfId="2625" xr:uid="{00000000-0005-0000-0000-00003F0A0000}"/>
    <cellStyle name="20% - Akzent6 72" xfId="2626" xr:uid="{00000000-0005-0000-0000-0000400A0000}"/>
    <cellStyle name="20% - Akzent6 72 2" xfId="2627" xr:uid="{00000000-0005-0000-0000-0000410A0000}"/>
    <cellStyle name="20% - Akzent6 73" xfId="2628" xr:uid="{00000000-0005-0000-0000-0000420A0000}"/>
    <cellStyle name="20% - Akzent6 73 2" xfId="2629" xr:uid="{00000000-0005-0000-0000-0000430A0000}"/>
    <cellStyle name="20% - Akzent6 74" xfId="2630" xr:uid="{00000000-0005-0000-0000-0000440A0000}"/>
    <cellStyle name="20% - Akzent6 74 2" xfId="2631" xr:uid="{00000000-0005-0000-0000-0000450A0000}"/>
    <cellStyle name="20% - Akzent6 75" xfId="2632" xr:uid="{00000000-0005-0000-0000-0000460A0000}"/>
    <cellStyle name="20% - Akzent6 75 2" xfId="2633" xr:uid="{00000000-0005-0000-0000-0000470A0000}"/>
    <cellStyle name="20% - Akzent6 76" xfId="2634" xr:uid="{00000000-0005-0000-0000-0000480A0000}"/>
    <cellStyle name="20% - Akzent6 76 2" xfId="2635" xr:uid="{00000000-0005-0000-0000-0000490A0000}"/>
    <cellStyle name="20% - Akzent6 77" xfId="2636" xr:uid="{00000000-0005-0000-0000-00004A0A0000}"/>
    <cellStyle name="20% - Akzent6 77 2" xfId="2637" xr:uid="{00000000-0005-0000-0000-00004B0A0000}"/>
    <cellStyle name="20% - Akzent6 78" xfId="2638" xr:uid="{00000000-0005-0000-0000-00004C0A0000}"/>
    <cellStyle name="20% - Akzent6 78 2" xfId="2639" xr:uid="{00000000-0005-0000-0000-00004D0A0000}"/>
    <cellStyle name="20% - Akzent6 79" xfId="2640" xr:uid="{00000000-0005-0000-0000-00004E0A0000}"/>
    <cellStyle name="20% - Akzent6 79 2" xfId="2641" xr:uid="{00000000-0005-0000-0000-00004F0A0000}"/>
    <cellStyle name="20% - Akzent6 8" xfId="2642" xr:uid="{00000000-0005-0000-0000-0000500A0000}"/>
    <cellStyle name="20% - Akzent6 8 2" xfId="2643" xr:uid="{00000000-0005-0000-0000-0000510A0000}"/>
    <cellStyle name="20% - Akzent6 80" xfId="2644" xr:uid="{00000000-0005-0000-0000-0000520A0000}"/>
    <cellStyle name="20% - Akzent6 80 2" xfId="2645" xr:uid="{00000000-0005-0000-0000-0000530A0000}"/>
    <cellStyle name="20% - Akzent6 81" xfId="2646" xr:uid="{00000000-0005-0000-0000-0000540A0000}"/>
    <cellStyle name="20% - Akzent6 81 2" xfId="2647" xr:uid="{00000000-0005-0000-0000-0000550A0000}"/>
    <cellStyle name="20% - Akzent6 82" xfId="2648" xr:uid="{00000000-0005-0000-0000-0000560A0000}"/>
    <cellStyle name="20% - Akzent6 82 2" xfId="2649" xr:uid="{00000000-0005-0000-0000-0000570A0000}"/>
    <cellStyle name="20% - Akzent6 83" xfId="2650" xr:uid="{00000000-0005-0000-0000-0000580A0000}"/>
    <cellStyle name="20% - Akzent6 83 2" xfId="2651" xr:uid="{00000000-0005-0000-0000-0000590A0000}"/>
    <cellStyle name="20% - Akzent6 84" xfId="2652" xr:uid="{00000000-0005-0000-0000-00005A0A0000}"/>
    <cellStyle name="20% - Akzent6 84 2" xfId="2653" xr:uid="{00000000-0005-0000-0000-00005B0A0000}"/>
    <cellStyle name="20% - Akzent6 85" xfId="2654" xr:uid="{00000000-0005-0000-0000-00005C0A0000}"/>
    <cellStyle name="20% - Akzent6 85 2" xfId="2655" xr:uid="{00000000-0005-0000-0000-00005D0A0000}"/>
    <cellStyle name="20% - Akzent6 86" xfId="2656" xr:uid="{00000000-0005-0000-0000-00005E0A0000}"/>
    <cellStyle name="20% - Akzent6 86 2" xfId="2657" xr:uid="{00000000-0005-0000-0000-00005F0A0000}"/>
    <cellStyle name="20% - Akzent6 87" xfId="2658" xr:uid="{00000000-0005-0000-0000-0000600A0000}"/>
    <cellStyle name="20% - Akzent6 87 2" xfId="2659" xr:uid="{00000000-0005-0000-0000-0000610A0000}"/>
    <cellStyle name="20% - Akzent6 88" xfId="2660" xr:uid="{00000000-0005-0000-0000-0000620A0000}"/>
    <cellStyle name="20% - Akzent6 88 2" xfId="2661" xr:uid="{00000000-0005-0000-0000-0000630A0000}"/>
    <cellStyle name="20% - Akzent6 89" xfId="2662" xr:uid="{00000000-0005-0000-0000-0000640A0000}"/>
    <cellStyle name="20% - Akzent6 89 2" xfId="2663" xr:uid="{00000000-0005-0000-0000-0000650A0000}"/>
    <cellStyle name="20% - Akzent6 9" xfId="2664" xr:uid="{00000000-0005-0000-0000-0000660A0000}"/>
    <cellStyle name="20% - Akzent6 9 2" xfId="2665" xr:uid="{00000000-0005-0000-0000-0000670A0000}"/>
    <cellStyle name="20% - Akzent6 90" xfId="2666" xr:uid="{00000000-0005-0000-0000-0000680A0000}"/>
    <cellStyle name="20% - Akzent6 90 2" xfId="2667" xr:uid="{00000000-0005-0000-0000-0000690A0000}"/>
    <cellStyle name="20% - Akzent6 91" xfId="2668" xr:uid="{00000000-0005-0000-0000-00006A0A0000}"/>
    <cellStyle name="20% - Akzent6 91 2" xfId="2669" xr:uid="{00000000-0005-0000-0000-00006B0A0000}"/>
    <cellStyle name="20% - Akzent6 92" xfId="2670" xr:uid="{00000000-0005-0000-0000-00006C0A0000}"/>
    <cellStyle name="20% - Akzent6 92 2" xfId="2671" xr:uid="{00000000-0005-0000-0000-00006D0A0000}"/>
    <cellStyle name="20% - Akzent6 93" xfId="2672" xr:uid="{00000000-0005-0000-0000-00006E0A0000}"/>
    <cellStyle name="20% - Akzent6 93 2" xfId="2673" xr:uid="{00000000-0005-0000-0000-00006F0A0000}"/>
    <cellStyle name="20% - Akzent6 94" xfId="2674" xr:uid="{00000000-0005-0000-0000-0000700A0000}"/>
    <cellStyle name="20% - Akzent6 94 2" xfId="2675" xr:uid="{00000000-0005-0000-0000-0000710A0000}"/>
    <cellStyle name="20% - Akzent6 95" xfId="2676" xr:uid="{00000000-0005-0000-0000-0000720A0000}"/>
    <cellStyle name="20% - Akzent6 95 2" xfId="2677" xr:uid="{00000000-0005-0000-0000-0000730A0000}"/>
    <cellStyle name="20% - Akzent6 96" xfId="2678" xr:uid="{00000000-0005-0000-0000-0000740A0000}"/>
    <cellStyle name="20% - Akzent6 96 2" xfId="2679" xr:uid="{00000000-0005-0000-0000-0000750A0000}"/>
    <cellStyle name="20% - Akzent6 97" xfId="2680" xr:uid="{00000000-0005-0000-0000-0000760A0000}"/>
    <cellStyle name="20% - Akzent6 97 2" xfId="2681" xr:uid="{00000000-0005-0000-0000-0000770A0000}"/>
    <cellStyle name="20% - Akzent6 98" xfId="2682" xr:uid="{00000000-0005-0000-0000-0000780A0000}"/>
    <cellStyle name="20% - Akzent6 98 2" xfId="2683" xr:uid="{00000000-0005-0000-0000-0000790A0000}"/>
    <cellStyle name="20% - Akzent6 99" xfId="2684" xr:uid="{00000000-0005-0000-0000-00007A0A0000}"/>
    <cellStyle name="20% - Akzent6 99 2" xfId="2685" xr:uid="{00000000-0005-0000-0000-00007B0A0000}"/>
    <cellStyle name="40 % - Akzent1" xfId="2686" xr:uid="{00000000-0005-0000-0000-00007C0A0000}"/>
    <cellStyle name="40 % - Akzent1 2" xfId="2687" xr:uid="{00000000-0005-0000-0000-00007D0A0000}"/>
    <cellStyle name="40 % - Akzent1 2 2" xfId="2688" xr:uid="{00000000-0005-0000-0000-00007E0A0000}"/>
    <cellStyle name="40 % - Akzent1 3" xfId="2689" xr:uid="{00000000-0005-0000-0000-00007F0A0000}"/>
    <cellStyle name="40 % - Akzent2" xfId="2690" xr:uid="{00000000-0005-0000-0000-0000800A0000}"/>
    <cellStyle name="40 % - Akzent2 2" xfId="2691" xr:uid="{00000000-0005-0000-0000-0000810A0000}"/>
    <cellStyle name="40 % - Akzent2 2 2" xfId="2692" xr:uid="{00000000-0005-0000-0000-0000820A0000}"/>
    <cellStyle name="40 % - Akzent2 3" xfId="2693" xr:uid="{00000000-0005-0000-0000-0000830A0000}"/>
    <cellStyle name="40 % - Akzent3" xfId="2694" xr:uid="{00000000-0005-0000-0000-0000840A0000}"/>
    <cellStyle name="40 % - Akzent3 2" xfId="2695" xr:uid="{00000000-0005-0000-0000-0000850A0000}"/>
    <cellStyle name="40 % - Akzent3 2 2" xfId="2696" xr:uid="{00000000-0005-0000-0000-0000860A0000}"/>
    <cellStyle name="40 % - Akzent3 3" xfId="2697" xr:uid="{00000000-0005-0000-0000-0000870A0000}"/>
    <cellStyle name="40 % - Akzent4" xfId="2698" xr:uid="{00000000-0005-0000-0000-0000880A0000}"/>
    <cellStyle name="40 % - Akzent4 2" xfId="2699" xr:uid="{00000000-0005-0000-0000-0000890A0000}"/>
    <cellStyle name="40 % - Akzent4 2 2" xfId="2700" xr:uid="{00000000-0005-0000-0000-00008A0A0000}"/>
    <cellStyle name="40 % - Akzent4 3" xfId="2701" xr:uid="{00000000-0005-0000-0000-00008B0A0000}"/>
    <cellStyle name="40 % - Akzent5" xfId="2702" xr:uid="{00000000-0005-0000-0000-00008C0A0000}"/>
    <cellStyle name="40 % - Akzent5 2" xfId="2703" xr:uid="{00000000-0005-0000-0000-00008D0A0000}"/>
    <cellStyle name="40 % - Akzent5 2 2" xfId="2704" xr:uid="{00000000-0005-0000-0000-00008E0A0000}"/>
    <cellStyle name="40 % - Akzent5 3" xfId="2705" xr:uid="{00000000-0005-0000-0000-00008F0A0000}"/>
    <cellStyle name="40 % - Akzent6" xfId="2706" xr:uid="{00000000-0005-0000-0000-0000900A0000}"/>
    <cellStyle name="40 % - Akzent6 2" xfId="2707" xr:uid="{00000000-0005-0000-0000-0000910A0000}"/>
    <cellStyle name="40 % - Akzent6 2 2" xfId="2708" xr:uid="{00000000-0005-0000-0000-0000920A0000}"/>
    <cellStyle name="40 % - Akzent6 3" xfId="2709" xr:uid="{00000000-0005-0000-0000-0000930A0000}"/>
    <cellStyle name="40% - Accent1" xfId="21053" xr:uid="{00000000-0005-0000-0000-0000940A0000}"/>
    <cellStyle name="40% - Accent1 10" xfId="2710" xr:uid="{00000000-0005-0000-0000-0000950A0000}"/>
    <cellStyle name="40% - Accent1 10 2" xfId="2711" xr:uid="{00000000-0005-0000-0000-0000960A0000}"/>
    <cellStyle name="40% - Accent1 11" xfId="2712" xr:uid="{00000000-0005-0000-0000-0000970A0000}"/>
    <cellStyle name="40% - Accent1 11 2" xfId="2713" xr:uid="{00000000-0005-0000-0000-0000980A0000}"/>
    <cellStyle name="40% - Accent1 12" xfId="2714" xr:uid="{00000000-0005-0000-0000-0000990A0000}"/>
    <cellStyle name="40% - Accent1 12 2" xfId="2715" xr:uid="{00000000-0005-0000-0000-00009A0A0000}"/>
    <cellStyle name="40% - Accent1 13" xfId="2716" xr:uid="{00000000-0005-0000-0000-00009B0A0000}"/>
    <cellStyle name="40% - Accent1 13 2" xfId="2717" xr:uid="{00000000-0005-0000-0000-00009C0A0000}"/>
    <cellStyle name="40% - Accent1 14" xfId="2718" xr:uid="{00000000-0005-0000-0000-00009D0A0000}"/>
    <cellStyle name="40% - Accent1 14 2" xfId="2719" xr:uid="{00000000-0005-0000-0000-00009E0A0000}"/>
    <cellStyle name="40% - Accent1 15" xfId="2720" xr:uid="{00000000-0005-0000-0000-00009F0A0000}"/>
    <cellStyle name="40% - Accent1 15 2" xfId="2721" xr:uid="{00000000-0005-0000-0000-0000A00A0000}"/>
    <cellStyle name="40% - Accent1 16" xfId="2722" xr:uid="{00000000-0005-0000-0000-0000A10A0000}"/>
    <cellStyle name="40% - Accent1 16 2" xfId="2723" xr:uid="{00000000-0005-0000-0000-0000A20A0000}"/>
    <cellStyle name="40% - Accent1 17" xfId="2724" xr:uid="{00000000-0005-0000-0000-0000A30A0000}"/>
    <cellStyle name="40% - Accent1 17 2" xfId="2725" xr:uid="{00000000-0005-0000-0000-0000A40A0000}"/>
    <cellStyle name="40% - Accent1 18" xfId="2726" xr:uid="{00000000-0005-0000-0000-0000A50A0000}"/>
    <cellStyle name="40% - Accent1 18 2" xfId="2727" xr:uid="{00000000-0005-0000-0000-0000A60A0000}"/>
    <cellStyle name="40% - Accent1 19" xfId="2728" xr:uid="{00000000-0005-0000-0000-0000A70A0000}"/>
    <cellStyle name="40% - Accent1 19 2" xfId="2729" xr:uid="{00000000-0005-0000-0000-0000A80A0000}"/>
    <cellStyle name="40% - Accent1 2" xfId="2730" xr:uid="{00000000-0005-0000-0000-0000A90A0000}"/>
    <cellStyle name="40% - Accent1 2 2" xfId="2731" xr:uid="{00000000-0005-0000-0000-0000AA0A0000}"/>
    <cellStyle name="40% - Accent1 2 2 2" xfId="2732" xr:uid="{00000000-0005-0000-0000-0000AB0A0000}"/>
    <cellStyle name="40% - Accent1 2 2 2 2" xfId="2733" xr:uid="{00000000-0005-0000-0000-0000AC0A0000}"/>
    <cellStyle name="40% - Accent1 2 2 3" xfId="2734" xr:uid="{00000000-0005-0000-0000-0000AD0A0000}"/>
    <cellStyle name="40% - Accent1 2 3" xfId="2735" xr:uid="{00000000-0005-0000-0000-0000AE0A0000}"/>
    <cellStyle name="40% - Accent1 2 3 2" xfId="2736" xr:uid="{00000000-0005-0000-0000-0000AF0A0000}"/>
    <cellStyle name="40% - Accent1 2 4" xfId="2737" xr:uid="{00000000-0005-0000-0000-0000B00A0000}"/>
    <cellStyle name="40% - Accent1 2_AE_FC_QuoteMaster" xfId="2738" xr:uid="{00000000-0005-0000-0000-0000B10A0000}"/>
    <cellStyle name="40% - Accent1 20" xfId="2739" xr:uid="{00000000-0005-0000-0000-0000B20A0000}"/>
    <cellStyle name="40% - Accent1 20 2" xfId="2740" xr:uid="{00000000-0005-0000-0000-0000B30A0000}"/>
    <cellStyle name="40% - Accent1 21" xfId="2741" xr:uid="{00000000-0005-0000-0000-0000B40A0000}"/>
    <cellStyle name="40% - Accent1 21 2" xfId="2742" xr:uid="{00000000-0005-0000-0000-0000B50A0000}"/>
    <cellStyle name="40% - Accent1 22" xfId="2743" xr:uid="{00000000-0005-0000-0000-0000B60A0000}"/>
    <cellStyle name="40% - Accent1 22 2" xfId="2744" xr:uid="{00000000-0005-0000-0000-0000B70A0000}"/>
    <cellStyle name="40% - Accent1 23" xfId="2745" xr:uid="{00000000-0005-0000-0000-0000B80A0000}"/>
    <cellStyle name="40% - Accent1 23 2" xfId="2746" xr:uid="{00000000-0005-0000-0000-0000B90A0000}"/>
    <cellStyle name="40% - Accent1 24" xfId="2747" xr:uid="{00000000-0005-0000-0000-0000BA0A0000}"/>
    <cellStyle name="40% - Accent1 24 2" xfId="2748" xr:uid="{00000000-0005-0000-0000-0000BB0A0000}"/>
    <cellStyle name="40% - Accent1 25" xfId="2749" xr:uid="{00000000-0005-0000-0000-0000BC0A0000}"/>
    <cellStyle name="40% - Accent1 25 2" xfId="2750" xr:uid="{00000000-0005-0000-0000-0000BD0A0000}"/>
    <cellStyle name="40% - Accent1 26" xfId="2751" xr:uid="{00000000-0005-0000-0000-0000BE0A0000}"/>
    <cellStyle name="40% - Accent1 26 2" xfId="2752" xr:uid="{00000000-0005-0000-0000-0000BF0A0000}"/>
    <cellStyle name="40% - Accent1 27" xfId="2753" xr:uid="{00000000-0005-0000-0000-0000C00A0000}"/>
    <cellStyle name="40% - Accent1 27 2" xfId="2754" xr:uid="{00000000-0005-0000-0000-0000C10A0000}"/>
    <cellStyle name="40% - Accent1 28" xfId="2755" xr:uid="{00000000-0005-0000-0000-0000C20A0000}"/>
    <cellStyle name="40% - Accent1 28 2" xfId="2756" xr:uid="{00000000-0005-0000-0000-0000C30A0000}"/>
    <cellStyle name="40% - Accent1 29" xfId="2757" xr:uid="{00000000-0005-0000-0000-0000C40A0000}"/>
    <cellStyle name="40% - Accent1 29 2" xfId="2758" xr:uid="{00000000-0005-0000-0000-0000C50A0000}"/>
    <cellStyle name="40% - Accent1 3" xfId="2759" xr:uid="{00000000-0005-0000-0000-0000C60A0000}"/>
    <cellStyle name="40% - Accent1 3 2" xfId="2760" xr:uid="{00000000-0005-0000-0000-0000C70A0000}"/>
    <cellStyle name="40% - Accent1 3 2 2" xfId="2761" xr:uid="{00000000-0005-0000-0000-0000C80A0000}"/>
    <cellStyle name="40% - Accent1 3 2 2 2" xfId="2762" xr:uid="{00000000-0005-0000-0000-0000C90A0000}"/>
    <cellStyle name="40% - Accent1 3 2 3" xfId="2763" xr:uid="{00000000-0005-0000-0000-0000CA0A0000}"/>
    <cellStyle name="40% - Accent1 3 3" xfId="2764" xr:uid="{00000000-0005-0000-0000-0000CB0A0000}"/>
    <cellStyle name="40% - Accent1 3 3 2" xfId="2765" xr:uid="{00000000-0005-0000-0000-0000CC0A0000}"/>
    <cellStyle name="40% - Accent1 3 4" xfId="2766" xr:uid="{00000000-0005-0000-0000-0000CD0A0000}"/>
    <cellStyle name="40% - Accent1 30" xfId="2767" xr:uid="{00000000-0005-0000-0000-0000CE0A0000}"/>
    <cellStyle name="40% - Accent1 30 2" xfId="2768" xr:uid="{00000000-0005-0000-0000-0000CF0A0000}"/>
    <cellStyle name="40% - Accent1 31" xfId="2769" xr:uid="{00000000-0005-0000-0000-0000D00A0000}"/>
    <cellStyle name="40% - Accent1 31 2" xfId="2770" xr:uid="{00000000-0005-0000-0000-0000D10A0000}"/>
    <cellStyle name="40% - Accent1 32" xfId="2771" xr:uid="{00000000-0005-0000-0000-0000D20A0000}"/>
    <cellStyle name="40% - Accent1 32 2" xfId="2772" xr:uid="{00000000-0005-0000-0000-0000D30A0000}"/>
    <cellStyle name="40% - Accent1 33" xfId="2773" xr:uid="{00000000-0005-0000-0000-0000D40A0000}"/>
    <cellStyle name="40% - Accent1 33 2" xfId="2774" xr:uid="{00000000-0005-0000-0000-0000D50A0000}"/>
    <cellStyle name="40% - Accent1 34" xfId="2775" xr:uid="{00000000-0005-0000-0000-0000D60A0000}"/>
    <cellStyle name="40% - Accent1 34 2" xfId="2776" xr:uid="{00000000-0005-0000-0000-0000D70A0000}"/>
    <cellStyle name="40% - Accent1 35" xfId="2777" xr:uid="{00000000-0005-0000-0000-0000D80A0000}"/>
    <cellStyle name="40% - Accent1 35 2" xfId="2778" xr:uid="{00000000-0005-0000-0000-0000D90A0000}"/>
    <cellStyle name="40% - Accent1 36" xfId="2779" xr:uid="{00000000-0005-0000-0000-0000DA0A0000}"/>
    <cellStyle name="40% - Accent1 36 2" xfId="2780" xr:uid="{00000000-0005-0000-0000-0000DB0A0000}"/>
    <cellStyle name="40% - Accent1 37" xfId="2781" xr:uid="{00000000-0005-0000-0000-0000DC0A0000}"/>
    <cellStyle name="40% - Accent1 37 2" xfId="2782" xr:uid="{00000000-0005-0000-0000-0000DD0A0000}"/>
    <cellStyle name="40% - Accent1 38" xfId="2783" xr:uid="{00000000-0005-0000-0000-0000DE0A0000}"/>
    <cellStyle name="40% - Accent1 38 2" xfId="2784" xr:uid="{00000000-0005-0000-0000-0000DF0A0000}"/>
    <cellStyle name="40% - Accent1 39" xfId="2785" xr:uid="{00000000-0005-0000-0000-0000E00A0000}"/>
    <cellStyle name="40% - Accent1 39 2" xfId="2786" xr:uid="{00000000-0005-0000-0000-0000E10A0000}"/>
    <cellStyle name="40% - Accent1 4" xfId="2787" xr:uid="{00000000-0005-0000-0000-0000E20A0000}"/>
    <cellStyle name="40% - Accent1 4 2" xfId="2788" xr:uid="{00000000-0005-0000-0000-0000E30A0000}"/>
    <cellStyle name="40% - Accent1 4 2 2" xfId="2789" xr:uid="{00000000-0005-0000-0000-0000E40A0000}"/>
    <cellStyle name="40% - Accent1 4 3" xfId="2790" xr:uid="{00000000-0005-0000-0000-0000E50A0000}"/>
    <cellStyle name="40% - Accent1 40" xfId="2791" xr:uid="{00000000-0005-0000-0000-0000E60A0000}"/>
    <cellStyle name="40% - Accent1 40 2" xfId="2792" xr:uid="{00000000-0005-0000-0000-0000E70A0000}"/>
    <cellStyle name="40% - Accent1 41" xfId="2793" xr:uid="{00000000-0005-0000-0000-0000E80A0000}"/>
    <cellStyle name="40% - Accent1 41 2" xfId="2794" xr:uid="{00000000-0005-0000-0000-0000E90A0000}"/>
    <cellStyle name="40% - Accent1 42" xfId="2795" xr:uid="{00000000-0005-0000-0000-0000EA0A0000}"/>
    <cellStyle name="40% - Accent1 42 2" xfId="2796" xr:uid="{00000000-0005-0000-0000-0000EB0A0000}"/>
    <cellStyle name="40% - Accent1 43" xfId="2797" xr:uid="{00000000-0005-0000-0000-0000EC0A0000}"/>
    <cellStyle name="40% - Accent1 43 2" xfId="2798" xr:uid="{00000000-0005-0000-0000-0000ED0A0000}"/>
    <cellStyle name="40% - Accent1 44" xfId="2799" xr:uid="{00000000-0005-0000-0000-0000EE0A0000}"/>
    <cellStyle name="40% - Accent1 44 2" xfId="2800" xr:uid="{00000000-0005-0000-0000-0000EF0A0000}"/>
    <cellStyle name="40% - Accent1 45" xfId="2801" xr:uid="{00000000-0005-0000-0000-0000F00A0000}"/>
    <cellStyle name="40% - Accent1 45 2" xfId="2802" xr:uid="{00000000-0005-0000-0000-0000F10A0000}"/>
    <cellStyle name="40% - Accent1 46" xfId="2803" xr:uid="{00000000-0005-0000-0000-0000F20A0000}"/>
    <cellStyle name="40% - Accent1 46 2" xfId="2804" xr:uid="{00000000-0005-0000-0000-0000F30A0000}"/>
    <cellStyle name="40% - Accent1 47" xfId="2805" xr:uid="{00000000-0005-0000-0000-0000F40A0000}"/>
    <cellStyle name="40% - Accent1 47 2" xfId="2806" xr:uid="{00000000-0005-0000-0000-0000F50A0000}"/>
    <cellStyle name="40% - Accent1 48" xfId="2807" xr:uid="{00000000-0005-0000-0000-0000F60A0000}"/>
    <cellStyle name="40% - Accent1 48 2" xfId="2808" xr:uid="{00000000-0005-0000-0000-0000F70A0000}"/>
    <cellStyle name="40% - Accent1 49" xfId="2809" xr:uid="{00000000-0005-0000-0000-0000F80A0000}"/>
    <cellStyle name="40% - Accent1 49 2" xfId="2810" xr:uid="{00000000-0005-0000-0000-0000F90A0000}"/>
    <cellStyle name="40% - Accent1 5" xfId="2811" xr:uid="{00000000-0005-0000-0000-0000FA0A0000}"/>
    <cellStyle name="40% - Accent1 5 2" xfId="2812" xr:uid="{00000000-0005-0000-0000-0000FB0A0000}"/>
    <cellStyle name="40% - Accent1 50" xfId="2813" xr:uid="{00000000-0005-0000-0000-0000FC0A0000}"/>
    <cellStyle name="40% - Accent1 50 2" xfId="2814" xr:uid="{00000000-0005-0000-0000-0000FD0A0000}"/>
    <cellStyle name="40% - Accent1 51" xfId="2815" xr:uid="{00000000-0005-0000-0000-0000FE0A0000}"/>
    <cellStyle name="40% - Accent1 51 2" xfId="2816" xr:uid="{00000000-0005-0000-0000-0000FF0A0000}"/>
    <cellStyle name="40% - Accent1 52" xfId="2817" xr:uid="{00000000-0005-0000-0000-0000000B0000}"/>
    <cellStyle name="40% - Accent1 52 2" xfId="2818" xr:uid="{00000000-0005-0000-0000-0000010B0000}"/>
    <cellStyle name="40% - Accent1 53" xfId="2819" xr:uid="{00000000-0005-0000-0000-0000020B0000}"/>
    <cellStyle name="40% - Accent1 53 2" xfId="2820" xr:uid="{00000000-0005-0000-0000-0000030B0000}"/>
    <cellStyle name="40% - Accent1 54" xfId="2821" xr:uid="{00000000-0005-0000-0000-0000040B0000}"/>
    <cellStyle name="40% - Accent1 54 2" xfId="2822" xr:uid="{00000000-0005-0000-0000-0000050B0000}"/>
    <cellStyle name="40% - Accent1 55" xfId="2823" xr:uid="{00000000-0005-0000-0000-0000060B0000}"/>
    <cellStyle name="40% - Accent1 55 2" xfId="2824" xr:uid="{00000000-0005-0000-0000-0000070B0000}"/>
    <cellStyle name="40% - Accent1 56" xfId="2825" xr:uid="{00000000-0005-0000-0000-0000080B0000}"/>
    <cellStyle name="40% - Accent1 56 2" xfId="2826" xr:uid="{00000000-0005-0000-0000-0000090B0000}"/>
    <cellStyle name="40% - Accent1 57" xfId="2827" xr:uid="{00000000-0005-0000-0000-00000A0B0000}"/>
    <cellStyle name="40% - Accent1 57 2" xfId="2828" xr:uid="{00000000-0005-0000-0000-00000B0B0000}"/>
    <cellStyle name="40% - Accent1 58" xfId="2829" xr:uid="{00000000-0005-0000-0000-00000C0B0000}"/>
    <cellStyle name="40% - Accent1 58 2" xfId="2830" xr:uid="{00000000-0005-0000-0000-00000D0B0000}"/>
    <cellStyle name="40% - Accent1 59" xfId="2831" xr:uid="{00000000-0005-0000-0000-00000E0B0000}"/>
    <cellStyle name="40% - Accent1 59 2" xfId="2832" xr:uid="{00000000-0005-0000-0000-00000F0B0000}"/>
    <cellStyle name="40% - Accent1 6" xfId="2833" xr:uid="{00000000-0005-0000-0000-0000100B0000}"/>
    <cellStyle name="40% - Accent1 6 2" xfId="2834" xr:uid="{00000000-0005-0000-0000-0000110B0000}"/>
    <cellStyle name="40% - Accent1 60" xfId="2835" xr:uid="{00000000-0005-0000-0000-0000120B0000}"/>
    <cellStyle name="40% - Accent1 60 2" xfId="2836" xr:uid="{00000000-0005-0000-0000-0000130B0000}"/>
    <cellStyle name="40% - Accent1 61" xfId="2837" xr:uid="{00000000-0005-0000-0000-0000140B0000}"/>
    <cellStyle name="40% - Accent1 61 2" xfId="2838" xr:uid="{00000000-0005-0000-0000-0000150B0000}"/>
    <cellStyle name="40% - Accent1 62" xfId="2839" xr:uid="{00000000-0005-0000-0000-0000160B0000}"/>
    <cellStyle name="40% - Accent1 62 2" xfId="2840" xr:uid="{00000000-0005-0000-0000-0000170B0000}"/>
    <cellStyle name="40% - Accent1 63" xfId="2841" xr:uid="{00000000-0005-0000-0000-0000180B0000}"/>
    <cellStyle name="40% - Accent1 63 2" xfId="2842" xr:uid="{00000000-0005-0000-0000-0000190B0000}"/>
    <cellStyle name="40% - Accent1 64" xfId="2843" xr:uid="{00000000-0005-0000-0000-00001A0B0000}"/>
    <cellStyle name="40% - Accent1 64 2" xfId="2844" xr:uid="{00000000-0005-0000-0000-00001B0B0000}"/>
    <cellStyle name="40% - Accent1 65" xfId="2845" xr:uid="{00000000-0005-0000-0000-00001C0B0000}"/>
    <cellStyle name="40% - Accent1 65 2" xfId="2846" xr:uid="{00000000-0005-0000-0000-00001D0B0000}"/>
    <cellStyle name="40% - Accent1 66" xfId="2847" xr:uid="{00000000-0005-0000-0000-00001E0B0000}"/>
    <cellStyle name="40% - Accent1 66 2" xfId="2848" xr:uid="{00000000-0005-0000-0000-00001F0B0000}"/>
    <cellStyle name="40% - Accent1 67" xfId="2849" xr:uid="{00000000-0005-0000-0000-0000200B0000}"/>
    <cellStyle name="40% - Accent1 67 2" xfId="2850" xr:uid="{00000000-0005-0000-0000-0000210B0000}"/>
    <cellStyle name="40% - Accent1 68" xfId="2851" xr:uid="{00000000-0005-0000-0000-0000220B0000}"/>
    <cellStyle name="40% - Accent1 68 2" xfId="2852" xr:uid="{00000000-0005-0000-0000-0000230B0000}"/>
    <cellStyle name="40% - Accent1 69" xfId="2853" xr:uid="{00000000-0005-0000-0000-0000240B0000}"/>
    <cellStyle name="40% - Accent1 69 2" xfId="2854" xr:uid="{00000000-0005-0000-0000-0000250B0000}"/>
    <cellStyle name="40% - Accent1 7" xfId="2855" xr:uid="{00000000-0005-0000-0000-0000260B0000}"/>
    <cellStyle name="40% - Accent1 7 2" xfId="2856" xr:uid="{00000000-0005-0000-0000-0000270B0000}"/>
    <cellStyle name="40% - Accent1 70" xfId="2857" xr:uid="{00000000-0005-0000-0000-0000280B0000}"/>
    <cellStyle name="40% - Accent1 70 2" xfId="2858" xr:uid="{00000000-0005-0000-0000-0000290B0000}"/>
    <cellStyle name="40% - Accent1 8" xfId="2859" xr:uid="{00000000-0005-0000-0000-00002A0B0000}"/>
    <cellStyle name="40% - Accent1 8 2" xfId="2860" xr:uid="{00000000-0005-0000-0000-00002B0B0000}"/>
    <cellStyle name="40% - Accent1 9" xfId="2861" xr:uid="{00000000-0005-0000-0000-00002C0B0000}"/>
    <cellStyle name="40% - Accent1 9 2" xfId="2862" xr:uid="{00000000-0005-0000-0000-00002D0B0000}"/>
    <cellStyle name="40% - Accent2" xfId="21054" xr:uid="{00000000-0005-0000-0000-00002E0B0000}"/>
    <cellStyle name="40% - Accent2 10" xfId="2863" xr:uid="{00000000-0005-0000-0000-00002F0B0000}"/>
    <cellStyle name="40% - Accent2 10 2" xfId="2864" xr:uid="{00000000-0005-0000-0000-0000300B0000}"/>
    <cellStyle name="40% - Accent2 11" xfId="2865" xr:uid="{00000000-0005-0000-0000-0000310B0000}"/>
    <cellStyle name="40% - Accent2 11 2" xfId="2866" xr:uid="{00000000-0005-0000-0000-0000320B0000}"/>
    <cellStyle name="40% - Accent2 12" xfId="2867" xr:uid="{00000000-0005-0000-0000-0000330B0000}"/>
    <cellStyle name="40% - Accent2 12 2" xfId="2868" xr:uid="{00000000-0005-0000-0000-0000340B0000}"/>
    <cellStyle name="40% - Accent2 13" xfId="2869" xr:uid="{00000000-0005-0000-0000-0000350B0000}"/>
    <cellStyle name="40% - Accent2 13 2" xfId="2870" xr:uid="{00000000-0005-0000-0000-0000360B0000}"/>
    <cellStyle name="40% - Accent2 14" xfId="2871" xr:uid="{00000000-0005-0000-0000-0000370B0000}"/>
    <cellStyle name="40% - Accent2 14 2" xfId="2872" xr:uid="{00000000-0005-0000-0000-0000380B0000}"/>
    <cellStyle name="40% - Accent2 15" xfId="2873" xr:uid="{00000000-0005-0000-0000-0000390B0000}"/>
    <cellStyle name="40% - Accent2 15 2" xfId="2874" xr:uid="{00000000-0005-0000-0000-00003A0B0000}"/>
    <cellStyle name="40% - Accent2 16" xfId="2875" xr:uid="{00000000-0005-0000-0000-00003B0B0000}"/>
    <cellStyle name="40% - Accent2 16 2" xfId="2876" xr:uid="{00000000-0005-0000-0000-00003C0B0000}"/>
    <cellStyle name="40% - Accent2 17" xfId="2877" xr:uid="{00000000-0005-0000-0000-00003D0B0000}"/>
    <cellStyle name="40% - Accent2 17 2" xfId="2878" xr:uid="{00000000-0005-0000-0000-00003E0B0000}"/>
    <cellStyle name="40% - Accent2 18" xfId="2879" xr:uid="{00000000-0005-0000-0000-00003F0B0000}"/>
    <cellStyle name="40% - Accent2 18 2" xfId="2880" xr:uid="{00000000-0005-0000-0000-0000400B0000}"/>
    <cellStyle name="40% - Accent2 19" xfId="2881" xr:uid="{00000000-0005-0000-0000-0000410B0000}"/>
    <cellStyle name="40% - Accent2 19 2" xfId="2882" xr:uid="{00000000-0005-0000-0000-0000420B0000}"/>
    <cellStyle name="40% - Accent2 2" xfId="2883" xr:uid="{00000000-0005-0000-0000-0000430B0000}"/>
    <cellStyle name="40% - Accent2 2 2" xfId="2884" xr:uid="{00000000-0005-0000-0000-0000440B0000}"/>
    <cellStyle name="40% - Accent2 2 2 2" xfId="2885" xr:uid="{00000000-0005-0000-0000-0000450B0000}"/>
    <cellStyle name="40% - Accent2 2 2 2 2" xfId="2886" xr:uid="{00000000-0005-0000-0000-0000460B0000}"/>
    <cellStyle name="40% - Accent2 2 2 3" xfId="2887" xr:uid="{00000000-0005-0000-0000-0000470B0000}"/>
    <cellStyle name="40% - Accent2 2 3" xfId="2888" xr:uid="{00000000-0005-0000-0000-0000480B0000}"/>
    <cellStyle name="40% - Accent2 2 3 2" xfId="2889" xr:uid="{00000000-0005-0000-0000-0000490B0000}"/>
    <cellStyle name="40% - Accent2 2 4" xfId="2890" xr:uid="{00000000-0005-0000-0000-00004A0B0000}"/>
    <cellStyle name="40% - Accent2 2_AE_FC_QuoteMaster" xfId="2891" xr:uid="{00000000-0005-0000-0000-00004B0B0000}"/>
    <cellStyle name="40% - Accent2 20" xfId="2892" xr:uid="{00000000-0005-0000-0000-00004C0B0000}"/>
    <cellStyle name="40% - Accent2 20 2" xfId="2893" xr:uid="{00000000-0005-0000-0000-00004D0B0000}"/>
    <cellStyle name="40% - Accent2 21" xfId="2894" xr:uid="{00000000-0005-0000-0000-00004E0B0000}"/>
    <cellStyle name="40% - Accent2 21 2" xfId="2895" xr:uid="{00000000-0005-0000-0000-00004F0B0000}"/>
    <cellStyle name="40% - Accent2 22" xfId="2896" xr:uid="{00000000-0005-0000-0000-0000500B0000}"/>
    <cellStyle name="40% - Accent2 22 2" xfId="2897" xr:uid="{00000000-0005-0000-0000-0000510B0000}"/>
    <cellStyle name="40% - Accent2 23" xfId="2898" xr:uid="{00000000-0005-0000-0000-0000520B0000}"/>
    <cellStyle name="40% - Accent2 23 2" xfId="2899" xr:uid="{00000000-0005-0000-0000-0000530B0000}"/>
    <cellStyle name="40% - Accent2 24" xfId="2900" xr:uid="{00000000-0005-0000-0000-0000540B0000}"/>
    <cellStyle name="40% - Accent2 24 2" xfId="2901" xr:uid="{00000000-0005-0000-0000-0000550B0000}"/>
    <cellStyle name="40% - Accent2 25" xfId="2902" xr:uid="{00000000-0005-0000-0000-0000560B0000}"/>
    <cellStyle name="40% - Accent2 25 2" xfId="2903" xr:uid="{00000000-0005-0000-0000-0000570B0000}"/>
    <cellStyle name="40% - Accent2 26" xfId="2904" xr:uid="{00000000-0005-0000-0000-0000580B0000}"/>
    <cellStyle name="40% - Accent2 26 2" xfId="2905" xr:uid="{00000000-0005-0000-0000-0000590B0000}"/>
    <cellStyle name="40% - Accent2 27" xfId="2906" xr:uid="{00000000-0005-0000-0000-00005A0B0000}"/>
    <cellStyle name="40% - Accent2 27 2" xfId="2907" xr:uid="{00000000-0005-0000-0000-00005B0B0000}"/>
    <cellStyle name="40% - Accent2 28" xfId="2908" xr:uid="{00000000-0005-0000-0000-00005C0B0000}"/>
    <cellStyle name="40% - Accent2 28 2" xfId="2909" xr:uid="{00000000-0005-0000-0000-00005D0B0000}"/>
    <cellStyle name="40% - Accent2 29" xfId="2910" xr:uid="{00000000-0005-0000-0000-00005E0B0000}"/>
    <cellStyle name="40% - Accent2 29 2" xfId="2911" xr:uid="{00000000-0005-0000-0000-00005F0B0000}"/>
    <cellStyle name="40% - Accent2 3" xfId="2912" xr:uid="{00000000-0005-0000-0000-0000600B0000}"/>
    <cellStyle name="40% - Accent2 3 2" xfId="2913" xr:uid="{00000000-0005-0000-0000-0000610B0000}"/>
    <cellStyle name="40% - Accent2 3 2 2" xfId="2914" xr:uid="{00000000-0005-0000-0000-0000620B0000}"/>
    <cellStyle name="40% - Accent2 3 2 2 2" xfId="2915" xr:uid="{00000000-0005-0000-0000-0000630B0000}"/>
    <cellStyle name="40% - Accent2 3 2 3" xfId="2916" xr:uid="{00000000-0005-0000-0000-0000640B0000}"/>
    <cellStyle name="40% - Accent2 3 3" xfId="2917" xr:uid="{00000000-0005-0000-0000-0000650B0000}"/>
    <cellStyle name="40% - Accent2 3 3 2" xfId="2918" xr:uid="{00000000-0005-0000-0000-0000660B0000}"/>
    <cellStyle name="40% - Accent2 3 4" xfId="2919" xr:uid="{00000000-0005-0000-0000-0000670B0000}"/>
    <cellStyle name="40% - Accent2 30" xfId="2920" xr:uid="{00000000-0005-0000-0000-0000680B0000}"/>
    <cellStyle name="40% - Accent2 30 2" xfId="2921" xr:uid="{00000000-0005-0000-0000-0000690B0000}"/>
    <cellStyle name="40% - Accent2 31" xfId="2922" xr:uid="{00000000-0005-0000-0000-00006A0B0000}"/>
    <cellStyle name="40% - Accent2 31 2" xfId="2923" xr:uid="{00000000-0005-0000-0000-00006B0B0000}"/>
    <cellStyle name="40% - Accent2 32" xfId="2924" xr:uid="{00000000-0005-0000-0000-00006C0B0000}"/>
    <cellStyle name="40% - Accent2 32 2" xfId="2925" xr:uid="{00000000-0005-0000-0000-00006D0B0000}"/>
    <cellStyle name="40% - Accent2 33" xfId="2926" xr:uid="{00000000-0005-0000-0000-00006E0B0000}"/>
    <cellStyle name="40% - Accent2 33 2" xfId="2927" xr:uid="{00000000-0005-0000-0000-00006F0B0000}"/>
    <cellStyle name="40% - Accent2 34" xfId="2928" xr:uid="{00000000-0005-0000-0000-0000700B0000}"/>
    <cellStyle name="40% - Accent2 34 2" xfId="2929" xr:uid="{00000000-0005-0000-0000-0000710B0000}"/>
    <cellStyle name="40% - Accent2 35" xfId="2930" xr:uid="{00000000-0005-0000-0000-0000720B0000}"/>
    <cellStyle name="40% - Accent2 35 2" xfId="2931" xr:uid="{00000000-0005-0000-0000-0000730B0000}"/>
    <cellStyle name="40% - Accent2 36" xfId="2932" xr:uid="{00000000-0005-0000-0000-0000740B0000}"/>
    <cellStyle name="40% - Accent2 36 2" xfId="2933" xr:uid="{00000000-0005-0000-0000-0000750B0000}"/>
    <cellStyle name="40% - Accent2 37" xfId="2934" xr:uid="{00000000-0005-0000-0000-0000760B0000}"/>
    <cellStyle name="40% - Accent2 37 2" xfId="2935" xr:uid="{00000000-0005-0000-0000-0000770B0000}"/>
    <cellStyle name="40% - Accent2 38" xfId="2936" xr:uid="{00000000-0005-0000-0000-0000780B0000}"/>
    <cellStyle name="40% - Accent2 38 2" xfId="2937" xr:uid="{00000000-0005-0000-0000-0000790B0000}"/>
    <cellStyle name="40% - Accent2 39" xfId="2938" xr:uid="{00000000-0005-0000-0000-00007A0B0000}"/>
    <cellStyle name="40% - Accent2 39 2" xfId="2939" xr:uid="{00000000-0005-0000-0000-00007B0B0000}"/>
    <cellStyle name="40% - Accent2 4" xfId="2940" xr:uid="{00000000-0005-0000-0000-00007C0B0000}"/>
    <cellStyle name="40% - Accent2 4 2" xfId="2941" xr:uid="{00000000-0005-0000-0000-00007D0B0000}"/>
    <cellStyle name="40% - Accent2 4 2 2" xfId="2942" xr:uid="{00000000-0005-0000-0000-00007E0B0000}"/>
    <cellStyle name="40% - Accent2 4 3" xfId="2943" xr:uid="{00000000-0005-0000-0000-00007F0B0000}"/>
    <cellStyle name="40% - Accent2 40" xfId="2944" xr:uid="{00000000-0005-0000-0000-0000800B0000}"/>
    <cellStyle name="40% - Accent2 40 2" xfId="2945" xr:uid="{00000000-0005-0000-0000-0000810B0000}"/>
    <cellStyle name="40% - Accent2 41" xfId="2946" xr:uid="{00000000-0005-0000-0000-0000820B0000}"/>
    <cellStyle name="40% - Accent2 41 2" xfId="2947" xr:uid="{00000000-0005-0000-0000-0000830B0000}"/>
    <cellStyle name="40% - Accent2 42" xfId="2948" xr:uid="{00000000-0005-0000-0000-0000840B0000}"/>
    <cellStyle name="40% - Accent2 42 2" xfId="2949" xr:uid="{00000000-0005-0000-0000-0000850B0000}"/>
    <cellStyle name="40% - Accent2 43" xfId="2950" xr:uid="{00000000-0005-0000-0000-0000860B0000}"/>
    <cellStyle name="40% - Accent2 43 2" xfId="2951" xr:uid="{00000000-0005-0000-0000-0000870B0000}"/>
    <cellStyle name="40% - Accent2 44" xfId="2952" xr:uid="{00000000-0005-0000-0000-0000880B0000}"/>
    <cellStyle name="40% - Accent2 44 2" xfId="2953" xr:uid="{00000000-0005-0000-0000-0000890B0000}"/>
    <cellStyle name="40% - Accent2 45" xfId="2954" xr:uid="{00000000-0005-0000-0000-00008A0B0000}"/>
    <cellStyle name="40% - Accent2 45 2" xfId="2955" xr:uid="{00000000-0005-0000-0000-00008B0B0000}"/>
    <cellStyle name="40% - Accent2 46" xfId="2956" xr:uid="{00000000-0005-0000-0000-00008C0B0000}"/>
    <cellStyle name="40% - Accent2 46 2" xfId="2957" xr:uid="{00000000-0005-0000-0000-00008D0B0000}"/>
    <cellStyle name="40% - Accent2 47" xfId="2958" xr:uid="{00000000-0005-0000-0000-00008E0B0000}"/>
    <cellStyle name="40% - Accent2 47 2" xfId="2959" xr:uid="{00000000-0005-0000-0000-00008F0B0000}"/>
    <cellStyle name="40% - Accent2 48" xfId="2960" xr:uid="{00000000-0005-0000-0000-0000900B0000}"/>
    <cellStyle name="40% - Accent2 48 2" xfId="2961" xr:uid="{00000000-0005-0000-0000-0000910B0000}"/>
    <cellStyle name="40% - Accent2 49" xfId="2962" xr:uid="{00000000-0005-0000-0000-0000920B0000}"/>
    <cellStyle name="40% - Accent2 49 2" xfId="2963" xr:uid="{00000000-0005-0000-0000-0000930B0000}"/>
    <cellStyle name="40% - Accent2 5" xfId="2964" xr:uid="{00000000-0005-0000-0000-0000940B0000}"/>
    <cellStyle name="40% - Accent2 5 2" xfId="2965" xr:uid="{00000000-0005-0000-0000-0000950B0000}"/>
    <cellStyle name="40% - Accent2 50" xfId="2966" xr:uid="{00000000-0005-0000-0000-0000960B0000}"/>
    <cellStyle name="40% - Accent2 50 2" xfId="2967" xr:uid="{00000000-0005-0000-0000-0000970B0000}"/>
    <cellStyle name="40% - Accent2 51" xfId="2968" xr:uid="{00000000-0005-0000-0000-0000980B0000}"/>
    <cellStyle name="40% - Accent2 51 2" xfId="2969" xr:uid="{00000000-0005-0000-0000-0000990B0000}"/>
    <cellStyle name="40% - Accent2 52" xfId="2970" xr:uid="{00000000-0005-0000-0000-00009A0B0000}"/>
    <cellStyle name="40% - Accent2 52 2" xfId="2971" xr:uid="{00000000-0005-0000-0000-00009B0B0000}"/>
    <cellStyle name="40% - Accent2 53" xfId="2972" xr:uid="{00000000-0005-0000-0000-00009C0B0000}"/>
    <cellStyle name="40% - Accent2 53 2" xfId="2973" xr:uid="{00000000-0005-0000-0000-00009D0B0000}"/>
    <cellStyle name="40% - Accent2 54" xfId="2974" xr:uid="{00000000-0005-0000-0000-00009E0B0000}"/>
    <cellStyle name="40% - Accent2 54 2" xfId="2975" xr:uid="{00000000-0005-0000-0000-00009F0B0000}"/>
    <cellStyle name="40% - Accent2 55" xfId="2976" xr:uid="{00000000-0005-0000-0000-0000A00B0000}"/>
    <cellStyle name="40% - Accent2 55 2" xfId="2977" xr:uid="{00000000-0005-0000-0000-0000A10B0000}"/>
    <cellStyle name="40% - Accent2 56" xfId="2978" xr:uid="{00000000-0005-0000-0000-0000A20B0000}"/>
    <cellStyle name="40% - Accent2 56 2" xfId="2979" xr:uid="{00000000-0005-0000-0000-0000A30B0000}"/>
    <cellStyle name="40% - Accent2 57" xfId="2980" xr:uid="{00000000-0005-0000-0000-0000A40B0000}"/>
    <cellStyle name="40% - Accent2 57 2" xfId="2981" xr:uid="{00000000-0005-0000-0000-0000A50B0000}"/>
    <cellStyle name="40% - Accent2 58" xfId="2982" xr:uid="{00000000-0005-0000-0000-0000A60B0000}"/>
    <cellStyle name="40% - Accent2 58 2" xfId="2983" xr:uid="{00000000-0005-0000-0000-0000A70B0000}"/>
    <cellStyle name="40% - Accent2 59" xfId="2984" xr:uid="{00000000-0005-0000-0000-0000A80B0000}"/>
    <cellStyle name="40% - Accent2 59 2" xfId="2985" xr:uid="{00000000-0005-0000-0000-0000A90B0000}"/>
    <cellStyle name="40% - Accent2 6" xfId="2986" xr:uid="{00000000-0005-0000-0000-0000AA0B0000}"/>
    <cellStyle name="40% - Accent2 6 2" xfId="2987" xr:uid="{00000000-0005-0000-0000-0000AB0B0000}"/>
    <cellStyle name="40% - Accent2 60" xfId="2988" xr:uid="{00000000-0005-0000-0000-0000AC0B0000}"/>
    <cellStyle name="40% - Accent2 60 2" xfId="2989" xr:uid="{00000000-0005-0000-0000-0000AD0B0000}"/>
    <cellStyle name="40% - Accent2 61" xfId="2990" xr:uid="{00000000-0005-0000-0000-0000AE0B0000}"/>
    <cellStyle name="40% - Accent2 61 2" xfId="2991" xr:uid="{00000000-0005-0000-0000-0000AF0B0000}"/>
    <cellStyle name="40% - Accent2 62" xfId="2992" xr:uid="{00000000-0005-0000-0000-0000B00B0000}"/>
    <cellStyle name="40% - Accent2 62 2" xfId="2993" xr:uid="{00000000-0005-0000-0000-0000B10B0000}"/>
    <cellStyle name="40% - Accent2 63" xfId="2994" xr:uid="{00000000-0005-0000-0000-0000B20B0000}"/>
    <cellStyle name="40% - Accent2 63 2" xfId="2995" xr:uid="{00000000-0005-0000-0000-0000B30B0000}"/>
    <cellStyle name="40% - Accent2 64" xfId="2996" xr:uid="{00000000-0005-0000-0000-0000B40B0000}"/>
    <cellStyle name="40% - Accent2 64 2" xfId="2997" xr:uid="{00000000-0005-0000-0000-0000B50B0000}"/>
    <cellStyle name="40% - Accent2 65" xfId="2998" xr:uid="{00000000-0005-0000-0000-0000B60B0000}"/>
    <cellStyle name="40% - Accent2 65 2" xfId="2999" xr:uid="{00000000-0005-0000-0000-0000B70B0000}"/>
    <cellStyle name="40% - Accent2 66" xfId="3000" xr:uid="{00000000-0005-0000-0000-0000B80B0000}"/>
    <cellStyle name="40% - Accent2 66 2" xfId="3001" xr:uid="{00000000-0005-0000-0000-0000B90B0000}"/>
    <cellStyle name="40% - Accent2 67" xfId="3002" xr:uid="{00000000-0005-0000-0000-0000BA0B0000}"/>
    <cellStyle name="40% - Accent2 67 2" xfId="3003" xr:uid="{00000000-0005-0000-0000-0000BB0B0000}"/>
    <cellStyle name="40% - Accent2 68" xfId="3004" xr:uid="{00000000-0005-0000-0000-0000BC0B0000}"/>
    <cellStyle name="40% - Accent2 68 2" xfId="3005" xr:uid="{00000000-0005-0000-0000-0000BD0B0000}"/>
    <cellStyle name="40% - Accent2 69" xfId="3006" xr:uid="{00000000-0005-0000-0000-0000BE0B0000}"/>
    <cellStyle name="40% - Accent2 69 2" xfId="3007" xr:uid="{00000000-0005-0000-0000-0000BF0B0000}"/>
    <cellStyle name="40% - Accent2 7" xfId="3008" xr:uid="{00000000-0005-0000-0000-0000C00B0000}"/>
    <cellStyle name="40% - Accent2 7 2" xfId="3009" xr:uid="{00000000-0005-0000-0000-0000C10B0000}"/>
    <cellStyle name="40% - Accent2 70" xfId="3010" xr:uid="{00000000-0005-0000-0000-0000C20B0000}"/>
    <cellStyle name="40% - Accent2 70 2" xfId="3011" xr:uid="{00000000-0005-0000-0000-0000C30B0000}"/>
    <cellStyle name="40% - Accent2 8" xfId="3012" xr:uid="{00000000-0005-0000-0000-0000C40B0000}"/>
    <cellStyle name="40% - Accent2 8 2" xfId="3013" xr:uid="{00000000-0005-0000-0000-0000C50B0000}"/>
    <cellStyle name="40% - Accent2 9" xfId="3014" xr:uid="{00000000-0005-0000-0000-0000C60B0000}"/>
    <cellStyle name="40% - Accent2 9 2" xfId="3015" xr:uid="{00000000-0005-0000-0000-0000C70B0000}"/>
    <cellStyle name="40% - Accent3" xfId="21055" xr:uid="{00000000-0005-0000-0000-0000C80B0000}"/>
    <cellStyle name="40% - Accent3 10" xfId="3016" xr:uid="{00000000-0005-0000-0000-0000C90B0000}"/>
    <cellStyle name="40% - Accent3 10 2" xfId="3017" xr:uid="{00000000-0005-0000-0000-0000CA0B0000}"/>
    <cellStyle name="40% - Accent3 11" xfId="3018" xr:uid="{00000000-0005-0000-0000-0000CB0B0000}"/>
    <cellStyle name="40% - Accent3 11 2" xfId="3019" xr:uid="{00000000-0005-0000-0000-0000CC0B0000}"/>
    <cellStyle name="40% - Accent3 12" xfId="3020" xr:uid="{00000000-0005-0000-0000-0000CD0B0000}"/>
    <cellStyle name="40% - Accent3 12 2" xfId="3021" xr:uid="{00000000-0005-0000-0000-0000CE0B0000}"/>
    <cellStyle name="40% - Accent3 13" xfId="3022" xr:uid="{00000000-0005-0000-0000-0000CF0B0000}"/>
    <cellStyle name="40% - Accent3 13 2" xfId="3023" xr:uid="{00000000-0005-0000-0000-0000D00B0000}"/>
    <cellStyle name="40% - Accent3 14" xfId="3024" xr:uid="{00000000-0005-0000-0000-0000D10B0000}"/>
    <cellStyle name="40% - Accent3 14 2" xfId="3025" xr:uid="{00000000-0005-0000-0000-0000D20B0000}"/>
    <cellStyle name="40% - Accent3 15" xfId="3026" xr:uid="{00000000-0005-0000-0000-0000D30B0000}"/>
    <cellStyle name="40% - Accent3 15 2" xfId="3027" xr:uid="{00000000-0005-0000-0000-0000D40B0000}"/>
    <cellStyle name="40% - Accent3 16" xfId="3028" xr:uid="{00000000-0005-0000-0000-0000D50B0000}"/>
    <cellStyle name="40% - Accent3 16 2" xfId="3029" xr:uid="{00000000-0005-0000-0000-0000D60B0000}"/>
    <cellStyle name="40% - Accent3 17" xfId="3030" xr:uid="{00000000-0005-0000-0000-0000D70B0000}"/>
    <cellStyle name="40% - Accent3 17 2" xfId="3031" xr:uid="{00000000-0005-0000-0000-0000D80B0000}"/>
    <cellStyle name="40% - Accent3 18" xfId="3032" xr:uid="{00000000-0005-0000-0000-0000D90B0000}"/>
    <cellStyle name="40% - Accent3 18 2" xfId="3033" xr:uid="{00000000-0005-0000-0000-0000DA0B0000}"/>
    <cellStyle name="40% - Accent3 19" xfId="3034" xr:uid="{00000000-0005-0000-0000-0000DB0B0000}"/>
    <cellStyle name="40% - Accent3 19 2" xfId="3035" xr:uid="{00000000-0005-0000-0000-0000DC0B0000}"/>
    <cellStyle name="40% - Accent3 2" xfId="3036" xr:uid="{00000000-0005-0000-0000-0000DD0B0000}"/>
    <cellStyle name="40% - Accent3 2 2" xfId="3037" xr:uid="{00000000-0005-0000-0000-0000DE0B0000}"/>
    <cellStyle name="40% - Accent3 2 2 2" xfId="3038" xr:uid="{00000000-0005-0000-0000-0000DF0B0000}"/>
    <cellStyle name="40% - Accent3 2 2 2 2" xfId="3039" xr:uid="{00000000-0005-0000-0000-0000E00B0000}"/>
    <cellStyle name="40% - Accent3 2 2 3" xfId="3040" xr:uid="{00000000-0005-0000-0000-0000E10B0000}"/>
    <cellStyle name="40% - Accent3 2 3" xfId="3041" xr:uid="{00000000-0005-0000-0000-0000E20B0000}"/>
    <cellStyle name="40% - Accent3 2 3 2" xfId="3042" xr:uid="{00000000-0005-0000-0000-0000E30B0000}"/>
    <cellStyle name="40% - Accent3 2 4" xfId="3043" xr:uid="{00000000-0005-0000-0000-0000E40B0000}"/>
    <cellStyle name="40% - Accent3 2_AE_FC_QuoteMaster" xfId="3044" xr:uid="{00000000-0005-0000-0000-0000E50B0000}"/>
    <cellStyle name="40% - Accent3 20" xfId="3045" xr:uid="{00000000-0005-0000-0000-0000E60B0000}"/>
    <cellStyle name="40% - Accent3 20 2" xfId="3046" xr:uid="{00000000-0005-0000-0000-0000E70B0000}"/>
    <cellStyle name="40% - Accent3 21" xfId="3047" xr:uid="{00000000-0005-0000-0000-0000E80B0000}"/>
    <cellStyle name="40% - Accent3 21 2" xfId="3048" xr:uid="{00000000-0005-0000-0000-0000E90B0000}"/>
    <cellStyle name="40% - Accent3 22" xfId="3049" xr:uid="{00000000-0005-0000-0000-0000EA0B0000}"/>
    <cellStyle name="40% - Accent3 22 2" xfId="3050" xr:uid="{00000000-0005-0000-0000-0000EB0B0000}"/>
    <cellStyle name="40% - Accent3 23" xfId="3051" xr:uid="{00000000-0005-0000-0000-0000EC0B0000}"/>
    <cellStyle name="40% - Accent3 23 2" xfId="3052" xr:uid="{00000000-0005-0000-0000-0000ED0B0000}"/>
    <cellStyle name="40% - Accent3 24" xfId="3053" xr:uid="{00000000-0005-0000-0000-0000EE0B0000}"/>
    <cellStyle name="40% - Accent3 24 2" xfId="3054" xr:uid="{00000000-0005-0000-0000-0000EF0B0000}"/>
    <cellStyle name="40% - Accent3 25" xfId="3055" xr:uid="{00000000-0005-0000-0000-0000F00B0000}"/>
    <cellStyle name="40% - Accent3 25 2" xfId="3056" xr:uid="{00000000-0005-0000-0000-0000F10B0000}"/>
    <cellStyle name="40% - Accent3 26" xfId="3057" xr:uid="{00000000-0005-0000-0000-0000F20B0000}"/>
    <cellStyle name="40% - Accent3 26 2" xfId="3058" xr:uid="{00000000-0005-0000-0000-0000F30B0000}"/>
    <cellStyle name="40% - Accent3 27" xfId="3059" xr:uid="{00000000-0005-0000-0000-0000F40B0000}"/>
    <cellStyle name="40% - Accent3 27 2" xfId="3060" xr:uid="{00000000-0005-0000-0000-0000F50B0000}"/>
    <cellStyle name="40% - Accent3 28" xfId="3061" xr:uid="{00000000-0005-0000-0000-0000F60B0000}"/>
    <cellStyle name="40% - Accent3 28 2" xfId="3062" xr:uid="{00000000-0005-0000-0000-0000F70B0000}"/>
    <cellStyle name="40% - Accent3 29" xfId="3063" xr:uid="{00000000-0005-0000-0000-0000F80B0000}"/>
    <cellStyle name="40% - Accent3 29 2" xfId="3064" xr:uid="{00000000-0005-0000-0000-0000F90B0000}"/>
    <cellStyle name="40% - Accent3 3" xfId="3065" xr:uid="{00000000-0005-0000-0000-0000FA0B0000}"/>
    <cellStyle name="40% - Accent3 3 2" xfId="3066" xr:uid="{00000000-0005-0000-0000-0000FB0B0000}"/>
    <cellStyle name="40% - Accent3 3 2 2" xfId="3067" xr:uid="{00000000-0005-0000-0000-0000FC0B0000}"/>
    <cellStyle name="40% - Accent3 3 2 2 2" xfId="3068" xr:uid="{00000000-0005-0000-0000-0000FD0B0000}"/>
    <cellStyle name="40% - Accent3 3 2 3" xfId="3069" xr:uid="{00000000-0005-0000-0000-0000FE0B0000}"/>
    <cellStyle name="40% - Accent3 3 3" xfId="3070" xr:uid="{00000000-0005-0000-0000-0000FF0B0000}"/>
    <cellStyle name="40% - Accent3 3 3 2" xfId="3071" xr:uid="{00000000-0005-0000-0000-0000000C0000}"/>
    <cellStyle name="40% - Accent3 3 4" xfId="3072" xr:uid="{00000000-0005-0000-0000-0000010C0000}"/>
    <cellStyle name="40% - Accent3 3_AE_FC_QuoteMaster" xfId="3073" xr:uid="{00000000-0005-0000-0000-0000020C0000}"/>
    <cellStyle name="40% - Accent3 30" xfId="3074" xr:uid="{00000000-0005-0000-0000-0000030C0000}"/>
    <cellStyle name="40% - Accent3 30 2" xfId="3075" xr:uid="{00000000-0005-0000-0000-0000040C0000}"/>
    <cellStyle name="40% - Accent3 31" xfId="3076" xr:uid="{00000000-0005-0000-0000-0000050C0000}"/>
    <cellStyle name="40% - Accent3 31 2" xfId="3077" xr:uid="{00000000-0005-0000-0000-0000060C0000}"/>
    <cellStyle name="40% - Accent3 32" xfId="3078" xr:uid="{00000000-0005-0000-0000-0000070C0000}"/>
    <cellStyle name="40% - Accent3 32 2" xfId="3079" xr:uid="{00000000-0005-0000-0000-0000080C0000}"/>
    <cellStyle name="40% - Accent3 33" xfId="3080" xr:uid="{00000000-0005-0000-0000-0000090C0000}"/>
    <cellStyle name="40% - Accent3 33 2" xfId="3081" xr:uid="{00000000-0005-0000-0000-00000A0C0000}"/>
    <cellStyle name="40% - Accent3 34" xfId="3082" xr:uid="{00000000-0005-0000-0000-00000B0C0000}"/>
    <cellStyle name="40% - Accent3 34 2" xfId="3083" xr:uid="{00000000-0005-0000-0000-00000C0C0000}"/>
    <cellStyle name="40% - Accent3 35" xfId="3084" xr:uid="{00000000-0005-0000-0000-00000D0C0000}"/>
    <cellStyle name="40% - Accent3 35 2" xfId="3085" xr:uid="{00000000-0005-0000-0000-00000E0C0000}"/>
    <cellStyle name="40% - Accent3 36" xfId="3086" xr:uid="{00000000-0005-0000-0000-00000F0C0000}"/>
    <cellStyle name="40% - Accent3 36 2" xfId="3087" xr:uid="{00000000-0005-0000-0000-0000100C0000}"/>
    <cellStyle name="40% - Accent3 37" xfId="3088" xr:uid="{00000000-0005-0000-0000-0000110C0000}"/>
    <cellStyle name="40% - Accent3 37 2" xfId="3089" xr:uid="{00000000-0005-0000-0000-0000120C0000}"/>
    <cellStyle name="40% - Accent3 38" xfId="3090" xr:uid="{00000000-0005-0000-0000-0000130C0000}"/>
    <cellStyle name="40% - Accent3 38 2" xfId="3091" xr:uid="{00000000-0005-0000-0000-0000140C0000}"/>
    <cellStyle name="40% - Accent3 39" xfId="3092" xr:uid="{00000000-0005-0000-0000-0000150C0000}"/>
    <cellStyle name="40% - Accent3 39 2" xfId="3093" xr:uid="{00000000-0005-0000-0000-0000160C0000}"/>
    <cellStyle name="40% - Accent3 4" xfId="3094" xr:uid="{00000000-0005-0000-0000-0000170C0000}"/>
    <cellStyle name="40% - Accent3 4 2" xfId="3095" xr:uid="{00000000-0005-0000-0000-0000180C0000}"/>
    <cellStyle name="40% - Accent3 4 2 2" xfId="3096" xr:uid="{00000000-0005-0000-0000-0000190C0000}"/>
    <cellStyle name="40% - Accent3 4 3" xfId="3097" xr:uid="{00000000-0005-0000-0000-00001A0C0000}"/>
    <cellStyle name="40% - Accent3 40" xfId="3098" xr:uid="{00000000-0005-0000-0000-00001B0C0000}"/>
    <cellStyle name="40% - Accent3 40 2" xfId="3099" xr:uid="{00000000-0005-0000-0000-00001C0C0000}"/>
    <cellStyle name="40% - Accent3 41" xfId="3100" xr:uid="{00000000-0005-0000-0000-00001D0C0000}"/>
    <cellStyle name="40% - Accent3 41 2" xfId="3101" xr:uid="{00000000-0005-0000-0000-00001E0C0000}"/>
    <cellStyle name="40% - Accent3 42" xfId="3102" xr:uid="{00000000-0005-0000-0000-00001F0C0000}"/>
    <cellStyle name="40% - Accent3 42 2" xfId="3103" xr:uid="{00000000-0005-0000-0000-0000200C0000}"/>
    <cellStyle name="40% - Accent3 43" xfId="3104" xr:uid="{00000000-0005-0000-0000-0000210C0000}"/>
    <cellStyle name="40% - Accent3 43 2" xfId="3105" xr:uid="{00000000-0005-0000-0000-0000220C0000}"/>
    <cellStyle name="40% - Accent3 44" xfId="3106" xr:uid="{00000000-0005-0000-0000-0000230C0000}"/>
    <cellStyle name="40% - Accent3 44 2" xfId="3107" xr:uid="{00000000-0005-0000-0000-0000240C0000}"/>
    <cellStyle name="40% - Accent3 45" xfId="3108" xr:uid="{00000000-0005-0000-0000-0000250C0000}"/>
    <cellStyle name="40% - Accent3 45 2" xfId="3109" xr:uid="{00000000-0005-0000-0000-0000260C0000}"/>
    <cellStyle name="40% - Accent3 46" xfId="3110" xr:uid="{00000000-0005-0000-0000-0000270C0000}"/>
    <cellStyle name="40% - Accent3 46 2" xfId="3111" xr:uid="{00000000-0005-0000-0000-0000280C0000}"/>
    <cellStyle name="40% - Accent3 47" xfId="3112" xr:uid="{00000000-0005-0000-0000-0000290C0000}"/>
    <cellStyle name="40% - Accent3 47 2" xfId="3113" xr:uid="{00000000-0005-0000-0000-00002A0C0000}"/>
    <cellStyle name="40% - Accent3 48" xfId="3114" xr:uid="{00000000-0005-0000-0000-00002B0C0000}"/>
    <cellStyle name="40% - Accent3 48 2" xfId="3115" xr:uid="{00000000-0005-0000-0000-00002C0C0000}"/>
    <cellStyle name="40% - Accent3 49" xfId="3116" xr:uid="{00000000-0005-0000-0000-00002D0C0000}"/>
    <cellStyle name="40% - Accent3 49 2" xfId="3117" xr:uid="{00000000-0005-0000-0000-00002E0C0000}"/>
    <cellStyle name="40% - Accent3 5" xfId="3118" xr:uid="{00000000-0005-0000-0000-00002F0C0000}"/>
    <cellStyle name="40% - Accent3 5 2" xfId="3119" xr:uid="{00000000-0005-0000-0000-0000300C0000}"/>
    <cellStyle name="40% - Accent3 50" xfId="3120" xr:uid="{00000000-0005-0000-0000-0000310C0000}"/>
    <cellStyle name="40% - Accent3 50 2" xfId="3121" xr:uid="{00000000-0005-0000-0000-0000320C0000}"/>
    <cellStyle name="40% - Accent3 51" xfId="3122" xr:uid="{00000000-0005-0000-0000-0000330C0000}"/>
    <cellStyle name="40% - Accent3 51 2" xfId="3123" xr:uid="{00000000-0005-0000-0000-0000340C0000}"/>
    <cellStyle name="40% - Accent3 52" xfId="3124" xr:uid="{00000000-0005-0000-0000-0000350C0000}"/>
    <cellStyle name="40% - Accent3 52 2" xfId="3125" xr:uid="{00000000-0005-0000-0000-0000360C0000}"/>
    <cellStyle name="40% - Accent3 53" xfId="3126" xr:uid="{00000000-0005-0000-0000-0000370C0000}"/>
    <cellStyle name="40% - Accent3 53 2" xfId="3127" xr:uid="{00000000-0005-0000-0000-0000380C0000}"/>
    <cellStyle name="40% - Accent3 54" xfId="3128" xr:uid="{00000000-0005-0000-0000-0000390C0000}"/>
    <cellStyle name="40% - Accent3 54 2" xfId="3129" xr:uid="{00000000-0005-0000-0000-00003A0C0000}"/>
    <cellStyle name="40% - Accent3 55" xfId="3130" xr:uid="{00000000-0005-0000-0000-00003B0C0000}"/>
    <cellStyle name="40% - Accent3 55 2" xfId="3131" xr:uid="{00000000-0005-0000-0000-00003C0C0000}"/>
    <cellStyle name="40% - Accent3 56" xfId="3132" xr:uid="{00000000-0005-0000-0000-00003D0C0000}"/>
    <cellStyle name="40% - Accent3 56 2" xfId="3133" xr:uid="{00000000-0005-0000-0000-00003E0C0000}"/>
    <cellStyle name="40% - Accent3 57" xfId="3134" xr:uid="{00000000-0005-0000-0000-00003F0C0000}"/>
    <cellStyle name="40% - Accent3 57 2" xfId="3135" xr:uid="{00000000-0005-0000-0000-0000400C0000}"/>
    <cellStyle name="40% - Accent3 58" xfId="3136" xr:uid="{00000000-0005-0000-0000-0000410C0000}"/>
    <cellStyle name="40% - Accent3 58 2" xfId="3137" xr:uid="{00000000-0005-0000-0000-0000420C0000}"/>
    <cellStyle name="40% - Accent3 59" xfId="3138" xr:uid="{00000000-0005-0000-0000-0000430C0000}"/>
    <cellStyle name="40% - Accent3 59 2" xfId="3139" xr:uid="{00000000-0005-0000-0000-0000440C0000}"/>
    <cellStyle name="40% - Accent3 6" xfId="3140" xr:uid="{00000000-0005-0000-0000-0000450C0000}"/>
    <cellStyle name="40% - Accent3 6 2" xfId="3141" xr:uid="{00000000-0005-0000-0000-0000460C0000}"/>
    <cellStyle name="40% - Accent3 60" xfId="3142" xr:uid="{00000000-0005-0000-0000-0000470C0000}"/>
    <cellStyle name="40% - Accent3 60 2" xfId="3143" xr:uid="{00000000-0005-0000-0000-0000480C0000}"/>
    <cellStyle name="40% - Accent3 61" xfId="3144" xr:uid="{00000000-0005-0000-0000-0000490C0000}"/>
    <cellStyle name="40% - Accent3 61 2" xfId="3145" xr:uid="{00000000-0005-0000-0000-00004A0C0000}"/>
    <cellStyle name="40% - Accent3 62" xfId="3146" xr:uid="{00000000-0005-0000-0000-00004B0C0000}"/>
    <cellStyle name="40% - Accent3 62 2" xfId="3147" xr:uid="{00000000-0005-0000-0000-00004C0C0000}"/>
    <cellStyle name="40% - Accent3 63" xfId="3148" xr:uid="{00000000-0005-0000-0000-00004D0C0000}"/>
    <cellStyle name="40% - Accent3 63 2" xfId="3149" xr:uid="{00000000-0005-0000-0000-00004E0C0000}"/>
    <cellStyle name="40% - Accent3 64" xfId="3150" xr:uid="{00000000-0005-0000-0000-00004F0C0000}"/>
    <cellStyle name="40% - Accent3 64 2" xfId="3151" xr:uid="{00000000-0005-0000-0000-0000500C0000}"/>
    <cellStyle name="40% - Accent3 65" xfId="3152" xr:uid="{00000000-0005-0000-0000-0000510C0000}"/>
    <cellStyle name="40% - Accent3 65 2" xfId="3153" xr:uid="{00000000-0005-0000-0000-0000520C0000}"/>
    <cellStyle name="40% - Accent3 66" xfId="3154" xr:uid="{00000000-0005-0000-0000-0000530C0000}"/>
    <cellStyle name="40% - Accent3 66 2" xfId="3155" xr:uid="{00000000-0005-0000-0000-0000540C0000}"/>
    <cellStyle name="40% - Accent3 67" xfId="3156" xr:uid="{00000000-0005-0000-0000-0000550C0000}"/>
    <cellStyle name="40% - Accent3 67 2" xfId="3157" xr:uid="{00000000-0005-0000-0000-0000560C0000}"/>
    <cellStyle name="40% - Accent3 68" xfId="3158" xr:uid="{00000000-0005-0000-0000-0000570C0000}"/>
    <cellStyle name="40% - Accent3 68 2" xfId="3159" xr:uid="{00000000-0005-0000-0000-0000580C0000}"/>
    <cellStyle name="40% - Accent3 69" xfId="3160" xr:uid="{00000000-0005-0000-0000-0000590C0000}"/>
    <cellStyle name="40% - Accent3 69 2" xfId="3161" xr:uid="{00000000-0005-0000-0000-00005A0C0000}"/>
    <cellStyle name="40% - Accent3 7" xfId="3162" xr:uid="{00000000-0005-0000-0000-00005B0C0000}"/>
    <cellStyle name="40% - Accent3 7 2" xfId="3163" xr:uid="{00000000-0005-0000-0000-00005C0C0000}"/>
    <cellStyle name="40% - Accent3 70" xfId="3164" xr:uid="{00000000-0005-0000-0000-00005D0C0000}"/>
    <cellStyle name="40% - Accent3 70 2" xfId="3165" xr:uid="{00000000-0005-0000-0000-00005E0C0000}"/>
    <cellStyle name="40% - Accent3 8" xfId="3166" xr:uid="{00000000-0005-0000-0000-00005F0C0000}"/>
    <cellStyle name="40% - Accent3 8 2" xfId="3167" xr:uid="{00000000-0005-0000-0000-0000600C0000}"/>
    <cellStyle name="40% - Accent3 9" xfId="3168" xr:uid="{00000000-0005-0000-0000-0000610C0000}"/>
    <cellStyle name="40% - Accent3 9 2" xfId="3169" xr:uid="{00000000-0005-0000-0000-0000620C0000}"/>
    <cellStyle name="40% - Accent4" xfId="21056" xr:uid="{00000000-0005-0000-0000-0000630C0000}"/>
    <cellStyle name="40% - Accent4 10" xfId="3170" xr:uid="{00000000-0005-0000-0000-0000640C0000}"/>
    <cellStyle name="40% - Accent4 10 2" xfId="3171" xr:uid="{00000000-0005-0000-0000-0000650C0000}"/>
    <cellStyle name="40% - Accent4 11" xfId="3172" xr:uid="{00000000-0005-0000-0000-0000660C0000}"/>
    <cellStyle name="40% - Accent4 11 2" xfId="3173" xr:uid="{00000000-0005-0000-0000-0000670C0000}"/>
    <cellStyle name="40% - Accent4 12" xfId="3174" xr:uid="{00000000-0005-0000-0000-0000680C0000}"/>
    <cellStyle name="40% - Accent4 12 2" xfId="3175" xr:uid="{00000000-0005-0000-0000-0000690C0000}"/>
    <cellStyle name="40% - Accent4 13" xfId="3176" xr:uid="{00000000-0005-0000-0000-00006A0C0000}"/>
    <cellStyle name="40% - Accent4 13 2" xfId="3177" xr:uid="{00000000-0005-0000-0000-00006B0C0000}"/>
    <cellStyle name="40% - Accent4 14" xfId="3178" xr:uid="{00000000-0005-0000-0000-00006C0C0000}"/>
    <cellStyle name="40% - Accent4 14 2" xfId="3179" xr:uid="{00000000-0005-0000-0000-00006D0C0000}"/>
    <cellStyle name="40% - Accent4 15" xfId="3180" xr:uid="{00000000-0005-0000-0000-00006E0C0000}"/>
    <cellStyle name="40% - Accent4 15 2" xfId="3181" xr:uid="{00000000-0005-0000-0000-00006F0C0000}"/>
    <cellStyle name="40% - Accent4 16" xfId="3182" xr:uid="{00000000-0005-0000-0000-0000700C0000}"/>
    <cellStyle name="40% - Accent4 16 2" xfId="3183" xr:uid="{00000000-0005-0000-0000-0000710C0000}"/>
    <cellStyle name="40% - Accent4 17" xfId="3184" xr:uid="{00000000-0005-0000-0000-0000720C0000}"/>
    <cellStyle name="40% - Accent4 17 2" xfId="3185" xr:uid="{00000000-0005-0000-0000-0000730C0000}"/>
    <cellStyle name="40% - Accent4 18" xfId="3186" xr:uid="{00000000-0005-0000-0000-0000740C0000}"/>
    <cellStyle name="40% - Accent4 18 2" xfId="3187" xr:uid="{00000000-0005-0000-0000-0000750C0000}"/>
    <cellStyle name="40% - Accent4 19" xfId="3188" xr:uid="{00000000-0005-0000-0000-0000760C0000}"/>
    <cellStyle name="40% - Accent4 19 2" xfId="3189" xr:uid="{00000000-0005-0000-0000-0000770C0000}"/>
    <cellStyle name="40% - Accent4 2" xfId="3190" xr:uid="{00000000-0005-0000-0000-0000780C0000}"/>
    <cellStyle name="40% - Accent4 2 2" xfId="3191" xr:uid="{00000000-0005-0000-0000-0000790C0000}"/>
    <cellStyle name="40% - Accent4 2 2 2" xfId="3192" xr:uid="{00000000-0005-0000-0000-00007A0C0000}"/>
    <cellStyle name="40% - Accent4 2 2 2 2" xfId="3193" xr:uid="{00000000-0005-0000-0000-00007B0C0000}"/>
    <cellStyle name="40% - Accent4 2 2 3" xfId="3194" xr:uid="{00000000-0005-0000-0000-00007C0C0000}"/>
    <cellStyle name="40% - Accent4 2 3" xfId="3195" xr:uid="{00000000-0005-0000-0000-00007D0C0000}"/>
    <cellStyle name="40% - Accent4 2 3 2" xfId="3196" xr:uid="{00000000-0005-0000-0000-00007E0C0000}"/>
    <cellStyle name="40% - Accent4 2 4" xfId="3197" xr:uid="{00000000-0005-0000-0000-00007F0C0000}"/>
    <cellStyle name="40% - Accent4 2_AE_FC_QuoteMaster" xfId="3198" xr:uid="{00000000-0005-0000-0000-0000800C0000}"/>
    <cellStyle name="40% - Accent4 20" xfId="3199" xr:uid="{00000000-0005-0000-0000-0000810C0000}"/>
    <cellStyle name="40% - Accent4 20 2" xfId="3200" xr:uid="{00000000-0005-0000-0000-0000820C0000}"/>
    <cellStyle name="40% - Accent4 21" xfId="3201" xr:uid="{00000000-0005-0000-0000-0000830C0000}"/>
    <cellStyle name="40% - Accent4 21 2" xfId="3202" xr:uid="{00000000-0005-0000-0000-0000840C0000}"/>
    <cellStyle name="40% - Accent4 22" xfId="3203" xr:uid="{00000000-0005-0000-0000-0000850C0000}"/>
    <cellStyle name="40% - Accent4 22 2" xfId="3204" xr:uid="{00000000-0005-0000-0000-0000860C0000}"/>
    <cellStyle name="40% - Accent4 23" xfId="3205" xr:uid="{00000000-0005-0000-0000-0000870C0000}"/>
    <cellStyle name="40% - Accent4 23 2" xfId="3206" xr:uid="{00000000-0005-0000-0000-0000880C0000}"/>
    <cellStyle name="40% - Accent4 24" xfId="3207" xr:uid="{00000000-0005-0000-0000-0000890C0000}"/>
    <cellStyle name="40% - Accent4 24 2" xfId="3208" xr:uid="{00000000-0005-0000-0000-00008A0C0000}"/>
    <cellStyle name="40% - Accent4 25" xfId="3209" xr:uid="{00000000-0005-0000-0000-00008B0C0000}"/>
    <cellStyle name="40% - Accent4 25 2" xfId="3210" xr:uid="{00000000-0005-0000-0000-00008C0C0000}"/>
    <cellStyle name="40% - Accent4 26" xfId="3211" xr:uid="{00000000-0005-0000-0000-00008D0C0000}"/>
    <cellStyle name="40% - Accent4 26 2" xfId="3212" xr:uid="{00000000-0005-0000-0000-00008E0C0000}"/>
    <cellStyle name="40% - Accent4 27" xfId="3213" xr:uid="{00000000-0005-0000-0000-00008F0C0000}"/>
    <cellStyle name="40% - Accent4 27 2" xfId="3214" xr:uid="{00000000-0005-0000-0000-0000900C0000}"/>
    <cellStyle name="40% - Accent4 28" xfId="3215" xr:uid="{00000000-0005-0000-0000-0000910C0000}"/>
    <cellStyle name="40% - Accent4 28 2" xfId="3216" xr:uid="{00000000-0005-0000-0000-0000920C0000}"/>
    <cellStyle name="40% - Accent4 29" xfId="3217" xr:uid="{00000000-0005-0000-0000-0000930C0000}"/>
    <cellStyle name="40% - Accent4 29 2" xfId="3218" xr:uid="{00000000-0005-0000-0000-0000940C0000}"/>
    <cellStyle name="40% - Accent4 3" xfId="3219" xr:uid="{00000000-0005-0000-0000-0000950C0000}"/>
    <cellStyle name="40% - Accent4 3 2" xfId="3220" xr:uid="{00000000-0005-0000-0000-0000960C0000}"/>
    <cellStyle name="40% - Accent4 3 2 2" xfId="3221" xr:uid="{00000000-0005-0000-0000-0000970C0000}"/>
    <cellStyle name="40% - Accent4 3 2 2 2" xfId="3222" xr:uid="{00000000-0005-0000-0000-0000980C0000}"/>
    <cellStyle name="40% - Accent4 3 2 3" xfId="3223" xr:uid="{00000000-0005-0000-0000-0000990C0000}"/>
    <cellStyle name="40% - Accent4 3 3" xfId="3224" xr:uid="{00000000-0005-0000-0000-00009A0C0000}"/>
    <cellStyle name="40% - Accent4 3 3 2" xfId="3225" xr:uid="{00000000-0005-0000-0000-00009B0C0000}"/>
    <cellStyle name="40% - Accent4 3 4" xfId="3226" xr:uid="{00000000-0005-0000-0000-00009C0C0000}"/>
    <cellStyle name="40% - Accent4 30" xfId="3227" xr:uid="{00000000-0005-0000-0000-00009D0C0000}"/>
    <cellStyle name="40% - Accent4 30 2" xfId="3228" xr:uid="{00000000-0005-0000-0000-00009E0C0000}"/>
    <cellStyle name="40% - Accent4 31" xfId="3229" xr:uid="{00000000-0005-0000-0000-00009F0C0000}"/>
    <cellStyle name="40% - Accent4 31 2" xfId="3230" xr:uid="{00000000-0005-0000-0000-0000A00C0000}"/>
    <cellStyle name="40% - Accent4 32" xfId="3231" xr:uid="{00000000-0005-0000-0000-0000A10C0000}"/>
    <cellStyle name="40% - Accent4 32 2" xfId="3232" xr:uid="{00000000-0005-0000-0000-0000A20C0000}"/>
    <cellStyle name="40% - Accent4 33" xfId="3233" xr:uid="{00000000-0005-0000-0000-0000A30C0000}"/>
    <cellStyle name="40% - Accent4 33 2" xfId="3234" xr:uid="{00000000-0005-0000-0000-0000A40C0000}"/>
    <cellStyle name="40% - Accent4 34" xfId="3235" xr:uid="{00000000-0005-0000-0000-0000A50C0000}"/>
    <cellStyle name="40% - Accent4 34 2" xfId="3236" xr:uid="{00000000-0005-0000-0000-0000A60C0000}"/>
    <cellStyle name="40% - Accent4 35" xfId="3237" xr:uid="{00000000-0005-0000-0000-0000A70C0000}"/>
    <cellStyle name="40% - Accent4 35 2" xfId="3238" xr:uid="{00000000-0005-0000-0000-0000A80C0000}"/>
    <cellStyle name="40% - Accent4 36" xfId="3239" xr:uid="{00000000-0005-0000-0000-0000A90C0000}"/>
    <cellStyle name="40% - Accent4 36 2" xfId="3240" xr:uid="{00000000-0005-0000-0000-0000AA0C0000}"/>
    <cellStyle name="40% - Accent4 37" xfId="3241" xr:uid="{00000000-0005-0000-0000-0000AB0C0000}"/>
    <cellStyle name="40% - Accent4 37 2" xfId="3242" xr:uid="{00000000-0005-0000-0000-0000AC0C0000}"/>
    <cellStyle name="40% - Accent4 38" xfId="3243" xr:uid="{00000000-0005-0000-0000-0000AD0C0000}"/>
    <cellStyle name="40% - Accent4 38 2" xfId="3244" xr:uid="{00000000-0005-0000-0000-0000AE0C0000}"/>
    <cellStyle name="40% - Accent4 39" xfId="3245" xr:uid="{00000000-0005-0000-0000-0000AF0C0000}"/>
    <cellStyle name="40% - Accent4 39 2" xfId="3246" xr:uid="{00000000-0005-0000-0000-0000B00C0000}"/>
    <cellStyle name="40% - Accent4 4" xfId="3247" xr:uid="{00000000-0005-0000-0000-0000B10C0000}"/>
    <cellStyle name="40% - Accent4 4 2" xfId="3248" xr:uid="{00000000-0005-0000-0000-0000B20C0000}"/>
    <cellStyle name="40% - Accent4 4 2 2" xfId="3249" xr:uid="{00000000-0005-0000-0000-0000B30C0000}"/>
    <cellStyle name="40% - Accent4 4 3" xfId="3250" xr:uid="{00000000-0005-0000-0000-0000B40C0000}"/>
    <cellStyle name="40% - Accent4 40" xfId="3251" xr:uid="{00000000-0005-0000-0000-0000B50C0000}"/>
    <cellStyle name="40% - Accent4 40 2" xfId="3252" xr:uid="{00000000-0005-0000-0000-0000B60C0000}"/>
    <cellStyle name="40% - Accent4 41" xfId="3253" xr:uid="{00000000-0005-0000-0000-0000B70C0000}"/>
    <cellStyle name="40% - Accent4 41 2" xfId="3254" xr:uid="{00000000-0005-0000-0000-0000B80C0000}"/>
    <cellStyle name="40% - Accent4 42" xfId="3255" xr:uid="{00000000-0005-0000-0000-0000B90C0000}"/>
    <cellStyle name="40% - Accent4 42 2" xfId="3256" xr:uid="{00000000-0005-0000-0000-0000BA0C0000}"/>
    <cellStyle name="40% - Accent4 43" xfId="3257" xr:uid="{00000000-0005-0000-0000-0000BB0C0000}"/>
    <cellStyle name="40% - Accent4 43 2" xfId="3258" xr:uid="{00000000-0005-0000-0000-0000BC0C0000}"/>
    <cellStyle name="40% - Accent4 44" xfId="3259" xr:uid="{00000000-0005-0000-0000-0000BD0C0000}"/>
    <cellStyle name="40% - Accent4 44 2" xfId="3260" xr:uid="{00000000-0005-0000-0000-0000BE0C0000}"/>
    <cellStyle name="40% - Accent4 45" xfId="3261" xr:uid="{00000000-0005-0000-0000-0000BF0C0000}"/>
    <cellStyle name="40% - Accent4 45 2" xfId="3262" xr:uid="{00000000-0005-0000-0000-0000C00C0000}"/>
    <cellStyle name="40% - Accent4 46" xfId="3263" xr:uid="{00000000-0005-0000-0000-0000C10C0000}"/>
    <cellStyle name="40% - Accent4 46 2" xfId="3264" xr:uid="{00000000-0005-0000-0000-0000C20C0000}"/>
    <cellStyle name="40% - Accent4 47" xfId="3265" xr:uid="{00000000-0005-0000-0000-0000C30C0000}"/>
    <cellStyle name="40% - Accent4 47 2" xfId="3266" xr:uid="{00000000-0005-0000-0000-0000C40C0000}"/>
    <cellStyle name="40% - Accent4 48" xfId="3267" xr:uid="{00000000-0005-0000-0000-0000C50C0000}"/>
    <cellStyle name="40% - Accent4 48 2" xfId="3268" xr:uid="{00000000-0005-0000-0000-0000C60C0000}"/>
    <cellStyle name="40% - Accent4 49" xfId="3269" xr:uid="{00000000-0005-0000-0000-0000C70C0000}"/>
    <cellStyle name="40% - Accent4 49 2" xfId="3270" xr:uid="{00000000-0005-0000-0000-0000C80C0000}"/>
    <cellStyle name="40% - Accent4 5" xfId="3271" xr:uid="{00000000-0005-0000-0000-0000C90C0000}"/>
    <cellStyle name="40% - Accent4 5 2" xfId="3272" xr:uid="{00000000-0005-0000-0000-0000CA0C0000}"/>
    <cellStyle name="40% - Accent4 50" xfId="3273" xr:uid="{00000000-0005-0000-0000-0000CB0C0000}"/>
    <cellStyle name="40% - Accent4 50 2" xfId="3274" xr:uid="{00000000-0005-0000-0000-0000CC0C0000}"/>
    <cellStyle name="40% - Accent4 51" xfId="3275" xr:uid="{00000000-0005-0000-0000-0000CD0C0000}"/>
    <cellStyle name="40% - Accent4 51 2" xfId="3276" xr:uid="{00000000-0005-0000-0000-0000CE0C0000}"/>
    <cellStyle name="40% - Accent4 52" xfId="3277" xr:uid="{00000000-0005-0000-0000-0000CF0C0000}"/>
    <cellStyle name="40% - Accent4 52 2" xfId="3278" xr:uid="{00000000-0005-0000-0000-0000D00C0000}"/>
    <cellStyle name="40% - Accent4 53" xfId="3279" xr:uid="{00000000-0005-0000-0000-0000D10C0000}"/>
    <cellStyle name="40% - Accent4 53 2" xfId="3280" xr:uid="{00000000-0005-0000-0000-0000D20C0000}"/>
    <cellStyle name="40% - Accent4 54" xfId="3281" xr:uid="{00000000-0005-0000-0000-0000D30C0000}"/>
    <cellStyle name="40% - Accent4 54 2" xfId="3282" xr:uid="{00000000-0005-0000-0000-0000D40C0000}"/>
    <cellStyle name="40% - Accent4 55" xfId="3283" xr:uid="{00000000-0005-0000-0000-0000D50C0000}"/>
    <cellStyle name="40% - Accent4 55 2" xfId="3284" xr:uid="{00000000-0005-0000-0000-0000D60C0000}"/>
    <cellStyle name="40% - Accent4 56" xfId="3285" xr:uid="{00000000-0005-0000-0000-0000D70C0000}"/>
    <cellStyle name="40% - Accent4 56 2" xfId="3286" xr:uid="{00000000-0005-0000-0000-0000D80C0000}"/>
    <cellStyle name="40% - Accent4 57" xfId="3287" xr:uid="{00000000-0005-0000-0000-0000D90C0000}"/>
    <cellStyle name="40% - Accent4 57 2" xfId="3288" xr:uid="{00000000-0005-0000-0000-0000DA0C0000}"/>
    <cellStyle name="40% - Accent4 58" xfId="3289" xr:uid="{00000000-0005-0000-0000-0000DB0C0000}"/>
    <cellStyle name="40% - Accent4 58 2" xfId="3290" xr:uid="{00000000-0005-0000-0000-0000DC0C0000}"/>
    <cellStyle name="40% - Accent4 59" xfId="3291" xr:uid="{00000000-0005-0000-0000-0000DD0C0000}"/>
    <cellStyle name="40% - Accent4 59 2" xfId="3292" xr:uid="{00000000-0005-0000-0000-0000DE0C0000}"/>
    <cellStyle name="40% - Accent4 6" xfId="3293" xr:uid="{00000000-0005-0000-0000-0000DF0C0000}"/>
    <cellStyle name="40% - Accent4 6 2" xfId="3294" xr:uid="{00000000-0005-0000-0000-0000E00C0000}"/>
    <cellStyle name="40% - Accent4 60" xfId="3295" xr:uid="{00000000-0005-0000-0000-0000E10C0000}"/>
    <cellStyle name="40% - Accent4 60 2" xfId="3296" xr:uid="{00000000-0005-0000-0000-0000E20C0000}"/>
    <cellStyle name="40% - Accent4 61" xfId="3297" xr:uid="{00000000-0005-0000-0000-0000E30C0000}"/>
    <cellStyle name="40% - Accent4 61 2" xfId="3298" xr:uid="{00000000-0005-0000-0000-0000E40C0000}"/>
    <cellStyle name="40% - Accent4 62" xfId="3299" xr:uid="{00000000-0005-0000-0000-0000E50C0000}"/>
    <cellStyle name="40% - Accent4 62 2" xfId="3300" xr:uid="{00000000-0005-0000-0000-0000E60C0000}"/>
    <cellStyle name="40% - Accent4 63" xfId="3301" xr:uid="{00000000-0005-0000-0000-0000E70C0000}"/>
    <cellStyle name="40% - Accent4 63 2" xfId="3302" xr:uid="{00000000-0005-0000-0000-0000E80C0000}"/>
    <cellStyle name="40% - Accent4 64" xfId="3303" xr:uid="{00000000-0005-0000-0000-0000E90C0000}"/>
    <cellStyle name="40% - Accent4 64 2" xfId="3304" xr:uid="{00000000-0005-0000-0000-0000EA0C0000}"/>
    <cellStyle name="40% - Accent4 65" xfId="3305" xr:uid="{00000000-0005-0000-0000-0000EB0C0000}"/>
    <cellStyle name="40% - Accent4 65 2" xfId="3306" xr:uid="{00000000-0005-0000-0000-0000EC0C0000}"/>
    <cellStyle name="40% - Accent4 66" xfId="3307" xr:uid="{00000000-0005-0000-0000-0000ED0C0000}"/>
    <cellStyle name="40% - Accent4 66 2" xfId="3308" xr:uid="{00000000-0005-0000-0000-0000EE0C0000}"/>
    <cellStyle name="40% - Accent4 67" xfId="3309" xr:uid="{00000000-0005-0000-0000-0000EF0C0000}"/>
    <cellStyle name="40% - Accent4 67 2" xfId="3310" xr:uid="{00000000-0005-0000-0000-0000F00C0000}"/>
    <cellStyle name="40% - Accent4 68" xfId="3311" xr:uid="{00000000-0005-0000-0000-0000F10C0000}"/>
    <cellStyle name="40% - Accent4 68 2" xfId="3312" xr:uid="{00000000-0005-0000-0000-0000F20C0000}"/>
    <cellStyle name="40% - Accent4 69" xfId="3313" xr:uid="{00000000-0005-0000-0000-0000F30C0000}"/>
    <cellStyle name="40% - Accent4 69 2" xfId="3314" xr:uid="{00000000-0005-0000-0000-0000F40C0000}"/>
    <cellStyle name="40% - Accent4 7" xfId="3315" xr:uid="{00000000-0005-0000-0000-0000F50C0000}"/>
    <cellStyle name="40% - Accent4 7 2" xfId="3316" xr:uid="{00000000-0005-0000-0000-0000F60C0000}"/>
    <cellStyle name="40% - Accent4 70" xfId="3317" xr:uid="{00000000-0005-0000-0000-0000F70C0000}"/>
    <cellStyle name="40% - Accent4 70 2" xfId="3318" xr:uid="{00000000-0005-0000-0000-0000F80C0000}"/>
    <cellStyle name="40% - Accent4 8" xfId="3319" xr:uid="{00000000-0005-0000-0000-0000F90C0000}"/>
    <cellStyle name="40% - Accent4 8 2" xfId="3320" xr:uid="{00000000-0005-0000-0000-0000FA0C0000}"/>
    <cellStyle name="40% - Accent4 9" xfId="3321" xr:uid="{00000000-0005-0000-0000-0000FB0C0000}"/>
    <cellStyle name="40% - Accent4 9 2" xfId="3322" xr:uid="{00000000-0005-0000-0000-0000FC0C0000}"/>
    <cellStyle name="40% - Accent5" xfId="21057" xr:uid="{00000000-0005-0000-0000-0000FD0C0000}"/>
    <cellStyle name="40% - Accent5 10" xfId="3323" xr:uid="{00000000-0005-0000-0000-0000FE0C0000}"/>
    <cellStyle name="40% - Accent5 10 2" xfId="3324" xr:uid="{00000000-0005-0000-0000-0000FF0C0000}"/>
    <cellStyle name="40% - Accent5 11" xfId="3325" xr:uid="{00000000-0005-0000-0000-0000000D0000}"/>
    <cellStyle name="40% - Accent5 11 2" xfId="3326" xr:uid="{00000000-0005-0000-0000-0000010D0000}"/>
    <cellStyle name="40% - Accent5 12" xfId="3327" xr:uid="{00000000-0005-0000-0000-0000020D0000}"/>
    <cellStyle name="40% - Accent5 12 2" xfId="3328" xr:uid="{00000000-0005-0000-0000-0000030D0000}"/>
    <cellStyle name="40% - Accent5 13" xfId="3329" xr:uid="{00000000-0005-0000-0000-0000040D0000}"/>
    <cellStyle name="40% - Accent5 13 2" xfId="3330" xr:uid="{00000000-0005-0000-0000-0000050D0000}"/>
    <cellStyle name="40% - Accent5 14" xfId="3331" xr:uid="{00000000-0005-0000-0000-0000060D0000}"/>
    <cellStyle name="40% - Accent5 14 2" xfId="3332" xr:uid="{00000000-0005-0000-0000-0000070D0000}"/>
    <cellStyle name="40% - Accent5 15" xfId="3333" xr:uid="{00000000-0005-0000-0000-0000080D0000}"/>
    <cellStyle name="40% - Accent5 15 2" xfId="3334" xr:uid="{00000000-0005-0000-0000-0000090D0000}"/>
    <cellStyle name="40% - Accent5 16" xfId="3335" xr:uid="{00000000-0005-0000-0000-00000A0D0000}"/>
    <cellStyle name="40% - Accent5 16 2" xfId="3336" xr:uid="{00000000-0005-0000-0000-00000B0D0000}"/>
    <cellStyle name="40% - Accent5 17" xfId="3337" xr:uid="{00000000-0005-0000-0000-00000C0D0000}"/>
    <cellStyle name="40% - Accent5 17 2" xfId="3338" xr:uid="{00000000-0005-0000-0000-00000D0D0000}"/>
    <cellStyle name="40% - Accent5 18" xfId="3339" xr:uid="{00000000-0005-0000-0000-00000E0D0000}"/>
    <cellStyle name="40% - Accent5 18 2" xfId="3340" xr:uid="{00000000-0005-0000-0000-00000F0D0000}"/>
    <cellStyle name="40% - Accent5 19" xfId="3341" xr:uid="{00000000-0005-0000-0000-0000100D0000}"/>
    <cellStyle name="40% - Accent5 19 2" xfId="3342" xr:uid="{00000000-0005-0000-0000-0000110D0000}"/>
    <cellStyle name="40% - Accent5 2" xfId="3343" xr:uid="{00000000-0005-0000-0000-0000120D0000}"/>
    <cellStyle name="40% - Accent5 2 2" xfId="3344" xr:uid="{00000000-0005-0000-0000-0000130D0000}"/>
    <cellStyle name="40% - Accent5 2 2 2" xfId="3345" xr:uid="{00000000-0005-0000-0000-0000140D0000}"/>
    <cellStyle name="40% - Accent5 2 2 2 2" xfId="3346" xr:uid="{00000000-0005-0000-0000-0000150D0000}"/>
    <cellStyle name="40% - Accent5 2 2 3" xfId="3347" xr:uid="{00000000-0005-0000-0000-0000160D0000}"/>
    <cellStyle name="40% - Accent5 2 3" xfId="3348" xr:uid="{00000000-0005-0000-0000-0000170D0000}"/>
    <cellStyle name="40% - Accent5 2 3 2" xfId="3349" xr:uid="{00000000-0005-0000-0000-0000180D0000}"/>
    <cellStyle name="40% - Accent5 2 4" xfId="3350" xr:uid="{00000000-0005-0000-0000-0000190D0000}"/>
    <cellStyle name="40% - Accent5 2_AE_FC_QuoteMaster" xfId="3351" xr:uid="{00000000-0005-0000-0000-00001A0D0000}"/>
    <cellStyle name="40% - Accent5 20" xfId="3352" xr:uid="{00000000-0005-0000-0000-00001B0D0000}"/>
    <cellStyle name="40% - Accent5 20 2" xfId="3353" xr:uid="{00000000-0005-0000-0000-00001C0D0000}"/>
    <cellStyle name="40% - Accent5 21" xfId="3354" xr:uid="{00000000-0005-0000-0000-00001D0D0000}"/>
    <cellStyle name="40% - Accent5 21 2" xfId="3355" xr:uid="{00000000-0005-0000-0000-00001E0D0000}"/>
    <cellStyle name="40% - Accent5 22" xfId="3356" xr:uid="{00000000-0005-0000-0000-00001F0D0000}"/>
    <cellStyle name="40% - Accent5 22 2" xfId="3357" xr:uid="{00000000-0005-0000-0000-0000200D0000}"/>
    <cellStyle name="40% - Accent5 23" xfId="3358" xr:uid="{00000000-0005-0000-0000-0000210D0000}"/>
    <cellStyle name="40% - Accent5 23 2" xfId="3359" xr:uid="{00000000-0005-0000-0000-0000220D0000}"/>
    <cellStyle name="40% - Accent5 24" xfId="3360" xr:uid="{00000000-0005-0000-0000-0000230D0000}"/>
    <cellStyle name="40% - Accent5 24 2" xfId="3361" xr:uid="{00000000-0005-0000-0000-0000240D0000}"/>
    <cellStyle name="40% - Accent5 25" xfId="3362" xr:uid="{00000000-0005-0000-0000-0000250D0000}"/>
    <cellStyle name="40% - Accent5 25 2" xfId="3363" xr:uid="{00000000-0005-0000-0000-0000260D0000}"/>
    <cellStyle name="40% - Accent5 26" xfId="3364" xr:uid="{00000000-0005-0000-0000-0000270D0000}"/>
    <cellStyle name="40% - Accent5 26 2" xfId="3365" xr:uid="{00000000-0005-0000-0000-0000280D0000}"/>
    <cellStyle name="40% - Accent5 27" xfId="3366" xr:uid="{00000000-0005-0000-0000-0000290D0000}"/>
    <cellStyle name="40% - Accent5 27 2" xfId="3367" xr:uid="{00000000-0005-0000-0000-00002A0D0000}"/>
    <cellStyle name="40% - Accent5 28" xfId="3368" xr:uid="{00000000-0005-0000-0000-00002B0D0000}"/>
    <cellStyle name="40% - Accent5 28 2" xfId="3369" xr:uid="{00000000-0005-0000-0000-00002C0D0000}"/>
    <cellStyle name="40% - Accent5 29" xfId="3370" xr:uid="{00000000-0005-0000-0000-00002D0D0000}"/>
    <cellStyle name="40% - Accent5 29 2" xfId="3371" xr:uid="{00000000-0005-0000-0000-00002E0D0000}"/>
    <cellStyle name="40% - Accent5 3" xfId="3372" xr:uid="{00000000-0005-0000-0000-00002F0D0000}"/>
    <cellStyle name="40% - Accent5 3 2" xfId="3373" xr:uid="{00000000-0005-0000-0000-0000300D0000}"/>
    <cellStyle name="40% - Accent5 3 2 2" xfId="3374" xr:uid="{00000000-0005-0000-0000-0000310D0000}"/>
    <cellStyle name="40% - Accent5 3 2 2 2" xfId="3375" xr:uid="{00000000-0005-0000-0000-0000320D0000}"/>
    <cellStyle name="40% - Accent5 3 2 3" xfId="3376" xr:uid="{00000000-0005-0000-0000-0000330D0000}"/>
    <cellStyle name="40% - Accent5 3 3" xfId="3377" xr:uid="{00000000-0005-0000-0000-0000340D0000}"/>
    <cellStyle name="40% - Accent5 3 3 2" xfId="3378" xr:uid="{00000000-0005-0000-0000-0000350D0000}"/>
    <cellStyle name="40% - Accent5 3 4" xfId="3379" xr:uid="{00000000-0005-0000-0000-0000360D0000}"/>
    <cellStyle name="40% - Accent5 30" xfId="3380" xr:uid="{00000000-0005-0000-0000-0000370D0000}"/>
    <cellStyle name="40% - Accent5 30 2" xfId="3381" xr:uid="{00000000-0005-0000-0000-0000380D0000}"/>
    <cellStyle name="40% - Accent5 31" xfId="3382" xr:uid="{00000000-0005-0000-0000-0000390D0000}"/>
    <cellStyle name="40% - Accent5 31 2" xfId="3383" xr:uid="{00000000-0005-0000-0000-00003A0D0000}"/>
    <cellStyle name="40% - Accent5 32" xfId="3384" xr:uid="{00000000-0005-0000-0000-00003B0D0000}"/>
    <cellStyle name="40% - Accent5 32 2" xfId="3385" xr:uid="{00000000-0005-0000-0000-00003C0D0000}"/>
    <cellStyle name="40% - Accent5 33" xfId="3386" xr:uid="{00000000-0005-0000-0000-00003D0D0000}"/>
    <cellStyle name="40% - Accent5 33 2" xfId="3387" xr:uid="{00000000-0005-0000-0000-00003E0D0000}"/>
    <cellStyle name="40% - Accent5 34" xfId="3388" xr:uid="{00000000-0005-0000-0000-00003F0D0000}"/>
    <cellStyle name="40% - Accent5 34 2" xfId="3389" xr:uid="{00000000-0005-0000-0000-0000400D0000}"/>
    <cellStyle name="40% - Accent5 35" xfId="3390" xr:uid="{00000000-0005-0000-0000-0000410D0000}"/>
    <cellStyle name="40% - Accent5 35 2" xfId="3391" xr:uid="{00000000-0005-0000-0000-0000420D0000}"/>
    <cellStyle name="40% - Accent5 36" xfId="3392" xr:uid="{00000000-0005-0000-0000-0000430D0000}"/>
    <cellStyle name="40% - Accent5 36 2" xfId="3393" xr:uid="{00000000-0005-0000-0000-0000440D0000}"/>
    <cellStyle name="40% - Accent5 37" xfId="3394" xr:uid="{00000000-0005-0000-0000-0000450D0000}"/>
    <cellStyle name="40% - Accent5 37 2" xfId="3395" xr:uid="{00000000-0005-0000-0000-0000460D0000}"/>
    <cellStyle name="40% - Accent5 38" xfId="3396" xr:uid="{00000000-0005-0000-0000-0000470D0000}"/>
    <cellStyle name="40% - Accent5 38 2" xfId="3397" xr:uid="{00000000-0005-0000-0000-0000480D0000}"/>
    <cellStyle name="40% - Accent5 39" xfId="3398" xr:uid="{00000000-0005-0000-0000-0000490D0000}"/>
    <cellStyle name="40% - Accent5 39 2" xfId="3399" xr:uid="{00000000-0005-0000-0000-00004A0D0000}"/>
    <cellStyle name="40% - Accent5 4" xfId="3400" xr:uid="{00000000-0005-0000-0000-00004B0D0000}"/>
    <cellStyle name="40% - Accent5 4 2" xfId="3401" xr:uid="{00000000-0005-0000-0000-00004C0D0000}"/>
    <cellStyle name="40% - Accent5 4 2 2" xfId="3402" xr:uid="{00000000-0005-0000-0000-00004D0D0000}"/>
    <cellStyle name="40% - Accent5 4 3" xfId="3403" xr:uid="{00000000-0005-0000-0000-00004E0D0000}"/>
    <cellStyle name="40% - Accent5 40" xfId="3404" xr:uid="{00000000-0005-0000-0000-00004F0D0000}"/>
    <cellStyle name="40% - Accent5 40 2" xfId="3405" xr:uid="{00000000-0005-0000-0000-0000500D0000}"/>
    <cellStyle name="40% - Accent5 41" xfId="3406" xr:uid="{00000000-0005-0000-0000-0000510D0000}"/>
    <cellStyle name="40% - Accent5 41 2" xfId="3407" xr:uid="{00000000-0005-0000-0000-0000520D0000}"/>
    <cellStyle name="40% - Accent5 42" xfId="3408" xr:uid="{00000000-0005-0000-0000-0000530D0000}"/>
    <cellStyle name="40% - Accent5 42 2" xfId="3409" xr:uid="{00000000-0005-0000-0000-0000540D0000}"/>
    <cellStyle name="40% - Accent5 43" xfId="3410" xr:uid="{00000000-0005-0000-0000-0000550D0000}"/>
    <cellStyle name="40% - Accent5 43 2" xfId="3411" xr:uid="{00000000-0005-0000-0000-0000560D0000}"/>
    <cellStyle name="40% - Accent5 44" xfId="3412" xr:uid="{00000000-0005-0000-0000-0000570D0000}"/>
    <cellStyle name="40% - Accent5 44 2" xfId="3413" xr:uid="{00000000-0005-0000-0000-0000580D0000}"/>
    <cellStyle name="40% - Accent5 45" xfId="3414" xr:uid="{00000000-0005-0000-0000-0000590D0000}"/>
    <cellStyle name="40% - Accent5 45 2" xfId="3415" xr:uid="{00000000-0005-0000-0000-00005A0D0000}"/>
    <cellStyle name="40% - Accent5 46" xfId="3416" xr:uid="{00000000-0005-0000-0000-00005B0D0000}"/>
    <cellStyle name="40% - Accent5 46 2" xfId="3417" xr:uid="{00000000-0005-0000-0000-00005C0D0000}"/>
    <cellStyle name="40% - Accent5 47" xfId="3418" xr:uid="{00000000-0005-0000-0000-00005D0D0000}"/>
    <cellStyle name="40% - Accent5 47 2" xfId="3419" xr:uid="{00000000-0005-0000-0000-00005E0D0000}"/>
    <cellStyle name="40% - Accent5 48" xfId="3420" xr:uid="{00000000-0005-0000-0000-00005F0D0000}"/>
    <cellStyle name="40% - Accent5 48 2" xfId="3421" xr:uid="{00000000-0005-0000-0000-0000600D0000}"/>
    <cellStyle name="40% - Accent5 49" xfId="3422" xr:uid="{00000000-0005-0000-0000-0000610D0000}"/>
    <cellStyle name="40% - Accent5 49 2" xfId="3423" xr:uid="{00000000-0005-0000-0000-0000620D0000}"/>
    <cellStyle name="40% - Accent5 5" xfId="3424" xr:uid="{00000000-0005-0000-0000-0000630D0000}"/>
    <cellStyle name="40% - Accent5 5 2" xfId="3425" xr:uid="{00000000-0005-0000-0000-0000640D0000}"/>
    <cellStyle name="40% - Accent5 50" xfId="3426" xr:uid="{00000000-0005-0000-0000-0000650D0000}"/>
    <cellStyle name="40% - Accent5 50 2" xfId="3427" xr:uid="{00000000-0005-0000-0000-0000660D0000}"/>
    <cellStyle name="40% - Accent5 51" xfId="3428" xr:uid="{00000000-0005-0000-0000-0000670D0000}"/>
    <cellStyle name="40% - Accent5 51 2" xfId="3429" xr:uid="{00000000-0005-0000-0000-0000680D0000}"/>
    <cellStyle name="40% - Accent5 52" xfId="3430" xr:uid="{00000000-0005-0000-0000-0000690D0000}"/>
    <cellStyle name="40% - Accent5 52 2" xfId="3431" xr:uid="{00000000-0005-0000-0000-00006A0D0000}"/>
    <cellStyle name="40% - Accent5 53" xfId="3432" xr:uid="{00000000-0005-0000-0000-00006B0D0000}"/>
    <cellStyle name="40% - Accent5 53 2" xfId="3433" xr:uid="{00000000-0005-0000-0000-00006C0D0000}"/>
    <cellStyle name="40% - Accent5 54" xfId="3434" xr:uid="{00000000-0005-0000-0000-00006D0D0000}"/>
    <cellStyle name="40% - Accent5 54 2" xfId="3435" xr:uid="{00000000-0005-0000-0000-00006E0D0000}"/>
    <cellStyle name="40% - Accent5 55" xfId="3436" xr:uid="{00000000-0005-0000-0000-00006F0D0000}"/>
    <cellStyle name="40% - Accent5 55 2" xfId="3437" xr:uid="{00000000-0005-0000-0000-0000700D0000}"/>
    <cellStyle name="40% - Accent5 56" xfId="3438" xr:uid="{00000000-0005-0000-0000-0000710D0000}"/>
    <cellStyle name="40% - Accent5 56 2" xfId="3439" xr:uid="{00000000-0005-0000-0000-0000720D0000}"/>
    <cellStyle name="40% - Accent5 57" xfId="3440" xr:uid="{00000000-0005-0000-0000-0000730D0000}"/>
    <cellStyle name="40% - Accent5 57 2" xfId="3441" xr:uid="{00000000-0005-0000-0000-0000740D0000}"/>
    <cellStyle name="40% - Accent5 58" xfId="3442" xr:uid="{00000000-0005-0000-0000-0000750D0000}"/>
    <cellStyle name="40% - Accent5 58 2" xfId="3443" xr:uid="{00000000-0005-0000-0000-0000760D0000}"/>
    <cellStyle name="40% - Accent5 59" xfId="3444" xr:uid="{00000000-0005-0000-0000-0000770D0000}"/>
    <cellStyle name="40% - Accent5 59 2" xfId="3445" xr:uid="{00000000-0005-0000-0000-0000780D0000}"/>
    <cellStyle name="40% - Accent5 6" xfId="3446" xr:uid="{00000000-0005-0000-0000-0000790D0000}"/>
    <cellStyle name="40% - Accent5 6 2" xfId="3447" xr:uid="{00000000-0005-0000-0000-00007A0D0000}"/>
    <cellStyle name="40% - Accent5 60" xfId="3448" xr:uid="{00000000-0005-0000-0000-00007B0D0000}"/>
    <cellStyle name="40% - Accent5 60 2" xfId="3449" xr:uid="{00000000-0005-0000-0000-00007C0D0000}"/>
    <cellStyle name="40% - Accent5 61" xfId="3450" xr:uid="{00000000-0005-0000-0000-00007D0D0000}"/>
    <cellStyle name="40% - Accent5 61 2" xfId="3451" xr:uid="{00000000-0005-0000-0000-00007E0D0000}"/>
    <cellStyle name="40% - Accent5 62" xfId="3452" xr:uid="{00000000-0005-0000-0000-00007F0D0000}"/>
    <cellStyle name="40% - Accent5 62 2" xfId="3453" xr:uid="{00000000-0005-0000-0000-0000800D0000}"/>
    <cellStyle name="40% - Accent5 63" xfId="3454" xr:uid="{00000000-0005-0000-0000-0000810D0000}"/>
    <cellStyle name="40% - Accent5 63 2" xfId="3455" xr:uid="{00000000-0005-0000-0000-0000820D0000}"/>
    <cellStyle name="40% - Accent5 64" xfId="3456" xr:uid="{00000000-0005-0000-0000-0000830D0000}"/>
    <cellStyle name="40% - Accent5 64 2" xfId="3457" xr:uid="{00000000-0005-0000-0000-0000840D0000}"/>
    <cellStyle name="40% - Accent5 65" xfId="3458" xr:uid="{00000000-0005-0000-0000-0000850D0000}"/>
    <cellStyle name="40% - Accent5 65 2" xfId="3459" xr:uid="{00000000-0005-0000-0000-0000860D0000}"/>
    <cellStyle name="40% - Accent5 66" xfId="3460" xr:uid="{00000000-0005-0000-0000-0000870D0000}"/>
    <cellStyle name="40% - Accent5 66 2" xfId="3461" xr:uid="{00000000-0005-0000-0000-0000880D0000}"/>
    <cellStyle name="40% - Accent5 67" xfId="3462" xr:uid="{00000000-0005-0000-0000-0000890D0000}"/>
    <cellStyle name="40% - Accent5 67 2" xfId="3463" xr:uid="{00000000-0005-0000-0000-00008A0D0000}"/>
    <cellStyle name="40% - Accent5 68" xfId="3464" xr:uid="{00000000-0005-0000-0000-00008B0D0000}"/>
    <cellStyle name="40% - Accent5 68 2" xfId="3465" xr:uid="{00000000-0005-0000-0000-00008C0D0000}"/>
    <cellStyle name="40% - Accent5 69" xfId="3466" xr:uid="{00000000-0005-0000-0000-00008D0D0000}"/>
    <cellStyle name="40% - Accent5 69 2" xfId="3467" xr:uid="{00000000-0005-0000-0000-00008E0D0000}"/>
    <cellStyle name="40% - Accent5 7" xfId="3468" xr:uid="{00000000-0005-0000-0000-00008F0D0000}"/>
    <cellStyle name="40% - Accent5 7 2" xfId="3469" xr:uid="{00000000-0005-0000-0000-0000900D0000}"/>
    <cellStyle name="40% - Accent5 70" xfId="3470" xr:uid="{00000000-0005-0000-0000-0000910D0000}"/>
    <cellStyle name="40% - Accent5 70 2" xfId="3471" xr:uid="{00000000-0005-0000-0000-0000920D0000}"/>
    <cellStyle name="40% - Accent5 8" xfId="3472" xr:uid="{00000000-0005-0000-0000-0000930D0000}"/>
    <cellStyle name="40% - Accent5 8 2" xfId="3473" xr:uid="{00000000-0005-0000-0000-0000940D0000}"/>
    <cellStyle name="40% - Accent5 9" xfId="3474" xr:uid="{00000000-0005-0000-0000-0000950D0000}"/>
    <cellStyle name="40% - Accent5 9 2" xfId="3475" xr:uid="{00000000-0005-0000-0000-0000960D0000}"/>
    <cellStyle name="40% - Accent6" xfId="21058" xr:uid="{00000000-0005-0000-0000-0000970D0000}"/>
    <cellStyle name="40% - Accent6 10" xfId="3476" xr:uid="{00000000-0005-0000-0000-0000980D0000}"/>
    <cellStyle name="40% - Accent6 10 2" xfId="3477" xr:uid="{00000000-0005-0000-0000-0000990D0000}"/>
    <cellStyle name="40% - Accent6 11" xfId="3478" xr:uid="{00000000-0005-0000-0000-00009A0D0000}"/>
    <cellStyle name="40% - Accent6 11 2" xfId="3479" xr:uid="{00000000-0005-0000-0000-00009B0D0000}"/>
    <cellStyle name="40% - Accent6 12" xfId="3480" xr:uid="{00000000-0005-0000-0000-00009C0D0000}"/>
    <cellStyle name="40% - Accent6 12 2" xfId="3481" xr:uid="{00000000-0005-0000-0000-00009D0D0000}"/>
    <cellStyle name="40% - Accent6 13" xfId="3482" xr:uid="{00000000-0005-0000-0000-00009E0D0000}"/>
    <cellStyle name="40% - Accent6 13 2" xfId="3483" xr:uid="{00000000-0005-0000-0000-00009F0D0000}"/>
    <cellStyle name="40% - Accent6 14" xfId="3484" xr:uid="{00000000-0005-0000-0000-0000A00D0000}"/>
    <cellStyle name="40% - Accent6 14 2" xfId="3485" xr:uid="{00000000-0005-0000-0000-0000A10D0000}"/>
    <cellStyle name="40% - Accent6 15" xfId="3486" xr:uid="{00000000-0005-0000-0000-0000A20D0000}"/>
    <cellStyle name="40% - Accent6 15 2" xfId="3487" xr:uid="{00000000-0005-0000-0000-0000A30D0000}"/>
    <cellStyle name="40% - Accent6 16" xfId="3488" xr:uid="{00000000-0005-0000-0000-0000A40D0000}"/>
    <cellStyle name="40% - Accent6 16 2" xfId="3489" xr:uid="{00000000-0005-0000-0000-0000A50D0000}"/>
    <cellStyle name="40% - Accent6 17" xfId="3490" xr:uid="{00000000-0005-0000-0000-0000A60D0000}"/>
    <cellStyle name="40% - Accent6 17 2" xfId="3491" xr:uid="{00000000-0005-0000-0000-0000A70D0000}"/>
    <cellStyle name="40% - Accent6 18" xfId="3492" xr:uid="{00000000-0005-0000-0000-0000A80D0000}"/>
    <cellStyle name="40% - Accent6 18 2" xfId="3493" xr:uid="{00000000-0005-0000-0000-0000A90D0000}"/>
    <cellStyle name="40% - Accent6 19" xfId="3494" xr:uid="{00000000-0005-0000-0000-0000AA0D0000}"/>
    <cellStyle name="40% - Accent6 19 2" xfId="3495" xr:uid="{00000000-0005-0000-0000-0000AB0D0000}"/>
    <cellStyle name="40% - Accent6 2" xfId="3496" xr:uid="{00000000-0005-0000-0000-0000AC0D0000}"/>
    <cellStyle name="40% - Accent6 2 2" xfId="3497" xr:uid="{00000000-0005-0000-0000-0000AD0D0000}"/>
    <cellStyle name="40% - Accent6 2 2 2" xfId="3498" xr:uid="{00000000-0005-0000-0000-0000AE0D0000}"/>
    <cellStyle name="40% - Accent6 2 2 2 2" xfId="3499" xr:uid="{00000000-0005-0000-0000-0000AF0D0000}"/>
    <cellStyle name="40% - Accent6 2 2 3" xfId="3500" xr:uid="{00000000-0005-0000-0000-0000B00D0000}"/>
    <cellStyle name="40% - Accent6 2 3" xfId="3501" xr:uid="{00000000-0005-0000-0000-0000B10D0000}"/>
    <cellStyle name="40% - Accent6 2 3 2" xfId="3502" xr:uid="{00000000-0005-0000-0000-0000B20D0000}"/>
    <cellStyle name="40% - Accent6 2 4" xfId="3503" xr:uid="{00000000-0005-0000-0000-0000B30D0000}"/>
    <cellStyle name="40% - Accent6 2_AE_FC_QuoteMaster" xfId="3504" xr:uid="{00000000-0005-0000-0000-0000B40D0000}"/>
    <cellStyle name="40% - Accent6 20" xfId="3505" xr:uid="{00000000-0005-0000-0000-0000B50D0000}"/>
    <cellStyle name="40% - Accent6 20 2" xfId="3506" xr:uid="{00000000-0005-0000-0000-0000B60D0000}"/>
    <cellStyle name="40% - Accent6 21" xfId="3507" xr:uid="{00000000-0005-0000-0000-0000B70D0000}"/>
    <cellStyle name="40% - Accent6 21 2" xfId="3508" xr:uid="{00000000-0005-0000-0000-0000B80D0000}"/>
    <cellStyle name="40% - Accent6 22" xfId="3509" xr:uid="{00000000-0005-0000-0000-0000B90D0000}"/>
    <cellStyle name="40% - Accent6 22 2" xfId="3510" xr:uid="{00000000-0005-0000-0000-0000BA0D0000}"/>
    <cellStyle name="40% - Accent6 23" xfId="3511" xr:uid="{00000000-0005-0000-0000-0000BB0D0000}"/>
    <cellStyle name="40% - Accent6 23 2" xfId="3512" xr:uid="{00000000-0005-0000-0000-0000BC0D0000}"/>
    <cellStyle name="40% - Accent6 24" xfId="3513" xr:uid="{00000000-0005-0000-0000-0000BD0D0000}"/>
    <cellStyle name="40% - Accent6 24 2" xfId="3514" xr:uid="{00000000-0005-0000-0000-0000BE0D0000}"/>
    <cellStyle name="40% - Accent6 25" xfId="3515" xr:uid="{00000000-0005-0000-0000-0000BF0D0000}"/>
    <cellStyle name="40% - Accent6 25 2" xfId="3516" xr:uid="{00000000-0005-0000-0000-0000C00D0000}"/>
    <cellStyle name="40% - Accent6 26" xfId="3517" xr:uid="{00000000-0005-0000-0000-0000C10D0000}"/>
    <cellStyle name="40% - Accent6 26 2" xfId="3518" xr:uid="{00000000-0005-0000-0000-0000C20D0000}"/>
    <cellStyle name="40% - Accent6 27" xfId="3519" xr:uid="{00000000-0005-0000-0000-0000C30D0000}"/>
    <cellStyle name="40% - Accent6 27 2" xfId="3520" xr:uid="{00000000-0005-0000-0000-0000C40D0000}"/>
    <cellStyle name="40% - Accent6 28" xfId="3521" xr:uid="{00000000-0005-0000-0000-0000C50D0000}"/>
    <cellStyle name="40% - Accent6 28 2" xfId="3522" xr:uid="{00000000-0005-0000-0000-0000C60D0000}"/>
    <cellStyle name="40% - Accent6 29" xfId="3523" xr:uid="{00000000-0005-0000-0000-0000C70D0000}"/>
    <cellStyle name="40% - Accent6 29 2" xfId="3524" xr:uid="{00000000-0005-0000-0000-0000C80D0000}"/>
    <cellStyle name="40% - Accent6 3" xfId="3525" xr:uid="{00000000-0005-0000-0000-0000C90D0000}"/>
    <cellStyle name="40% - Accent6 3 2" xfId="3526" xr:uid="{00000000-0005-0000-0000-0000CA0D0000}"/>
    <cellStyle name="40% - Accent6 3 2 2" xfId="3527" xr:uid="{00000000-0005-0000-0000-0000CB0D0000}"/>
    <cellStyle name="40% - Accent6 3 2 2 2" xfId="3528" xr:uid="{00000000-0005-0000-0000-0000CC0D0000}"/>
    <cellStyle name="40% - Accent6 3 2 3" xfId="3529" xr:uid="{00000000-0005-0000-0000-0000CD0D0000}"/>
    <cellStyle name="40% - Accent6 3 3" xfId="3530" xr:uid="{00000000-0005-0000-0000-0000CE0D0000}"/>
    <cellStyle name="40% - Accent6 3 3 2" xfId="3531" xr:uid="{00000000-0005-0000-0000-0000CF0D0000}"/>
    <cellStyle name="40% - Accent6 3 4" xfId="3532" xr:uid="{00000000-0005-0000-0000-0000D00D0000}"/>
    <cellStyle name="40% - Accent6 30" xfId="3533" xr:uid="{00000000-0005-0000-0000-0000D10D0000}"/>
    <cellStyle name="40% - Accent6 30 2" xfId="3534" xr:uid="{00000000-0005-0000-0000-0000D20D0000}"/>
    <cellStyle name="40% - Accent6 31" xfId="3535" xr:uid="{00000000-0005-0000-0000-0000D30D0000}"/>
    <cellStyle name="40% - Accent6 31 2" xfId="3536" xr:uid="{00000000-0005-0000-0000-0000D40D0000}"/>
    <cellStyle name="40% - Accent6 32" xfId="3537" xr:uid="{00000000-0005-0000-0000-0000D50D0000}"/>
    <cellStyle name="40% - Accent6 32 2" xfId="3538" xr:uid="{00000000-0005-0000-0000-0000D60D0000}"/>
    <cellStyle name="40% - Accent6 33" xfId="3539" xr:uid="{00000000-0005-0000-0000-0000D70D0000}"/>
    <cellStyle name="40% - Accent6 33 2" xfId="3540" xr:uid="{00000000-0005-0000-0000-0000D80D0000}"/>
    <cellStyle name="40% - Accent6 34" xfId="3541" xr:uid="{00000000-0005-0000-0000-0000D90D0000}"/>
    <cellStyle name="40% - Accent6 34 2" xfId="3542" xr:uid="{00000000-0005-0000-0000-0000DA0D0000}"/>
    <cellStyle name="40% - Accent6 35" xfId="3543" xr:uid="{00000000-0005-0000-0000-0000DB0D0000}"/>
    <cellStyle name="40% - Accent6 35 2" xfId="3544" xr:uid="{00000000-0005-0000-0000-0000DC0D0000}"/>
    <cellStyle name="40% - Accent6 36" xfId="3545" xr:uid="{00000000-0005-0000-0000-0000DD0D0000}"/>
    <cellStyle name="40% - Accent6 36 2" xfId="3546" xr:uid="{00000000-0005-0000-0000-0000DE0D0000}"/>
    <cellStyle name="40% - Accent6 37" xfId="3547" xr:uid="{00000000-0005-0000-0000-0000DF0D0000}"/>
    <cellStyle name="40% - Accent6 37 2" xfId="3548" xr:uid="{00000000-0005-0000-0000-0000E00D0000}"/>
    <cellStyle name="40% - Accent6 38" xfId="3549" xr:uid="{00000000-0005-0000-0000-0000E10D0000}"/>
    <cellStyle name="40% - Accent6 38 2" xfId="3550" xr:uid="{00000000-0005-0000-0000-0000E20D0000}"/>
    <cellStyle name="40% - Accent6 39" xfId="3551" xr:uid="{00000000-0005-0000-0000-0000E30D0000}"/>
    <cellStyle name="40% - Accent6 39 2" xfId="3552" xr:uid="{00000000-0005-0000-0000-0000E40D0000}"/>
    <cellStyle name="40% - Accent6 4" xfId="3553" xr:uid="{00000000-0005-0000-0000-0000E50D0000}"/>
    <cellStyle name="40% - Accent6 4 2" xfId="3554" xr:uid="{00000000-0005-0000-0000-0000E60D0000}"/>
    <cellStyle name="40% - Accent6 4 2 2" xfId="3555" xr:uid="{00000000-0005-0000-0000-0000E70D0000}"/>
    <cellStyle name="40% - Accent6 4 3" xfId="3556" xr:uid="{00000000-0005-0000-0000-0000E80D0000}"/>
    <cellStyle name="40% - Accent6 40" xfId="3557" xr:uid="{00000000-0005-0000-0000-0000E90D0000}"/>
    <cellStyle name="40% - Accent6 40 2" xfId="3558" xr:uid="{00000000-0005-0000-0000-0000EA0D0000}"/>
    <cellStyle name="40% - Accent6 41" xfId="3559" xr:uid="{00000000-0005-0000-0000-0000EB0D0000}"/>
    <cellStyle name="40% - Accent6 41 2" xfId="3560" xr:uid="{00000000-0005-0000-0000-0000EC0D0000}"/>
    <cellStyle name="40% - Accent6 42" xfId="3561" xr:uid="{00000000-0005-0000-0000-0000ED0D0000}"/>
    <cellStyle name="40% - Accent6 42 2" xfId="3562" xr:uid="{00000000-0005-0000-0000-0000EE0D0000}"/>
    <cellStyle name="40% - Accent6 43" xfId="3563" xr:uid="{00000000-0005-0000-0000-0000EF0D0000}"/>
    <cellStyle name="40% - Accent6 43 2" xfId="3564" xr:uid="{00000000-0005-0000-0000-0000F00D0000}"/>
    <cellStyle name="40% - Accent6 44" xfId="3565" xr:uid="{00000000-0005-0000-0000-0000F10D0000}"/>
    <cellStyle name="40% - Accent6 44 2" xfId="3566" xr:uid="{00000000-0005-0000-0000-0000F20D0000}"/>
    <cellStyle name="40% - Accent6 45" xfId="3567" xr:uid="{00000000-0005-0000-0000-0000F30D0000}"/>
    <cellStyle name="40% - Accent6 45 2" xfId="3568" xr:uid="{00000000-0005-0000-0000-0000F40D0000}"/>
    <cellStyle name="40% - Accent6 46" xfId="3569" xr:uid="{00000000-0005-0000-0000-0000F50D0000}"/>
    <cellStyle name="40% - Accent6 46 2" xfId="3570" xr:uid="{00000000-0005-0000-0000-0000F60D0000}"/>
    <cellStyle name="40% - Accent6 47" xfId="3571" xr:uid="{00000000-0005-0000-0000-0000F70D0000}"/>
    <cellStyle name="40% - Accent6 47 2" xfId="3572" xr:uid="{00000000-0005-0000-0000-0000F80D0000}"/>
    <cellStyle name="40% - Accent6 48" xfId="3573" xr:uid="{00000000-0005-0000-0000-0000F90D0000}"/>
    <cellStyle name="40% - Accent6 48 2" xfId="3574" xr:uid="{00000000-0005-0000-0000-0000FA0D0000}"/>
    <cellStyle name="40% - Accent6 49" xfId="3575" xr:uid="{00000000-0005-0000-0000-0000FB0D0000}"/>
    <cellStyle name="40% - Accent6 49 2" xfId="3576" xr:uid="{00000000-0005-0000-0000-0000FC0D0000}"/>
    <cellStyle name="40% - Accent6 5" xfId="3577" xr:uid="{00000000-0005-0000-0000-0000FD0D0000}"/>
    <cellStyle name="40% - Accent6 5 2" xfId="3578" xr:uid="{00000000-0005-0000-0000-0000FE0D0000}"/>
    <cellStyle name="40% - Accent6 50" xfId="3579" xr:uid="{00000000-0005-0000-0000-0000FF0D0000}"/>
    <cellStyle name="40% - Accent6 50 2" xfId="3580" xr:uid="{00000000-0005-0000-0000-0000000E0000}"/>
    <cellStyle name="40% - Accent6 51" xfId="3581" xr:uid="{00000000-0005-0000-0000-0000010E0000}"/>
    <cellStyle name="40% - Accent6 51 2" xfId="3582" xr:uid="{00000000-0005-0000-0000-0000020E0000}"/>
    <cellStyle name="40% - Accent6 52" xfId="3583" xr:uid="{00000000-0005-0000-0000-0000030E0000}"/>
    <cellStyle name="40% - Accent6 52 2" xfId="3584" xr:uid="{00000000-0005-0000-0000-0000040E0000}"/>
    <cellStyle name="40% - Accent6 53" xfId="3585" xr:uid="{00000000-0005-0000-0000-0000050E0000}"/>
    <cellStyle name="40% - Accent6 53 2" xfId="3586" xr:uid="{00000000-0005-0000-0000-0000060E0000}"/>
    <cellStyle name="40% - Accent6 54" xfId="3587" xr:uid="{00000000-0005-0000-0000-0000070E0000}"/>
    <cellStyle name="40% - Accent6 54 2" xfId="3588" xr:uid="{00000000-0005-0000-0000-0000080E0000}"/>
    <cellStyle name="40% - Accent6 55" xfId="3589" xr:uid="{00000000-0005-0000-0000-0000090E0000}"/>
    <cellStyle name="40% - Accent6 55 2" xfId="3590" xr:uid="{00000000-0005-0000-0000-00000A0E0000}"/>
    <cellStyle name="40% - Accent6 56" xfId="3591" xr:uid="{00000000-0005-0000-0000-00000B0E0000}"/>
    <cellStyle name="40% - Accent6 56 2" xfId="3592" xr:uid="{00000000-0005-0000-0000-00000C0E0000}"/>
    <cellStyle name="40% - Accent6 57" xfId="3593" xr:uid="{00000000-0005-0000-0000-00000D0E0000}"/>
    <cellStyle name="40% - Accent6 57 2" xfId="3594" xr:uid="{00000000-0005-0000-0000-00000E0E0000}"/>
    <cellStyle name="40% - Accent6 58" xfId="3595" xr:uid="{00000000-0005-0000-0000-00000F0E0000}"/>
    <cellStyle name="40% - Accent6 58 2" xfId="3596" xr:uid="{00000000-0005-0000-0000-0000100E0000}"/>
    <cellStyle name="40% - Accent6 59" xfId="3597" xr:uid="{00000000-0005-0000-0000-0000110E0000}"/>
    <cellStyle name="40% - Accent6 59 2" xfId="3598" xr:uid="{00000000-0005-0000-0000-0000120E0000}"/>
    <cellStyle name="40% - Accent6 6" xfId="3599" xr:uid="{00000000-0005-0000-0000-0000130E0000}"/>
    <cellStyle name="40% - Accent6 6 2" xfId="3600" xr:uid="{00000000-0005-0000-0000-0000140E0000}"/>
    <cellStyle name="40% - Accent6 60" xfId="3601" xr:uid="{00000000-0005-0000-0000-0000150E0000}"/>
    <cellStyle name="40% - Accent6 60 2" xfId="3602" xr:uid="{00000000-0005-0000-0000-0000160E0000}"/>
    <cellStyle name="40% - Accent6 61" xfId="3603" xr:uid="{00000000-0005-0000-0000-0000170E0000}"/>
    <cellStyle name="40% - Accent6 61 2" xfId="3604" xr:uid="{00000000-0005-0000-0000-0000180E0000}"/>
    <cellStyle name="40% - Accent6 62" xfId="3605" xr:uid="{00000000-0005-0000-0000-0000190E0000}"/>
    <cellStyle name="40% - Accent6 62 2" xfId="3606" xr:uid="{00000000-0005-0000-0000-00001A0E0000}"/>
    <cellStyle name="40% - Accent6 63" xfId="3607" xr:uid="{00000000-0005-0000-0000-00001B0E0000}"/>
    <cellStyle name="40% - Accent6 63 2" xfId="3608" xr:uid="{00000000-0005-0000-0000-00001C0E0000}"/>
    <cellStyle name="40% - Accent6 64" xfId="3609" xr:uid="{00000000-0005-0000-0000-00001D0E0000}"/>
    <cellStyle name="40% - Accent6 64 2" xfId="3610" xr:uid="{00000000-0005-0000-0000-00001E0E0000}"/>
    <cellStyle name="40% - Accent6 65" xfId="3611" xr:uid="{00000000-0005-0000-0000-00001F0E0000}"/>
    <cellStyle name="40% - Accent6 65 2" xfId="3612" xr:uid="{00000000-0005-0000-0000-0000200E0000}"/>
    <cellStyle name="40% - Accent6 66" xfId="3613" xr:uid="{00000000-0005-0000-0000-0000210E0000}"/>
    <cellStyle name="40% - Accent6 66 2" xfId="3614" xr:uid="{00000000-0005-0000-0000-0000220E0000}"/>
    <cellStyle name="40% - Accent6 67" xfId="3615" xr:uid="{00000000-0005-0000-0000-0000230E0000}"/>
    <cellStyle name="40% - Accent6 67 2" xfId="3616" xr:uid="{00000000-0005-0000-0000-0000240E0000}"/>
    <cellStyle name="40% - Accent6 68" xfId="3617" xr:uid="{00000000-0005-0000-0000-0000250E0000}"/>
    <cellStyle name="40% - Accent6 68 2" xfId="3618" xr:uid="{00000000-0005-0000-0000-0000260E0000}"/>
    <cellStyle name="40% - Accent6 69" xfId="3619" xr:uid="{00000000-0005-0000-0000-0000270E0000}"/>
    <cellStyle name="40% - Accent6 69 2" xfId="3620" xr:uid="{00000000-0005-0000-0000-0000280E0000}"/>
    <cellStyle name="40% - Accent6 7" xfId="3621" xr:uid="{00000000-0005-0000-0000-0000290E0000}"/>
    <cellStyle name="40% - Accent6 7 2" xfId="3622" xr:uid="{00000000-0005-0000-0000-00002A0E0000}"/>
    <cellStyle name="40% - Accent6 70" xfId="3623" xr:uid="{00000000-0005-0000-0000-00002B0E0000}"/>
    <cellStyle name="40% - Accent6 70 2" xfId="3624" xr:uid="{00000000-0005-0000-0000-00002C0E0000}"/>
    <cellStyle name="40% - Accent6 8" xfId="3625" xr:uid="{00000000-0005-0000-0000-00002D0E0000}"/>
    <cellStyle name="40% - Accent6 8 2" xfId="3626" xr:uid="{00000000-0005-0000-0000-00002E0E0000}"/>
    <cellStyle name="40% - Accent6 9" xfId="3627" xr:uid="{00000000-0005-0000-0000-00002F0E0000}"/>
    <cellStyle name="40% - Accent6 9 2" xfId="3628" xr:uid="{00000000-0005-0000-0000-0000300E0000}"/>
    <cellStyle name="40% - Akzent1 10" xfId="3629" xr:uid="{00000000-0005-0000-0000-0000310E0000}"/>
    <cellStyle name="40% - Akzent1 10 2" xfId="3630" xr:uid="{00000000-0005-0000-0000-0000320E0000}"/>
    <cellStyle name="40% - Akzent1 100" xfId="3631" xr:uid="{00000000-0005-0000-0000-0000330E0000}"/>
    <cellStyle name="40% - Akzent1 100 2" xfId="3632" xr:uid="{00000000-0005-0000-0000-0000340E0000}"/>
    <cellStyle name="40% - Akzent1 101" xfId="3633" xr:uid="{00000000-0005-0000-0000-0000350E0000}"/>
    <cellStyle name="40% - Akzent1 101 2" xfId="3634" xr:uid="{00000000-0005-0000-0000-0000360E0000}"/>
    <cellStyle name="40% - Akzent1 102" xfId="3635" xr:uid="{00000000-0005-0000-0000-0000370E0000}"/>
    <cellStyle name="40% - Akzent1 102 2" xfId="3636" xr:uid="{00000000-0005-0000-0000-0000380E0000}"/>
    <cellStyle name="40% - Akzent1 103" xfId="3637" xr:uid="{00000000-0005-0000-0000-0000390E0000}"/>
    <cellStyle name="40% - Akzent1 103 2" xfId="3638" xr:uid="{00000000-0005-0000-0000-00003A0E0000}"/>
    <cellStyle name="40% - Akzent1 104" xfId="3639" xr:uid="{00000000-0005-0000-0000-00003B0E0000}"/>
    <cellStyle name="40% - Akzent1 104 2" xfId="3640" xr:uid="{00000000-0005-0000-0000-00003C0E0000}"/>
    <cellStyle name="40% - Akzent1 105" xfId="3641" xr:uid="{00000000-0005-0000-0000-00003D0E0000}"/>
    <cellStyle name="40% - Akzent1 105 2" xfId="3642" xr:uid="{00000000-0005-0000-0000-00003E0E0000}"/>
    <cellStyle name="40% - Akzent1 106" xfId="3643" xr:uid="{00000000-0005-0000-0000-00003F0E0000}"/>
    <cellStyle name="40% - Akzent1 106 2" xfId="3644" xr:uid="{00000000-0005-0000-0000-0000400E0000}"/>
    <cellStyle name="40% - Akzent1 107" xfId="3645" xr:uid="{00000000-0005-0000-0000-0000410E0000}"/>
    <cellStyle name="40% - Akzent1 107 2" xfId="3646" xr:uid="{00000000-0005-0000-0000-0000420E0000}"/>
    <cellStyle name="40% - Akzent1 108" xfId="3647" xr:uid="{00000000-0005-0000-0000-0000430E0000}"/>
    <cellStyle name="40% - Akzent1 108 2" xfId="3648" xr:uid="{00000000-0005-0000-0000-0000440E0000}"/>
    <cellStyle name="40% - Akzent1 109" xfId="3649" xr:uid="{00000000-0005-0000-0000-0000450E0000}"/>
    <cellStyle name="40% - Akzent1 109 2" xfId="3650" xr:uid="{00000000-0005-0000-0000-0000460E0000}"/>
    <cellStyle name="40% - Akzent1 11" xfId="3651" xr:uid="{00000000-0005-0000-0000-0000470E0000}"/>
    <cellStyle name="40% - Akzent1 11 2" xfId="3652" xr:uid="{00000000-0005-0000-0000-0000480E0000}"/>
    <cellStyle name="40% - Akzent1 110" xfId="3653" xr:uid="{00000000-0005-0000-0000-0000490E0000}"/>
    <cellStyle name="40% - Akzent1 110 2" xfId="3654" xr:uid="{00000000-0005-0000-0000-00004A0E0000}"/>
    <cellStyle name="40% - Akzent1 111" xfId="3655" xr:uid="{00000000-0005-0000-0000-00004B0E0000}"/>
    <cellStyle name="40% - Akzent1 111 2" xfId="3656" xr:uid="{00000000-0005-0000-0000-00004C0E0000}"/>
    <cellStyle name="40% - Akzent1 112" xfId="3657" xr:uid="{00000000-0005-0000-0000-00004D0E0000}"/>
    <cellStyle name="40% - Akzent1 112 2" xfId="3658" xr:uid="{00000000-0005-0000-0000-00004E0E0000}"/>
    <cellStyle name="40% - Akzent1 113" xfId="3659" xr:uid="{00000000-0005-0000-0000-00004F0E0000}"/>
    <cellStyle name="40% - Akzent1 113 2" xfId="3660" xr:uid="{00000000-0005-0000-0000-0000500E0000}"/>
    <cellStyle name="40% - Akzent1 114" xfId="3661" xr:uid="{00000000-0005-0000-0000-0000510E0000}"/>
    <cellStyle name="40% - Akzent1 114 2" xfId="3662" xr:uid="{00000000-0005-0000-0000-0000520E0000}"/>
    <cellStyle name="40% - Akzent1 115" xfId="3663" xr:uid="{00000000-0005-0000-0000-0000530E0000}"/>
    <cellStyle name="40% - Akzent1 115 2" xfId="3664" xr:uid="{00000000-0005-0000-0000-0000540E0000}"/>
    <cellStyle name="40% - Akzent1 116" xfId="3665" xr:uid="{00000000-0005-0000-0000-0000550E0000}"/>
    <cellStyle name="40% - Akzent1 116 2" xfId="3666" xr:uid="{00000000-0005-0000-0000-0000560E0000}"/>
    <cellStyle name="40% - Akzent1 117" xfId="3667" xr:uid="{00000000-0005-0000-0000-0000570E0000}"/>
    <cellStyle name="40% - Akzent1 117 2" xfId="3668" xr:uid="{00000000-0005-0000-0000-0000580E0000}"/>
    <cellStyle name="40% - Akzent1 118" xfId="3669" xr:uid="{00000000-0005-0000-0000-0000590E0000}"/>
    <cellStyle name="40% - Akzent1 118 2" xfId="3670" xr:uid="{00000000-0005-0000-0000-00005A0E0000}"/>
    <cellStyle name="40% - Akzent1 119" xfId="3671" xr:uid="{00000000-0005-0000-0000-00005B0E0000}"/>
    <cellStyle name="40% - Akzent1 119 2" xfId="3672" xr:uid="{00000000-0005-0000-0000-00005C0E0000}"/>
    <cellStyle name="40% - Akzent1 12" xfId="3673" xr:uid="{00000000-0005-0000-0000-00005D0E0000}"/>
    <cellStyle name="40% - Akzent1 12 2" xfId="3674" xr:uid="{00000000-0005-0000-0000-00005E0E0000}"/>
    <cellStyle name="40% - Akzent1 120" xfId="3675" xr:uid="{00000000-0005-0000-0000-00005F0E0000}"/>
    <cellStyle name="40% - Akzent1 120 2" xfId="3676" xr:uid="{00000000-0005-0000-0000-0000600E0000}"/>
    <cellStyle name="40% - Akzent1 121" xfId="3677" xr:uid="{00000000-0005-0000-0000-0000610E0000}"/>
    <cellStyle name="40% - Akzent1 121 2" xfId="3678" xr:uid="{00000000-0005-0000-0000-0000620E0000}"/>
    <cellStyle name="40% - Akzent1 122" xfId="3679" xr:uid="{00000000-0005-0000-0000-0000630E0000}"/>
    <cellStyle name="40% - Akzent1 122 2" xfId="3680" xr:uid="{00000000-0005-0000-0000-0000640E0000}"/>
    <cellStyle name="40% - Akzent1 123" xfId="3681" xr:uid="{00000000-0005-0000-0000-0000650E0000}"/>
    <cellStyle name="40% - Akzent1 123 2" xfId="3682" xr:uid="{00000000-0005-0000-0000-0000660E0000}"/>
    <cellStyle name="40% - Akzent1 124" xfId="3683" xr:uid="{00000000-0005-0000-0000-0000670E0000}"/>
    <cellStyle name="40% - Akzent1 124 2" xfId="3684" xr:uid="{00000000-0005-0000-0000-0000680E0000}"/>
    <cellStyle name="40% - Akzent1 125" xfId="3685" xr:uid="{00000000-0005-0000-0000-0000690E0000}"/>
    <cellStyle name="40% - Akzent1 125 2" xfId="3686" xr:uid="{00000000-0005-0000-0000-00006A0E0000}"/>
    <cellStyle name="40% - Akzent1 126" xfId="3687" xr:uid="{00000000-0005-0000-0000-00006B0E0000}"/>
    <cellStyle name="40% - Akzent1 126 2" xfId="3688" xr:uid="{00000000-0005-0000-0000-00006C0E0000}"/>
    <cellStyle name="40% - Akzent1 127" xfId="3689" xr:uid="{00000000-0005-0000-0000-00006D0E0000}"/>
    <cellStyle name="40% - Akzent1 127 2" xfId="3690" xr:uid="{00000000-0005-0000-0000-00006E0E0000}"/>
    <cellStyle name="40% - Akzent1 128" xfId="3691" xr:uid="{00000000-0005-0000-0000-00006F0E0000}"/>
    <cellStyle name="40% - Akzent1 128 2" xfId="3692" xr:uid="{00000000-0005-0000-0000-0000700E0000}"/>
    <cellStyle name="40% - Akzent1 129" xfId="3693" xr:uid="{00000000-0005-0000-0000-0000710E0000}"/>
    <cellStyle name="40% - Akzent1 129 2" xfId="3694" xr:uid="{00000000-0005-0000-0000-0000720E0000}"/>
    <cellStyle name="40% - Akzent1 13" xfId="3695" xr:uid="{00000000-0005-0000-0000-0000730E0000}"/>
    <cellStyle name="40% - Akzent1 13 2" xfId="3696" xr:uid="{00000000-0005-0000-0000-0000740E0000}"/>
    <cellStyle name="40% - Akzent1 130" xfId="3697" xr:uid="{00000000-0005-0000-0000-0000750E0000}"/>
    <cellStyle name="40% - Akzent1 130 2" xfId="3698" xr:uid="{00000000-0005-0000-0000-0000760E0000}"/>
    <cellStyle name="40% - Akzent1 131" xfId="3699" xr:uid="{00000000-0005-0000-0000-0000770E0000}"/>
    <cellStyle name="40% - Akzent1 131 2" xfId="3700" xr:uid="{00000000-0005-0000-0000-0000780E0000}"/>
    <cellStyle name="40% - Akzent1 132" xfId="3701" xr:uid="{00000000-0005-0000-0000-0000790E0000}"/>
    <cellStyle name="40% - Akzent1 132 2" xfId="3702" xr:uid="{00000000-0005-0000-0000-00007A0E0000}"/>
    <cellStyle name="40% - Akzent1 133" xfId="3703" xr:uid="{00000000-0005-0000-0000-00007B0E0000}"/>
    <cellStyle name="40% - Akzent1 133 2" xfId="3704" xr:uid="{00000000-0005-0000-0000-00007C0E0000}"/>
    <cellStyle name="40% - Akzent1 134" xfId="3705" xr:uid="{00000000-0005-0000-0000-00007D0E0000}"/>
    <cellStyle name="40% - Akzent1 134 2" xfId="3706" xr:uid="{00000000-0005-0000-0000-00007E0E0000}"/>
    <cellStyle name="40% - Akzent1 135" xfId="3707" xr:uid="{00000000-0005-0000-0000-00007F0E0000}"/>
    <cellStyle name="40% - Akzent1 135 2" xfId="3708" xr:uid="{00000000-0005-0000-0000-0000800E0000}"/>
    <cellStyle name="40% - Akzent1 136" xfId="3709" xr:uid="{00000000-0005-0000-0000-0000810E0000}"/>
    <cellStyle name="40% - Akzent1 136 2" xfId="3710" xr:uid="{00000000-0005-0000-0000-0000820E0000}"/>
    <cellStyle name="40% - Akzent1 137" xfId="3711" xr:uid="{00000000-0005-0000-0000-0000830E0000}"/>
    <cellStyle name="40% - Akzent1 137 2" xfId="3712" xr:uid="{00000000-0005-0000-0000-0000840E0000}"/>
    <cellStyle name="40% - Akzent1 138" xfId="3713" xr:uid="{00000000-0005-0000-0000-0000850E0000}"/>
    <cellStyle name="40% - Akzent1 138 2" xfId="3714" xr:uid="{00000000-0005-0000-0000-0000860E0000}"/>
    <cellStyle name="40% - Akzent1 139" xfId="3715" xr:uid="{00000000-0005-0000-0000-0000870E0000}"/>
    <cellStyle name="40% - Akzent1 139 2" xfId="3716" xr:uid="{00000000-0005-0000-0000-0000880E0000}"/>
    <cellStyle name="40% - Akzent1 14" xfId="3717" xr:uid="{00000000-0005-0000-0000-0000890E0000}"/>
    <cellStyle name="40% - Akzent1 14 2" xfId="3718" xr:uid="{00000000-0005-0000-0000-00008A0E0000}"/>
    <cellStyle name="40% - Akzent1 140" xfId="3719" xr:uid="{00000000-0005-0000-0000-00008B0E0000}"/>
    <cellStyle name="40% - Akzent1 140 2" xfId="3720" xr:uid="{00000000-0005-0000-0000-00008C0E0000}"/>
    <cellStyle name="40% - Akzent1 141" xfId="3721" xr:uid="{00000000-0005-0000-0000-00008D0E0000}"/>
    <cellStyle name="40% - Akzent1 141 2" xfId="3722" xr:uid="{00000000-0005-0000-0000-00008E0E0000}"/>
    <cellStyle name="40% - Akzent1 142" xfId="3723" xr:uid="{00000000-0005-0000-0000-00008F0E0000}"/>
    <cellStyle name="40% - Akzent1 142 2" xfId="3724" xr:uid="{00000000-0005-0000-0000-0000900E0000}"/>
    <cellStyle name="40% - Akzent1 143" xfId="3725" xr:uid="{00000000-0005-0000-0000-0000910E0000}"/>
    <cellStyle name="40% - Akzent1 143 2" xfId="3726" xr:uid="{00000000-0005-0000-0000-0000920E0000}"/>
    <cellStyle name="40% - Akzent1 144" xfId="3727" xr:uid="{00000000-0005-0000-0000-0000930E0000}"/>
    <cellStyle name="40% - Akzent1 144 2" xfId="3728" xr:uid="{00000000-0005-0000-0000-0000940E0000}"/>
    <cellStyle name="40% - Akzent1 145" xfId="3729" xr:uid="{00000000-0005-0000-0000-0000950E0000}"/>
    <cellStyle name="40% - Akzent1 145 2" xfId="3730" xr:uid="{00000000-0005-0000-0000-0000960E0000}"/>
    <cellStyle name="40% - Akzent1 146" xfId="3731" xr:uid="{00000000-0005-0000-0000-0000970E0000}"/>
    <cellStyle name="40% - Akzent1 146 2" xfId="3732" xr:uid="{00000000-0005-0000-0000-0000980E0000}"/>
    <cellStyle name="40% - Akzent1 147" xfId="3733" xr:uid="{00000000-0005-0000-0000-0000990E0000}"/>
    <cellStyle name="40% - Akzent1 147 2" xfId="3734" xr:uid="{00000000-0005-0000-0000-00009A0E0000}"/>
    <cellStyle name="40% - Akzent1 148" xfId="3735" xr:uid="{00000000-0005-0000-0000-00009B0E0000}"/>
    <cellStyle name="40% - Akzent1 148 2" xfId="3736" xr:uid="{00000000-0005-0000-0000-00009C0E0000}"/>
    <cellStyle name="40% - Akzent1 149" xfId="3737" xr:uid="{00000000-0005-0000-0000-00009D0E0000}"/>
    <cellStyle name="40% - Akzent1 149 2" xfId="3738" xr:uid="{00000000-0005-0000-0000-00009E0E0000}"/>
    <cellStyle name="40% - Akzent1 15" xfId="3739" xr:uid="{00000000-0005-0000-0000-00009F0E0000}"/>
    <cellStyle name="40% - Akzent1 15 2" xfId="3740" xr:uid="{00000000-0005-0000-0000-0000A00E0000}"/>
    <cellStyle name="40% - Akzent1 150" xfId="3741" xr:uid="{00000000-0005-0000-0000-0000A10E0000}"/>
    <cellStyle name="40% - Akzent1 150 2" xfId="3742" xr:uid="{00000000-0005-0000-0000-0000A20E0000}"/>
    <cellStyle name="40% - Akzent1 151" xfId="3743" xr:uid="{00000000-0005-0000-0000-0000A30E0000}"/>
    <cellStyle name="40% - Akzent1 151 2" xfId="3744" xr:uid="{00000000-0005-0000-0000-0000A40E0000}"/>
    <cellStyle name="40% - Akzent1 16" xfId="3745" xr:uid="{00000000-0005-0000-0000-0000A50E0000}"/>
    <cellStyle name="40% - Akzent1 16 2" xfId="3746" xr:uid="{00000000-0005-0000-0000-0000A60E0000}"/>
    <cellStyle name="40% - Akzent1 17" xfId="3747" xr:uid="{00000000-0005-0000-0000-0000A70E0000}"/>
    <cellStyle name="40% - Akzent1 17 2" xfId="3748" xr:uid="{00000000-0005-0000-0000-0000A80E0000}"/>
    <cellStyle name="40% - Akzent1 18" xfId="3749" xr:uid="{00000000-0005-0000-0000-0000A90E0000}"/>
    <cellStyle name="40% - Akzent1 18 2" xfId="3750" xr:uid="{00000000-0005-0000-0000-0000AA0E0000}"/>
    <cellStyle name="40% - Akzent1 19" xfId="3751" xr:uid="{00000000-0005-0000-0000-0000AB0E0000}"/>
    <cellStyle name="40% - Akzent1 19 2" xfId="3752" xr:uid="{00000000-0005-0000-0000-0000AC0E0000}"/>
    <cellStyle name="40% - Akzent1 2" xfId="3753" xr:uid="{00000000-0005-0000-0000-0000AD0E0000}"/>
    <cellStyle name="40% - Akzent1 2 2" xfId="3754" xr:uid="{00000000-0005-0000-0000-0000AE0E0000}"/>
    <cellStyle name="40% - Akzent1 2 3" xfId="3755" xr:uid="{00000000-0005-0000-0000-0000AF0E0000}"/>
    <cellStyle name="40% - Akzent1 2 4" xfId="3756" xr:uid="{00000000-0005-0000-0000-0000B00E0000}"/>
    <cellStyle name="40% - Akzent1 2 4 2" xfId="3757" xr:uid="{00000000-0005-0000-0000-0000B10E0000}"/>
    <cellStyle name="40% - Akzent1 2 5" xfId="3758" xr:uid="{00000000-0005-0000-0000-0000B20E0000}"/>
    <cellStyle name="40% - Akzent1 20" xfId="3759" xr:uid="{00000000-0005-0000-0000-0000B30E0000}"/>
    <cellStyle name="40% - Akzent1 20 2" xfId="3760" xr:uid="{00000000-0005-0000-0000-0000B40E0000}"/>
    <cellStyle name="40% - Akzent1 21" xfId="3761" xr:uid="{00000000-0005-0000-0000-0000B50E0000}"/>
    <cellStyle name="40% - Akzent1 21 2" xfId="3762" xr:uid="{00000000-0005-0000-0000-0000B60E0000}"/>
    <cellStyle name="40% - Akzent1 22" xfId="3763" xr:uid="{00000000-0005-0000-0000-0000B70E0000}"/>
    <cellStyle name="40% - Akzent1 22 2" xfId="3764" xr:uid="{00000000-0005-0000-0000-0000B80E0000}"/>
    <cellStyle name="40% - Akzent1 23" xfId="3765" xr:uid="{00000000-0005-0000-0000-0000B90E0000}"/>
    <cellStyle name="40% - Akzent1 23 2" xfId="3766" xr:uid="{00000000-0005-0000-0000-0000BA0E0000}"/>
    <cellStyle name="40% - Akzent1 24" xfId="3767" xr:uid="{00000000-0005-0000-0000-0000BB0E0000}"/>
    <cellStyle name="40% - Akzent1 24 2" xfId="3768" xr:uid="{00000000-0005-0000-0000-0000BC0E0000}"/>
    <cellStyle name="40% - Akzent1 25" xfId="3769" xr:uid="{00000000-0005-0000-0000-0000BD0E0000}"/>
    <cellStyle name="40% - Akzent1 25 2" xfId="3770" xr:uid="{00000000-0005-0000-0000-0000BE0E0000}"/>
    <cellStyle name="40% - Akzent1 26" xfId="3771" xr:uid="{00000000-0005-0000-0000-0000BF0E0000}"/>
    <cellStyle name="40% - Akzent1 26 2" xfId="3772" xr:uid="{00000000-0005-0000-0000-0000C00E0000}"/>
    <cellStyle name="40% - Akzent1 27" xfId="3773" xr:uid="{00000000-0005-0000-0000-0000C10E0000}"/>
    <cellStyle name="40% - Akzent1 27 2" xfId="3774" xr:uid="{00000000-0005-0000-0000-0000C20E0000}"/>
    <cellStyle name="40% - Akzent1 28" xfId="3775" xr:uid="{00000000-0005-0000-0000-0000C30E0000}"/>
    <cellStyle name="40% - Akzent1 28 2" xfId="3776" xr:uid="{00000000-0005-0000-0000-0000C40E0000}"/>
    <cellStyle name="40% - Akzent1 29" xfId="3777" xr:uid="{00000000-0005-0000-0000-0000C50E0000}"/>
    <cellStyle name="40% - Akzent1 29 2" xfId="3778" xr:uid="{00000000-0005-0000-0000-0000C60E0000}"/>
    <cellStyle name="40% - Akzent1 3" xfId="3779" xr:uid="{00000000-0005-0000-0000-0000C70E0000}"/>
    <cellStyle name="40% - Akzent1 3 2" xfId="3780" xr:uid="{00000000-0005-0000-0000-0000C80E0000}"/>
    <cellStyle name="40% - Akzent1 3 3" xfId="3781" xr:uid="{00000000-0005-0000-0000-0000C90E0000}"/>
    <cellStyle name="40% - Akzent1 3 4" xfId="3782" xr:uid="{00000000-0005-0000-0000-0000CA0E0000}"/>
    <cellStyle name="40% - Akzent1 3 4 2" xfId="3783" xr:uid="{00000000-0005-0000-0000-0000CB0E0000}"/>
    <cellStyle name="40% - Akzent1 3 5" xfId="3784" xr:uid="{00000000-0005-0000-0000-0000CC0E0000}"/>
    <cellStyle name="40% - Akzent1 30" xfId="3785" xr:uid="{00000000-0005-0000-0000-0000CD0E0000}"/>
    <cellStyle name="40% - Akzent1 30 2" xfId="3786" xr:uid="{00000000-0005-0000-0000-0000CE0E0000}"/>
    <cellStyle name="40% - Akzent1 31" xfId="3787" xr:uid="{00000000-0005-0000-0000-0000CF0E0000}"/>
    <cellStyle name="40% - Akzent1 31 2" xfId="3788" xr:uid="{00000000-0005-0000-0000-0000D00E0000}"/>
    <cellStyle name="40% - Akzent1 32" xfId="3789" xr:uid="{00000000-0005-0000-0000-0000D10E0000}"/>
    <cellStyle name="40% - Akzent1 32 2" xfId="3790" xr:uid="{00000000-0005-0000-0000-0000D20E0000}"/>
    <cellStyle name="40% - Akzent1 33" xfId="3791" xr:uid="{00000000-0005-0000-0000-0000D30E0000}"/>
    <cellStyle name="40% - Akzent1 33 2" xfId="3792" xr:uid="{00000000-0005-0000-0000-0000D40E0000}"/>
    <cellStyle name="40% - Akzent1 34" xfId="3793" xr:uid="{00000000-0005-0000-0000-0000D50E0000}"/>
    <cellStyle name="40% - Akzent1 34 2" xfId="3794" xr:uid="{00000000-0005-0000-0000-0000D60E0000}"/>
    <cellStyle name="40% - Akzent1 35" xfId="3795" xr:uid="{00000000-0005-0000-0000-0000D70E0000}"/>
    <cellStyle name="40% - Akzent1 35 2" xfId="3796" xr:uid="{00000000-0005-0000-0000-0000D80E0000}"/>
    <cellStyle name="40% - Akzent1 36" xfId="3797" xr:uid="{00000000-0005-0000-0000-0000D90E0000}"/>
    <cellStyle name="40% - Akzent1 36 2" xfId="3798" xr:uid="{00000000-0005-0000-0000-0000DA0E0000}"/>
    <cellStyle name="40% - Akzent1 37" xfId="3799" xr:uid="{00000000-0005-0000-0000-0000DB0E0000}"/>
    <cellStyle name="40% - Akzent1 37 2" xfId="3800" xr:uid="{00000000-0005-0000-0000-0000DC0E0000}"/>
    <cellStyle name="40% - Akzent1 38" xfId="3801" xr:uid="{00000000-0005-0000-0000-0000DD0E0000}"/>
    <cellStyle name="40% - Akzent1 38 2" xfId="3802" xr:uid="{00000000-0005-0000-0000-0000DE0E0000}"/>
    <cellStyle name="40% - Akzent1 39" xfId="3803" xr:uid="{00000000-0005-0000-0000-0000DF0E0000}"/>
    <cellStyle name="40% - Akzent1 39 2" xfId="3804" xr:uid="{00000000-0005-0000-0000-0000E00E0000}"/>
    <cellStyle name="40% - Akzent1 4" xfId="3805" xr:uid="{00000000-0005-0000-0000-0000E10E0000}"/>
    <cellStyle name="40% - Akzent1 4 2" xfId="3806" xr:uid="{00000000-0005-0000-0000-0000E20E0000}"/>
    <cellStyle name="40% - Akzent1 4 3" xfId="3807" xr:uid="{00000000-0005-0000-0000-0000E30E0000}"/>
    <cellStyle name="40% - Akzent1 4 4" xfId="3808" xr:uid="{00000000-0005-0000-0000-0000E40E0000}"/>
    <cellStyle name="40% - Akzent1 4 4 2" xfId="3809" xr:uid="{00000000-0005-0000-0000-0000E50E0000}"/>
    <cellStyle name="40% - Akzent1 4 5" xfId="3810" xr:uid="{00000000-0005-0000-0000-0000E60E0000}"/>
    <cellStyle name="40% - Akzent1 40" xfId="3811" xr:uid="{00000000-0005-0000-0000-0000E70E0000}"/>
    <cellStyle name="40% - Akzent1 40 2" xfId="3812" xr:uid="{00000000-0005-0000-0000-0000E80E0000}"/>
    <cellStyle name="40% - Akzent1 41" xfId="3813" xr:uid="{00000000-0005-0000-0000-0000E90E0000}"/>
    <cellStyle name="40% - Akzent1 41 2" xfId="3814" xr:uid="{00000000-0005-0000-0000-0000EA0E0000}"/>
    <cellStyle name="40% - Akzent1 42" xfId="3815" xr:uid="{00000000-0005-0000-0000-0000EB0E0000}"/>
    <cellStyle name="40% - Akzent1 42 2" xfId="3816" xr:uid="{00000000-0005-0000-0000-0000EC0E0000}"/>
    <cellStyle name="40% - Akzent1 43" xfId="3817" xr:uid="{00000000-0005-0000-0000-0000ED0E0000}"/>
    <cellStyle name="40% - Akzent1 43 2" xfId="3818" xr:uid="{00000000-0005-0000-0000-0000EE0E0000}"/>
    <cellStyle name="40% - Akzent1 44" xfId="3819" xr:uid="{00000000-0005-0000-0000-0000EF0E0000}"/>
    <cellStyle name="40% - Akzent1 44 2" xfId="3820" xr:uid="{00000000-0005-0000-0000-0000F00E0000}"/>
    <cellStyle name="40% - Akzent1 45" xfId="3821" xr:uid="{00000000-0005-0000-0000-0000F10E0000}"/>
    <cellStyle name="40% - Akzent1 45 2" xfId="3822" xr:uid="{00000000-0005-0000-0000-0000F20E0000}"/>
    <cellStyle name="40% - Akzent1 46" xfId="3823" xr:uid="{00000000-0005-0000-0000-0000F30E0000}"/>
    <cellStyle name="40% - Akzent1 46 2" xfId="3824" xr:uid="{00000000-0005-0000-0000-0000F40E0000}"/>
    <cellStyle name="40% - Akzent1 47" xfId="3825" xr:uid="{00000000-0005-0000-0000-0000F50E0000}"/>
    <cellStyle name="40% - Akzent1 47 2" xfId="3826" xr:uid="{00000000-0005-0000-0000-0000F60E0000}"/>
    <cellStyle name="40% - Akzent1 48" xfId="3827" xr:uid="{00000000-0005-0000-0000-0000F70E0000}"/>
    <cellStyle name="40% - Akzent1 48 2" xfId="3828" xr:uid="{00000000-0005-0000-0000-0000F80E0000}"/>
    <cellStyle name="40% - Akzent1 49" xfId="3829" xr:uid="{00000000-0005-0000-0000-0000F90E0000}"/>
    <cellStyle name="40% - Akzent1 49 2" xfId="3830" xr:uid="{00000000-0005-0000-0000-0000FA0E0000}"/>
    <cellStyle name="40% - Akzent1 5" xfId="3831" xr:uid="{00000000-0005-0000-0000-0000FB0E0000}"/>
    <cellStyle name="40% - Akzent1 5 2" xfId="3832" xr:uid="{00000000-0005-0000-0000-0000FC0E0000}"/>
    <cellStyle name="40% - Akzent1 50" xfId="3833" xr:uid="{00000000-0005-0000-0000-0000FD0E0000}"/>
    <cellStyle name="40% - Akzent1 50 2" xfId="3834" xr:uid="{00000000-0005-0000-0000-0000FE0E0000}"/>
    <cellStyle name="40% - Akzent1 51" xfId="3835" xr:uid="{00000000-0005-0000-0000-0000FF0E0000}"/>
    <cellStyle name="40% - Akzent1 51 2" xfId="3836" xr:uid="{00000000-0005-0000-0000-0000000F0000}"/>
    <cellStyle name="40% - Akzent1 52" xfId="3837" xr:uid="{00000000-0005-0000-0000-0000010F0000}"/>
    <cellStyle name="40% - Akzent1 52 2" xfId="3838" xr:uid="{00000000-0005-0000-0000-0000020F0000}"/>
    <cellStyle name="40% - Akzent1 53" xfId="3839" xr:uid="{00000000-0005-0000-0000-0000030F0000}"/>
    <cellStyle name="40% - Akzent1 53 2" xfId="3840" xr:uid="{00000000-0005-0000-0000-0000040F0000}"/>
    <cellStyle name="40% - Akzent1 54" xfId="3841" xr:uid="{00000000-0005-0000-0000-0000050F0000}"/>
    <cellStyle name="40% - Akzent1 54 2" xfId="3842" xr:uid="{00000000-0005-0000-0000-0000060F0000}"/>
    <cellStyle name="40% - Akzent1 55" xfId="3843" xr:uid="{00000000-0005-0000-0000-0000070F0000}"/>
    <cellStyle name="40% - Akzent1 55 2" xfId="3844" xr:uid="{00000000-0005-0000-0000-0000080F0000}"/>
    <cellStyle name="40% - Akzent1 56" xfId="3845" xr:uid="{00000000-0005-0000-0000-0000090F0000}"/>
    <cellStyle name="40% - Akzent1 56 2" xfId="3846" xr:uid="{00000000-0005-0000-0000-00000A0F0000}"/>
    <cellStyle name="40% - Akzent1 57" xfId="3847" xr:uid="{00000000-0005-0000-0000-00000B0F0000}"/>
    <cellStyle name="40% - Akzent1 57 2" xfId="3848" xr:uid="{00000000-0005-0000-0000-00000C0F0000}"/>
    <cellStyle name="40% - Akzent1 58" xfId="3849" xr:uid="{00000000-0005-0000-0000-00000D0F0000}"/>
    <cellStyle name="40% - Akzent1 58 2" xfId="3850" xr:uid="{00000000-0005-0000-0000-00000E0F0000}"/>
    <cellStyle name="40% - Akzent1 59" xfId="3851" xr:uid="{00000000-0005-0000-0000-00000F0F0000}"/>
    <cellStyle name="40% - Akzent1 59 2" xfId="3852" xr:uid="{00000000-0005-0000-0000-0000100F0000}"/>
    <cellStyle name="40% - Akzent1 6" xfId="3853" xr:uid="{00000000-0005-0000-0000-0000110F0000}"/>
    <cellStyle name="40% - Akzent1 6 2" xfId="3854" xr:uid="{00000000-0005-0000-0000-0000120F0000}"/>
    <cellStyle name="40% - Akzent1 60" xfId="3855" xr:uid="{00000000-0005-0000-0000-0000130F0000}"/>
    <cellStyle name="40% - Akzent1 60 2" xfId="3856" xr:uid="{00000000-0005-0000-0000-0000140F0000}"/>
    <cellStyle name="40% - Akzent1 61" xfId="3857" xr:uid="{00000000-0005-0000-0000-0000150F0000}"/>
    <cellStyle name="40% - Akzent1 61 2" xfId="3858" xr:uid="{00000000-0005-0000-0000-0000160F0000}"/>
    <cellStyle name="40% - Akzent1 62" xfId="3859" xr:uid="{00000000-0005-0000-0000-0000170F0000}"/>
    <cellStyle name="40% - Akzent1 62 2" xfId="3860" xr:uid="{00000000-0005-0000-0000-0000180F0000}"/>
    <cellStyle name="40% - Akzent1 63" xfId="3861" xr:uid="{00000000-0005-0000-0000-0000190F0000}"/>
    <cellStyle name="40% - Akzent1 63 2" xfId="3862" xr:uid="{00000000-0005-0000-0000-00001A0F0000}"/>
    <cellStyle name="40% - Akzent1 64" xfId="3863" xr:uid="{00000000-0005-0000-0000-00001B0F0000}"/>
    <cellStyle name="40% - Akzent1 64 2" xfId="3864" xr:uid="{00000000-0005-0000-0000-00001C0F0000}"/>
    <cellStyle name="40% - Akzent1 65" xfId="3865" xr:uid="{00000000-0005-0000-0000-00001D0F0000}"/>
    <cellStyle name="40% - Akzent1 65 2" xfId="3866" xr:uid="{00000000-0005-0000-0000-00001E0F0000}"/>
    <cellStyle name="40% - Akzent1 66" xfId="3867" xr:uid="{00000000-0005-0000-0000-00001F0F0000}"/>
    <cellStyle name="40% - Akzent1 66 2" xfId="3868" xr:uid="{00000000-0005-0000-0000-0000200F0000}"/>
    <cellStyle name="40% - Akzent1 67" xfId="3869" xr:uid="{00000000-0005-0000-0000-0000210F0000}"/>
    <cellStyle name="40% - Akzent1 67 2" xfId="3870" xr:uid="{00000000-0005-0000-0000-0000220F0000}"/>
    <cellStyle name="40% - Akzent1 68" xfId="3871" xr:uid="{00000000-0005-0000-0000-0000230F0000}"/>
    <cellStyle name="40% - Akzent1 68 2" xfId="3872" xr:uid="{00000000-0005-0000-0000-0000240F0000}"/>
    <cellStyle name="40% - Akzent1 69" xfId="3873" xr:uid="{00000000-0005-0000-0000-0000250F0000}"/>
    <cellStyle name="40% - Akzent1 69 2" xfId="3874" xr:uid="{00000000-0005-0000-0000-0000260F0000}"/>
    <cellStyle name="40% - Akzent1 7" xfId="3875" xr:uid="{00000000-0005-0000-0000-0000270F0000}"/>
    <cellStyle name="40% - Akzent1 7 2" xfId="3876" xr:uid="{00000000-0005-0000-0000-0000280F0000}"/>
    <cellStyle name="40% - Akzent1 70" xfId="3877" xr:uid="{00000000-0005-0000-0000-0000290F0000}"/>
    <cellStyle name="40% - Akzent1 70 2" xfId="3878" xr:uid="{00000000-0005-0000-0000-00002A0F0000}"/>
    <cellStyle name="40% - Akzent1 71" xfId="3879" xr:uid="{00000000-0005-0000-0000-00002B0F0000}"/>
    <cellStyle name="40% - Akzent1 71 2" xfId="3880" xr:uid="{00000000-0005-0000-0000-00002C0F0000}"/>
    <cellStyle name="40% - Akzent1 72" xfId="3881" xr:uid="{00000000-0005-0000-0000-00002D0F0000}"/>
    <cellStyle name="40% - Akzent1 72 2" xfId="3882" xr:uid="{00000000-0005-0000-0000-00002E0F0000}"/>
    <cellStyle name="40% - Akzent1 73" xfId="3883" xr:uid="{00000000-0005-0000-0000-00002F0F0000}"/>
    <cellStyle name="40% - Akzent1 73 2" xfId="3884" xr:uid="{00000000-0005-0000-0000-0000300F0000}"/>
    <cellStyle name="40% - Akzent1 74" xfId="3885" xr:uid="{00000000-0005-0000-0000-0000310F0000}"/>
    <cellStyle name="40% - Akzent1 74 2" xfId="3886" xr:uid="{00000000-0005-0000-0000-0000320F0000}"/>
    <cellStyle name="40% - Akzent1 75" xfId="3887" xr:uid="{00000000-0005-0000-0000-0000330F0000}"/>
    <cellStyle name="40% - Akzent1 75 2" xfId="3888" xr:uid="{00000000-0005-0000-0000-0000340F0000}"/>
    <cellStyle name="40% - Akzent1 76" xfId="3889" xr:uid="{00000000-0005-0000-0000-0000350F0000}"/>
    <cellStyle name="40% - Akzent1 76 2" xfId="3890" xr:uid="{00000000-0005-0000-0000-0000360F0000}"/>
    <cellStyle name="40% - Akzent1 77" xfId="3891" xr:uid="{00000000-0005-0000-0000-0000370F0000}"/>
    <cellStyle name="40% - Akzent1 77 2" xfId="3892" xr:uid="{00000000-0005-0000-0000-0000380F0000}"/>
    <cellStyle name="40% - Akzent1 78" xfId="3893" xr:uid="{00000000-0005-0000-0000-0000390F0000}"/>
    <cellStyle name="40% - Akzent1 78 2" xfId="3894" xr:uid="{00000000-0005-0000-0000-00003A0F0000}"/>
    <cellStyle name="40% - Akzent1 79" xfId="3895" xr:uid="{00000000-0005-0000-0000-00003B0F0000}"/>
    <cellStyle name="40% - Akzent1 79 2" xfId="3896" xr:uid="{00000000-0005-0000-0000-00003C0F0000}"/>
    <cellStyle name="40% - Akzent1 8" xfId="3897" xr:uid="{00000000-0005-0000-0000-00003D0F0000}"/>
    <cellStyle name="40% - Akzent1 8 2" xfId="3898" xr:uid="{00000000-0005-0000-0000-00003E0F0000}"/>
    <cellStyle name="40% - Akzent1 80" xfId="3899" xr:uid="{00000000-0005-0000-0000-00003F0F0000}"/>
    <cellStyle name="40% - Akzent1 80 2" xfId="3900" xr:uid="{00000000-0005-0000-0000-0000400F0000}"/>
    <cellStyle name="40% - Akzent1 81" xfId="3901" xr:uid="{00000000-0005-0000-0000-0000410F0000}"/>
    <cellStyle name="40% - Akzent1 81 2" xfId="3902" xr:uid="{00000000-0005-0000-0000-0000420F0000}"/>
    <cellStyle name="40% - Akzent1 82" xfId="3903" xr:uid="{00000000-0005-0000-0000-0000430F0000}"/>
    <cellStyle name="40% - Akzent1 82 2" xfId="3904" xr:uid="{00000000-0005-0000-0000-0000440F0000}"/>
    <cellStyle name="40% - Akzent1 83" xfId="3905" xr:uid="{00000000-0005-0000-0000-0000450F0000}"/>
    <cellStyle name="40% - Akzent1 83 2" xfId="3906" xr:uid="{00000000-0005-0000-0000-0000460F0000}"/>
    <cellStyle name="40% - Akzent1 84" xfId="3907" xr:uid="{00000000-0005-0000-0000-0000470F0000}"/>
    <cellStyle name="40% - Akzent1 84 2" xfId="3908" xr:uid="{00000000-0005-0000-0000-0000480F0000}"/>
    <cellStyle name="40% - Akzent1 85" xfId="3909" xr:uid="{00000000-0005-0000-0000-0000490F0000}"/>
    <cellStyle name="40% - Akzent1 85 2" xfId="3910" xr:uid="{00000000-0005-0000-0000-00004A0F0000}"/>
    <cellStyle name="40% - Akzent1 86" xfId="3911" xr:uid="{00000000-0005-0000-0000-00004B0F0000}"/>
    <cellStyle name="40% - Akzent1 86 2" xfId="3912" xr:uid="{00000000-0005-0000-0000-00004C0F0000}"/>
    <cellStyle name="40% - Akzent1 87" xfId="3913" xr:uid="{00000000-0005-0000-0000-00004D0F0000}"/>
    <cellStyle name="40% - Akzent1 87 2" xfId="3914" xr:uid="{00000000-0005-0000-0000-00004E0F0000}"/>
    <cellStyle name="40% - Akzent1 88" xfId="3915" xr:uid="{00000000-0005-0000-0000-00004F0F0000}"/>
    <cellStyle name="40% - Akzent1 88 2" xfId="3916" xr:uid="{00000000-0005-0000-0000-0000500F0000}"/>
    <cellStyle name="40% - Akzent1 89" xfId="3917" xr:uid="{00000000-0005-0000-0000-0000510F0000}"/>
    <cellStyle name="40% - Akzent1 89 2" xfId="3918" xr:uid="{00000000-0005-0000-0000-0000520F0000}"/>
    <cellStyle name="40% - Akzent1 9" xfId="3919" xr:uid="{00000000-0005-0000-0000-0000530F0000}"/>
    <cellStyle name="40% - Akzent1 9 2" xfId="3920" xr:uid="{00000000-0005-0000-0000-0000540F0000}"/>
    <cellStyle name="40% - Akzent1 90" xfId="3921" xr:uid="{00000000-0005-0000-0000-0000550F0000}"/>
    <cellStyle name="40% - Akzent1 90 2" xfId="3922" xr:uid="{00000000-0005-0000-0000-0000560F0000}"/>
    <cellStyle name="40% - Akzent1 91" xfId="3923" xr:uid="{00000000-0005-0000-0000-0000570F0000}"/>
    <cellStyle name="40% - Akzent1 91 2" xfId="3924" xr:uid="{00000000-0005-0000-0000-0000580F0000}"/>
    <cellStyle name="40% - Akzent1 92" xfId="3925" xr:uid="{00000000-0005-0000-0000-0000590F0000}"/>
    <cellStyle name="40% - Akzent1 92 2" xfId="3926" xr:uid="{00000000-0005-0000-0000-00005A0F0000}"/>
    <cellStyle name="40% - Akzent1 93" xfId="3927" xr:uid="{00000000-0005-0000-0000-00005B0F0000}"/>
    <cellStyle name="40% - Akzent1 93 2" xfId="3928" xr:uid="{00000000-0005-0000-0000-00005C0F0000}"/>
    <cellStyle name="40% - Akzent1 94" xfId="3929" xr:uid="{00000000-0005-0000-0000-00005D0F0000}"/>
    <cellStyle name="40% - Akzent1 94 2" xfId="3930" xr:uid="{00000000-0005-0000-0000-00005E0F0000}"/>
    <cellStyle name="40% - Akzent1 95" xfId="3931" xr:uid="{00000000-0005-0000-0000-00005F0F0000}"/>
    <cellStyle name="40% - Akzent1 95 2" xfId="3932" xr:uid="{00000000-0005-0000-0000-0000600F0000}"/>
    <cellStyle name="40% - Akzent1 96" xfId="3933" xr:uid="{00000000-0005-0000-0000-0000610F0000}"/>
    <cellStyle name="40% - Akzent1 96 2" xfId="3934" xr:uid="{00000000-0005-0000-0000-0000620F0000}"/>
    <cellStyle name="40% - Akzent1 97" xfId="3935" xr:uid="{00000000-0005-0000-0000-0000630F0000}"/>
    <cellStyle name="40% - Akzent1 97 2" xfId="3936" xr:uid="{00000000-0005-0000-0000-0000640F0000}"/>
    <cellStyle name="40% - Akzent1 98" xfId="3937" xr:uid="{00000000-0005-0000-0000-0000650F0000}"/>
    <cellStyle name="40% - Akzent1 98 2" xfId="3938" xr:uid="{00000000-0005-0000-0000-0000660F0000}"/>
    <cellStyle name="40% - Akzent1 99" xfId="3939" xr:uid="{00000000-0005-0000-0000-0000670F0000}"/>
    <cellStyle name="40% - Akzent1 99 2" xfId="3940" xr:uid="{00000000-0005-0000-0000-0000680F0000}"/>
    <cellStyle name="40% - Akzent2 10" xfId="3941" xr:uid="{00000000-0005-0000-0000-0000690F0000}"/>
    <cellStyle name="40% - Akzent2 100" xfId="3942" xr:uid="{00000000-0005-0000-0000-00006A0F0000}"/>
    <cellStyle name="40% - Akzent2 101" xfId="3943" xr:uid="{00000000-0005-0000-0000-00006B0F0000}"/>
    <cellStyle name="40% - Akzent2 102" xfId="3944" xr:uid="{00000000-0005-0000-0000-00006C0F0000}"/>
    <cellStyle name="40% - Akzent2 103" xfId="3945" xr:uid="{00000000-0005-0000-0000-00006D0F0000}"/>
    <cellStyle name="40% - Akzent2 104" xfId="3946" xr:uid="{00000000-0005-0000-0000-00006E0F0000}"/>
    <cellStyle name="40% - Akzent2 105" xfId="3947" xr:uid="{00000000-0005-0000-0000-00006F0F0000}"/>
    <cellStyle name="40% - Akzent2 106" xfId="3948" xr:uid="{00000000-0005-0000-0000-0000700F0000}"/>
    <cellStyle name="40% - Akzent2 107" xfId="3949" xr:uid="{00000000-0005-0000-0000-0000710F0000}"/>
    <cellStyle name="40% - Akzent2 11" xfId="3950" xr:uid="{00000000-0005-0000-0000-0000720F0000}"/>
    <cellStyle name="40% - Akzent2 12" xfId="3951" xr:uid="{00000000-0005-0000-0000-0000730F0000}"/>
    <cellStyle name="40% - Akzent2 13" xfId="3952" xr:uid="{00000000-0005-0000-0000-0000740F0000}"/>
    <cellStyle name="40% - Akzent2 14" xfId="3953" xr:uid="{00000000-0005-0000-0000-0000750F0000}"/>
    <cellStyle name="40% - Akzent2 15" xfId="3954" xr:uid="{00000000-0005-0000-0000-0000760F0000}"/>
    <cellStyle name="40% - Akzent2 16" xfId="3955" xr:uid="{00000000-0005-0000-0000-0000770F0000}"/>
    <cellStyle name="40% - Akzent2 17" xfId="3956" xr:uid="{00000000-0005-0000-0000-0000780F0000}"/>
    <cellStyle name="40% - Akzent2 18" xfId="3957" xr:uid="{00000000-0005-0000-0000-0000790F0000}"/>
    <cellStyle name="40% - Akzent2 19" xfId="3958" xr:uid="{00000000-0005-0000-0000-00007A0F0000}"/>
    <cellStyle name="40% - Akzent2 2" xfId="3959" xr:uid="{00000000-0005-0000-0000-00007B0F0000}"/>
    <cellStyle name="40% - Akzent2 2 2" xfId="3960" xr:uid="{00000000-0005-0000-0000-00007C0F0000}"/>
    <cellStyle name="40% - Akzent2 2 3" xfId="3961" xr:uid="{00000000-0005-0000-0000-00007D0F0000}"/>
    <cellStyle name="40% - Akzent2 2 4" xfId="3962" xr:uid="{00000000-0005-0000-0000-00007E0F0000}"/>
    <cellStyle name="40% - Akzent2 2 4 2" xfId="3963" xr:uid="{00000000-0005-0000-0000-00007F0F0000}"/>
    <cellStyle name="40% - Akzent2 2 5" xfId="3964" xr:uid="{00000000-0005-0000-0000-0000800F0000}"/>
    <cellStyle name="40% - Akzent2 20" xfId="3965" xr:uid="{00000000-0005-0000-0000-0000810F0000}"/>
    <cellStyle name="40% - Akzent2 21" xfId="3966" xr:uid="{00000000-0005-0000-0000-0000820F0000}"/>
    <cellStyle name="40% - Akzent2 22" xfId="3967" xr:uid="{00000000-0005-0000-0000-0000830F0000}"/>
    <cellStyle name="40% - Akzent2 23" xfId="3968" xr:uid="{00000000-0005-0000-0000-0000840F0000}"/>
    <cellStyle name="40% - Akzent2 24" xfId="3969" xr:uid="{00000000-0005-0000-0000-0000850F0000}"/>
    <cellStyle name="40% - Akzent2 25" xfId="3970" xr:uid="{00000000-0005-0000-0000-0000860F0000}"/>
    <cellStyle name="40% - Akzent2 26" xfId="3971" xr:uid="{00000000-0005-0000-0000-0000870F0000}"/>
    <cellStyle name="40% - Akzent2 27" xfId="3972" xr:uid="{00000000-0005-0000-0000-0000880F0000}"/>
    <cellStyle name="40% - Akzent2 28" xfId="3973" xr:uid="{00000000-0005-0000-0000-0000890F0000}"/>
    <cellStyle name="40% - Akzent2 29" xfId="3974" xr:uid="{00000000-0005-0000-0000-00008A0F0000}"/>
    <cellStyle name="40% - Akzent2 3" xfId="3975" xr:uid="{00000000-0005-0000-0000-00008B0F0000}"/>
    <cellStyle name="40% - Akzent2 3 2" xfId="3976" xr:uid="{00000000-0005-0000-0000-00008C0F0000}"/>
    <cellStyle name="40% - Akzent2 3 3" xfId="3977" xr:uid="{00000000-0005-0000-0000-00008D0F0000}"/>
    <cellStyle name="40% - Akzent2 3 4" xfId="3978" xr:uid="{00000000-0005-0000-0000-00008E0F0000}"/>
    <cellStyle name="40% - Akzent2 3 4 2" xfId="3979" xr:uid="{00000000-0005-0000-0000-00008F0F0000}"/>
    <cellStyle name="40% - Akzent2 3 5" xfId="3980" xr:uid="{00000000-0005-0000-0000-0000900F0000}"/>
    <cellStyle name="40% - Akzent2 30" xfId="3981" xr:uid="{00000000-0005-0000-0000-0000910F0000}"/>
    <cellStyle name="40% - Akzent2 31" xfId="3982" xr:uid="{00000000-0005-0000-0000-0000920F0000}"/>
    <cellStyle name="40% - Akzent2 32" xfId="3983" xr:uid="{00000000-0005-0000-0000-0000930F0000}"/>
    <cellStyle name="40% - Akzent2 33" xfId="3984" xr:uid="{00000000-0005-0000-0000-0000940F0000}"/>
    <cellStyle name="40% - Akzent2 34" xfId="3985" xr:uid="{00000000-0005-0000-0000-0000950F0000}"/>
    <cellStyle name="40% - Akzent2 35" xfId="3986" xr:uid="{00000000-0005-0000-0000-0000960F0000}"/>
    <cellStyle name="40% - Akzent2 36" xfId="3987" xr:uid="{00000000-0005-0000-0000-0000970F0000}"/>
    <cellStyle name="40% - Akzent2 37" xfId="3988" xr:uid="{00000000-0005-0000-0000-0000980F0000}"/>
    <cellStyle name="40% - Akzent2 38" xfId="3989" xr:uid="{00000000-0005-0000-0000-0000990F0000}"/>
    <cellStyle name="40% - Akzent2 39" xfId="3990" xr:uid="{00000000-0005-0000-0000-00009A0F0000}"/>
    <cellStyle name="40% - Akzent2 4" xfId="3991" xr:uid="{00000000-0005-0000-0000-00009B0F0000}"/>
    <cellStyle name="40% - Akzent2 4 2" xfId="3992" xr:uid="{00000000-0005-0000-0000-00009C0F0000}"/>
    <cellStyle name="40% - Akzent2 4 3" xfId="3993" xr:uid="{00000000-0005-0000-0000-00009D0F0000}"/>
    <cellStyle name="40% - Akzent2 4 4" xfId="3994" xr:uid="{00000000-0005-0000-0000-00009E0F0000}"/>
    <cellStyle name="40% - Akzent2 4 4 2" xfId="3995" xr:uid="{00000000-0005-0000-0000-00009F0F0000}"/>
    <cellStyle name="40% - Akzent2 4 5" xfId="3996" xr:uid="{00000000-0005-0000-0000-0000A00F0000}"/>
    <cellStyle name="40% - Akzent2 40" xfId="3997" xr:uid="{00000000-0005-0000-0000-0000A10F0000}"/>
    <cellStyle name="40% - Akzent2 41" xfId="3998" xr:uid="{00000000-0005-0000-0000-0000A20F0000}"/>
    <cellStyle name="40% - Akzent2 42" xfId="3999" xr:uid="{00000000-0005-0000-0000-0000A30F0000}"/>
    <cellStyle name="40% - Akzent2 43" xfId="4000" xr:uid="{00000000-0005-0000-0000-0000A40F0000}"/>
    <cellStyle name="40% - Akzent2 44" xfId="4001" xr:uid="{00000000-0005-0000-0000-0000A50F0000}"/>
    <cellStyle name="40% - Akzent2 45" xfId="4002" xr:uid="{00000000-0005-0000-0000-0000A60F0000}"/>
    <cellStyle name="40% - Akzent2 46" xfId="4003" xr:uid="{00000000-0005-0000-0000-0000A70F0000}"/>
    <cellStyle name="40% - Akzent2 47" xfId="4004" xr:uid="{00000000-0005-0000-0000-0000A80F0000}"/>
    <cellStyle name="40% - Akzent2 48" xfId="4005" xr:uid="{00000000-0005-0000-0000-0000A90F0000}"/>
    <cellStyle name="40% - Akzent2 49" xfId="4006" xr:uid="{00000000-0005-0000-0000-0000AA0F0000}"/>
    <cellStyle name="40% - Akzent2 5" xfId="4007" xr:uid="{00000000-0005-0000-0000-0000AB0F0000}"/>
    <cellStyle name="40% - Akzent2 50" xfId="4008" xr:uid="{00000000-0005-0000-0000-0000AC0F0000}"/>
    <cellStyle name="40% - Akzent2 51" xfId="4009" xr:uid="{00000000-0005-0000-0000-0000AD0F0000}"/>
    <cellStyle name="40% - Akzent2 52" xfId="4010" xr:uid="{00000000-0005-0000-0000-0000AE0F0000}"/>
    <cellStyle name="40% - Akzent2 53" xfId="4011" xr:uid="{00000000-0005-0000-0000-0000AF0F0000}"/>
    <cellStyle name="40% - Akzent2 54" xfId="4012" xr:uid="{00000000-0005-0000-0000-0000B00F0000}"/>
    <cellStyle name="40% - Akzent2 55" xfId="4013" xr:uid="{00000000-0005-0000-0000-0000B10F0000}"/>
    <cellStyle name="40% - Akzent2 56" xfId="4014" xr:uid="{00000000-0005-0000-0000-0000B20F0000}"/>
    <cellStyle name="40% - Akzent2 57" xfId="4015" xr:uid="{00000000-0005-0000-0000-0000B30F0000}"/>
    <cellStyle name="40% - Akzent2 58" xfId="4016" xr:uid="{00000000-0005-0000-0000-0000B40F0000}"/>
    <cellStyle name="40% - Akzent2 59" xfId="4017" xr:uid="{00000000-0005-0000-0000-0000B50F0000}"/>
    <cellStyle name="40% - Akzent2 6" xfId="4018" xr:uid="{00000000-0005-0000-0000-0000B60F0000}"/>
    <cellStyle name="40% - Akzent2 60" xfId="4019" xr:uid="{00000000-0005-0000-0000-0000B70F0000}"/>
    <cellStyle name="40% - Akzent2 61" xfId="4020" xr:uid="{00000000-0005-0000-0000-0000B80F0000}"/>
    <cellStyle name="40% - Akzent2 62" xfId="4021" xr:uid="{00000000-0005-0000-0000-0000B90F0000}"/>
    <cellStyle name="40% - Akzent2 63" xfId="4022" xr:uid="{00000000-0005-0000-0000-0000BA0F0000}"/>
    <cellStyle name="40% - Akzent2 64" xfId="4023" xr:uid="{00000000-0005-0000-0000-0000BB0F0000}"/>
    <cellStyle name="40% - Akzent2 65" xfId="4024" xr:uid="{00000000-0005-0000-0000-0000BC0F0000}"/>
    <cellStyle name="40% - Akzent2 66" xfId="4025" xr:uid="{00000000-0005-0000-0000-0000BD0F0000}"/>
    <cellStyle name="40% - Akzent2 67" xfId="4026" xr:uid="{00000000-0005-0000-0000-0000BE0F0000}"/>
    <cellStyle name="40% - Akzent2 68" xfId="4027" xr:uid="{00000000-0005-0000-0000-0000BF0F0000}"/>
    <cellStyle name="40% - Akzent2 69" xfId="4028" xr:uid="{00000000-0005-0000-0000-0000C00F0000}"/>
    <cellStyle name="40% - Akzent2 7" xfId="4029" xr:uid="{00000000-0005-0000-0000-0000C10F0000}"/>
    <cellStyle name="40% - Akzent2 70" xfId="4030" xr:uid="{00000000-0005-0000-0000-0000C20F0000}"/>
    <cellStyle name="40% - Akzent2 70 2" xfId="13448" xr:uid="{00000000-0005-0000-0000-0000C30F0000}"/>
    <cellStyle name="40% - Akzent2 70_est. MEAT" xfId="21059" xr:uid="{00000000-0005-0000-0000-0000C40F0000}"/>
    <cellStyle name="40% - Akzent2 71" xfId="4031" xr:uid="{00000000-0005-0000-0000-0000C50F0000}"/>
    <cellStyle name="40% - Akzent2 71 2" xfId="13449" xr:uid="{00000000-0005-0000-0000-0000C60F0000}"/>
    <cellStyle name="40% - Akzent2 71_est. MEAT" xfId="21060" xr:uid="{00000000-0005-0000-0000-0000C70F0000}"/>
    <cellStyle name="40% - Akzent2 72" xfId="4032" xr:uid="{00000000-0005-0000-0000-0000C80F0000}"/>
    <cellStyle name="40% - Akzent2 72 2" xfId="13450" xr:uid="{00000000-0005-0000-0000-0000C90F0000}"/>
    <cellStyle name="40% - Akzent2 72_est. MEAT" xfId="21061" xr:uid="{00000000-0005-0000-0000-0000CA0F0000}"/>
    <cellStyle name="40% - Akzent2 73" xfId="4033" xr:uid="{00000000-0005-0000-0000-0000CB0F0000}"/>
    <cellStyle name="40% - Akzent2 73 2" xfId="13451" xr:uid="{00000000-0005-0000-0000-0000CC0F0000}"/>
    <cellStyle name="40% - Akzent2 73_est. MEAT" xfId="21062" xr:uid="{00000000-0005-0000-0000-0000CD0F0000}"/>
    <cellStyle name="40% - Akzent2 74" xfId="4034" xr:uid="{00000000-0005-0000-0000-0000CE0F0000}"/>
    <cellStyle name="40% - Akzent2 74 2" xfId="13452" xr:uid="{00000000-0005-0000-0000-0000CF0F0000}"/>
    <cellStyle name="40% - Akzent2 74_est. MEAT" xfId="21063" xr:uid="{00000000-0005-0000-0000-0000D00F0000}"/>
    <cellStyle name="40% - Akzent2 75" xfId="4035" xr:uid="{00000000-0005-0000-0000-0000D10F0000}"/>
    <cellStyle name="40% - Akzent2 75 2" xfId="13453" xr:uid="{00000000-0005-0000-0000-0000D20F0000}"/>
    <cellStyle name="40% - Akzent2 75_est. MEAT" xfId="21064" xr:uid="{00000000-0005-0000-0000-0000D30F0000}"/>
    <cellStyle name="40% - Akzent2 76" xfId="4036" xr:uid="{00000000-0005-0000-0000-0000D40F0000}"/>
    <cellStyle name="40% - Akzent2 76 2" xfId="13454" xr:uid="{00000000-0005-0000-0000-0000D50F0000}"/>
    <cellStyle name="40% - Akzent2 76_est. MEAT" xfId="21065" xr:uid="{00000000-0005-0000-0000-0000D60F0000}"/>
    <cellStyle name="40% - Akzent2 77" xfId="4037" xr:uid="{00000000-0005-0000-0000-0000D70F0000}"/>
    <cellStyle name="40% - Akzent2 77 2" xfId="13455" xr:uid="{00000000-0005-0000-0000-0000D80F0000}"/>
    <cellStyle name="40% - Akzent2 77_est. MEAT" xfId="21066" xr:uid="{00000000-0005-0000-0000-0000D90F0000}"/>
    <cellStyle name="40% - Akzent2 78" xfId="4038" xr:uid="{00000000-0005-0000-0000-0000DA0F0000}"/>
    <cellStyle name="40% - Akzent2 78 2" xfId="13456" xr:uid="{00000000-0005-0000-0000-0000DB0F0000}"/>
    <cellStyle name="40% - Akzent2 78_est. MEAT" xfId="21067" xr:uid="{00000000-0005-0000-0000-0000DC0F0000}"/>
    <cellStyle name="40% - Akzent2 79" xfId="4039" xr:uid="{00000000-0005-0000-0000-0000DD0F0000}"/>
    <cellStyle name="40% - Akzent2 79 2" xfId="13457" xr:uid="{00000000-0005-0000-0000-0000DE0F0000}"/>
    <cellStyle name="40% - Akzent2 79_est. MEAT" xfId="21068" xr:uid="{00000000-0005-0000-0000-0000DF0F0000}"/>
    <cellStyle name="40% - Akzent2 8" xfId="4040" xr:uid="{00000000-0005-0000-0000-0000E00F0000}"/>
    <cellStyle name="40% - Akzent2 8 2" xfId="13458" xr:uid="{00000000-0005-0000-0000-0000E10F0000}"/>
    <cellStyle name="40% - Akzent2 8_est. MEAT" xfId="21069" xr:uid="{00000000-0005-0000-0000-0000E20F0000}"/>
    <cellStyle name="40% - Akzent2 80" xfId="4041" xr:uid="{00000000-0005-0000-0000-0000E30F0000}"/>
    <cellStyle name="40% - Akzent2 80 2" xfId="13459" xr:uid="{00000000-0005-0000-0000-0000E40F0000}"/>
    <cellStyle name="40% - Akzent2 80_est. MEAT" xfId="21070" xr:uid="{00000000-0005-0000-0000-0000E50F0000}"/>
    <cellStyle name="40% - Akzent2 81" xfId="4042" xr:uid="{00000000-0005-0000-0000-0000E60F0000}"/>
    <cellStyle name="40% - Akzent2 81 2" xfId="13460" xr:uid="{00000000-0005-0000-0000-0000E70F0000}"/>
    <cellStyle name="40% - Akzent2 81_est. MEAT" xfId="21071" xr:uid="{00000000-0005-0000-0000-0000E80F0000}"/>
    <cellStyle name="40% - Akzent2 82" xfId="4043" xr:uid="{00000000-0005-0000-0000-0000E90F0000}"/>
    <cellStyle name="40% - Akzent2 82 2" xfId="13461" xr:uid="{00000000-0005-0000-0000-0000EA0F0000}"/>
    <cellStyle name="40% - Akzent2 82_est. MEAT" xfId="21072" xr:uid="{00000000-0005-0000-0000-0000EB0F0000}"/>
    <cellStyle name="40% - Akzent2 83" xfId="4044" xr:uid="{00000000-0005-0000-0000-0000EC0F0000}"/>
    <cellStyle name="40% - Akzent2 83 2" xfId="13462" xr:uid="{00000000-0005-0000-0000-0000ED0F0000}"/>
    <cellStyle name="40% - Akzent2 83_est. MEAT" xfId="21073" xr:uid="{00000000-0005-0000-0000-0000EE0F0000}"/>
    <cellStyle name="40% - Akzent2 84" xfId="4045" xr:uid="{00000000-0005-0000-0000-0000EF0F0000}"/>
    <cellStyle name="40% - Akzent2 84 2" xfId="13463" xr:uid="{00000000-0005-0000-0000-0000F00F0000}"/>
    <cellStyle name="40% - Akzent2 84_est. MEAT" xfId="21074" xr:uid="{00000000-0005-0000-0000-0000F10F0000}"/>
    <cellStyle name="40% - Akzent2 85" xfId="4046" xr:uid="{00000000-0005-0000-0000-0000F20F0000}"/>
    <cellStyle name="40% - Akzent2 85 2" xfId="13464" xr:uid="{00000000-0005-0000-0000-0000F30F0000}"/>
    <cellStyle name="40% - Akzent2 85_est. MEAT" xfId="21075" xr:uid="{00000000-0005-0000-0000-0000F40F0000}"/>
    <cellStyle name="40% - Akzent2 86" xfId="4047" xr:uid="{00000000-0005-0000-0000-0000F50F0000}"/>
    <cellStyle name="40% - Akzent2 86 2" xfId="13465" xr:uid="{00000000-0005-0000-0000-0000F60F0000}"/>
    <cellStyle name="40% - Akzent2 86_est. MEAT" xfId="21076" xr:uid="{00000000-0005-0000-0000-0000F70F0000}"/>
    <cellStyle name="40% - Akzent2 87" xfId="4048" xr:uid="{00000000-0005-0000-0000-0000F80F0000}"/>
    <cellStyle name="40% - Akzent2 87 2" xfId="13466" xr:uid="{00000000-0005-0000-0000-0000F90F0000}"/>
    <cellStyle name="40% - Akzent2 87_est. MEAT" xfId="21077" xr:uid="{00000000-0005-0000-0000-0000FA0F0000}"/>
    <cellStyle name="40% - Akzent2 88" xfId="4049" xr:uid="{00000000-0005-0000-0000-0000FB0F0000}"/>
    <cellStyle name="40% - Akzent2 88 2" xfId="13467" xr:uid="{00000000-0005-0000-0000-0000FC0F0000}"/>
    <cellStyle name="40% - Akzent2 88_est. MEAT" xfId="21078" xr:uid="{00000000-0005-0000-0000-0000FD0F0000}"/>
    <cellStyle name="40% - Akzent2 89" xfId="4050" xr:uid="{00000000-0005-0000-0000-0000FE0F0000}"/>
    <cellStyle name="40% - Akzent2 89 2" xfId="13468" xr:uid="{00000000-0005-0000-0000-0000FF0F0000}"/>
    <cellStyle name="40% - Akzent2 89_est. MEAT" xfId="21079" xr:uid="{00000000-0005-0000-0000-000000100000}"/>
    <cellStyle name="40% - Akzent2 9" xfId="4051" xr:uid="{00000000-0005-0000-0000-000001100000}"/>
    <cellStyle name="40% - Akzent2 9 2" xfId="13469" xr:uid="{00000000-0005-0000-0000-000002100000}"/>
    <cellStyle name="40% - Akzent2 9_est. MEAT" xfId="21080" xr:uid="{00000000-0005-0000-0000-000003100000}"/>
    <cellStyle name="40% - Akzent2 90" xfId="4052" xr:uid="{00000000-0005-0000-0000-000004100000}"/>
    <cellStyle name="40% - Akzent2 90 2" xfId="13470" xr:uid="{00000000-0005-0000-0000-000005100000}"/>
    <cellStyle name="40% - Akzent2 90_est. MEAT" xfId="21081" xr:uid="{00000000-0005-0000-0000-000006100000}"/>
    <cellStyle name="40% - Akzent2 91" xfId="4053" xr:uid="{00000000-0005-0000-0000-000007100000}"/>
    <cellStyle name="40% - Akzent2 91 2" xfId="13471" xr:uid="{00000000-0005-0000-0000-000008100000}"/>
    <cellStyle name="40% - Akzent2 91_est. MEAT" xfId="21082" xr:uid="{00000000-0005-0000-0000-000009100000}"/>
    <cellStyle name="40% - Akzent2 92" xfId="4054" xr:uid="{00000000-0005-0000-0000-00000A100000}"/>
    <cellStyle name="40% - Akzent2 92 2" xfId="13472" xr:uid="{00000000-0005-0000-0000-00000B100000}"/>
    <cellStyle name="40% - Akzent2 92_est. MEAT" xfId="21083" xr:uid="{00000000-0005-0000-0000-00000C100000}"/>
    <cellStyle name="40% - Akzent2 93" xfId="4055" xr:uid="{00000000-0005-0000-0000-00000D100000}"/>
    <cellStyle name="40% - Akzent2 93 2" xfId="13473" xr:uid="{00000000-0005-0000-0000-00000E100000}"/>
    <cellStyle name="40% - Akzent2 93_est. MEAT" xfId="21084" xr:uid="{00000000-0005-0000-0000-00000F100000}"/>
    <cellStyle name="40% - Akzent2 94" xfId="4056" xr:uid="{00000000-0005-0000-0000-000010100000}"/>
    <cellStyle name="40% - Akzent2 94 2" xfId="13474" xr:uid="{00000000-0005-0000-0000-000011100000}"/>
    <cellStyle name="40% - Akzent2 94_est. MEAT" xfId="21085" xr:uid="{00000000-0005-0000-0000-000012100000}"/>
    <cellStyle name="40% - Akzent2 95" xfId="4057" xr:uid="{00000000-0005-0000-0000-000013100000}"/>
    <cellStyle name="40% - Akzent2 95 2" xfId="13475" xr:uid="{00000000-0005-0000-0000-000014100000}"/>
    <cellStyle name="40% - Akzent2 95_est. MEAT" xfId="21086" xr:uid="{00000000-0005-0000-0000-000015100000}"/>
    <cellStyle name="40% - Akzent2 96" xfId="4058" xr:uid="{00000000-0005-0000-0000-000016100000}"/>
    <cellStyle name="40% - Akzent2 96 2" xfId="13476" xr:uid="{00000000-0005-0000-0000-000017100000}"/>
    <cellStyle name="40% - Akzent2 96_est. MEAT" xfId="21087" xr:uid="{00000000-0005-0000-0000-000018100000}"/>
    <cellStyle name="40% - Akzent2 97" xfId="4059" xr:uid="{00000000-0005-0000-0000-000019100000}"/>
    <cellStyle name="40% - Akzent2 97 2" xfId="13477" xr:uid="{00000000-0005-0000-0000-00001A100000}"/>
    <cellStyle name="40% - Akzent2 97_est. MEAT" xfId="21088" xr:uid="{00000000-0005-0000-0000-00001B100000}"/>
    <cellStyle name="40% - Akzent2 98" xfId="4060" xr:uid="{00000000-0005-0000-0000-00001C100000}"/>
    <cellStyle name="40% - Akzent2 98 2" xfId="13478" xr:uid="{00000000-0005-0000-0000-00001D100000}"/>
    <cellStyle name="40% - Akzent2 98_est. MEAT" xfId="21089" xr:uid="{00000000-0005-0000-0000-00001E100000}"/>
    <cellStyle name="40% - Akzent2 99" xfId="4061" xr:uid="{00000000-0005-0000-0000-00001F100000}"/>
    <cellStyle name="40% - Akzent2 99 2" xfId="13479" xr:uid="{00000000-0005-0000-0000-000020100000}"/>
    <cellStyle name="40% - Akzent2 99_est. MEAT" xfId="21090" xr:uid="{00000000-0005-0000-0000-000021100000}"/>
    <cellStyle name="40% - Akzent3 10" xfId="4062" xr:uid="{00000000-0005-0000-0000-000022100000}"/>
    <cellStyle name="40% - Akzent3 10 2" xfId="4063" xr:uid="{00000000-0005-0000-0000-000023100000}"/>
    <cellStyle name="40% - Akzent3 10 2 2" xfId="13481" xr:uid="{00000000-0005-0000-0000-000024100000}"/>
    <cellStyle name="40% - Akzent3 10 2_est. MEAT" xfId="21091" xr:uid="{00000000-0005-0000-0000-000025100000}"/>
    <cellStyle name="40% - Akzent3 10 3" xfId="13480" xr:uid="{00000000-0005-0000-0000-000026100000}"/>
    <cellStyle name="40% - Akzent3 10_2012-2019" xfId="11630" xr:uid="{00000000-0005-0000-0000-000027100000}"/>
    <cellStyle name="40% - Akzent3 100" xfId="4064" xr:uid="{00000000-0005-0000-0000-000028100000}"/>
    <cellStyle name="40% - Akzent3 100 2" xfId="4065" xr:uid="{00000000-0005-0000-0000-000029100000}"/>
    <cellStyle name="40% - Akzent3 100 2 2" xfId="13483" xr:uid="{00000000-0005-0000-0000-00002A100000}"/>
    <cellStyle name="40% - Akzent3 100 2_est. MEAT" xfId="21092" xr:uid="{00000000-0005-0000-0000-00002B100000}"/>
    <cellStyle name="40% - Akzent3 100 3" xfId="13482" xr:uid="{00000000-0005-0000-0000-00002C100000}"/>
    <cellStyle name="40% - Akzent3 100_2012-2019" xfId="11631" xr:uid="{00000000-0005-0000-0000-00002D100000}"/>
    <cellStyle name="40% - Akzent3 101" xfId="4066" xr:uid="{00000000-0005-0000-0000-00002E100000}"/>
    <cellStyle name="40% - Akzent3 101 2" xfId="4067" xr:uid="{00000000-0005-0000-0000-00002F100000}"/>
    <cellStyle name="40% - Akzent3 101 2 2" xfId="13485" xr:uid="{00000000-0005-0000-0000-000030100000}"/>
    <cellStyle name="40% - Akzent3 101 2_est. MEAT" xfId="21093" xr:uid="{00000000-0005-0000-0000-000031100000}"/>
    <cellStyle name="40% - Akzent3 101 3" xfId="13484" xr:uid="{00000000-0005-0000-0000-000032100000}"/>
    <cellStyle name="40% - Akzent3 101_2012-2019" xfId="11632" xr:uid="{00000000-0005-0000-0000-000033100000}"/>
    <cellStyle name="40% - Akzent3 102" xfId="4068" xr:uid="{00000000-0005-0000-0000-000034100000}"/>
    <cellStyle name="40% - Akzent3 102 2" xfId="4069" xr:uid="{00000000-0005-0000-0000-000035100000}"/>
    <cellStyle name="40% - Akzent3 102 2 2" xfId="13487" xr:uid="{00000000-0005-0000-0000-000036100000}"/>
    <cellStyle name="40% - Akzent3 102 2_est. MEAT" xfId="21094" xr:uid="{00000000-0005-0000-0000-000037100000}"/>
    <cellStyle name="40% - Akzent3 102 3" xfId="13486" xr:uid="{00000000-0005-0000-0000-000038100000}"/>
    <cellStyle name="40% - Akzent3 102_2012-2019" xfId="11633" xr:uid="{00000000-0005-0000-0000-000039100000}"/>
    <cellStyle name="40% - Akzent3 103" xfId="4070" xr:uid="{00000000-0005-0000-0000-00003A100000}"/>
    <cellStyle name="40% - Akzent3 103 2" xfId="4071" xr:uid="{00000000-0005-0000-0000-00003B100000}"/>
    <cellStyle name="40% - Akzent3 103 2 2" xfId="13489" xr:uid="{00000000-0005-0000-0000-00003C100000}"/>
    <cellStyle name="40% - Akzent3 103 2_est. MEAT" xfId="21095" xr:uid="{00000000-0005-0000-0000-00003D100000}"/>
    <cellStyle name="40% - Akzent3 103 3" xfId="13488" xr:uid="{00000000-0005-0000-0000-00003E100000}"/>
    <cellStyle name="40% - Akzent3 103_2012-2019" xfId="11634" xr:uid="{00000000-0005-0000-0000-00003F100000}"/>
    <cellStyle name="40% - Akzent3 104" xfId="4072" xr:uid="{00000000-0005-0000-0000-000040100000}"/>
    <cellStyle name="40% - Akzent3 104 2" xfId="4073" xr:uid="{00000000-0005-0000-0000-000041100000}"/>
    <cellStyle name="40% - Akzent3 104 2 2" xfId="13491" xr:uid="{00000000-0005-0000-0000-000042100000}"/>
    <cellStyle name="40% - Akzent3 104 2_est. MEAT" xfId="21096" xr:uid="{00000000-0005-0000-0000-000043100000}"/>
    <cellStyle name="40% - Akzent3 104 3" xfId="13490" xr:uid="{00000000-0005-0000-0000-000044100000}"/>
    <cellStyle name="40% - Akzent3 104_2012-2019" xfId="11635" xr:uid="{00000000-0005-0000-0000-000045100000}"/>
    <cellStyle name="40% - Akzent3 105" xfId="4074" xr:uid="{00000000-0005-0000-0000-000046100000}"/>
    <cellStyle name="40% - Akzent3 105 2" xfId="4075" xr:uid="{00000000-0005-0000-0000-000047100000}"/>
    <cellStyle name="40% - Akzent3 105 2 2" xfId="13493" xr:uid="{00000000-0005-0000-0000-000048100000}"/>
    <cellStyle name="40% - Akzent3 105 2_est. MEAT" xfId="21097" xr:uid="{00000000-0005-0000-0000-000049100000}"/>
    <cellStyle name="40% - Akzent3 105 3" xfId="13492" xr:uid="{00000000-0005-0000-0000-00004A100000}"/>
    <cellStyle name="40% - Akzent3 105_2012-2019" xfId="11636" xr:uid="{00000000-0005-0000-0000-00004B100000}"/>
    <cellStyle name="40% - Akzent3 106" xfId="4076" xr:uid="{00000000-0005-0000-0000-00004C100000}"/>
    <cellStyle name="40% - Akzent3 106 2" xfId="4077" xr:uid="{00000000-0005-0000-0000-00004D100000}"/>
    <cellStyle name="40% - Akzent3 106 2 2" xfId="13495" xr:uid="{00000000-0005-0000-0000-00004E100000}"/>
    <cellStyle name="40% - Akzent3 106 2_est. MEAT" xfId="21098" xr:uid="{00000000-0005-0000-0000-00004F100000}"/>
    <cellStyle name="40% - Akzent3 106 3" xfId="13494" xr:uid="{00000000-0005-0000-0000-000050100000}"/>
    <cellStyle name="40% - Akzent3 106_2012-2019" xfId="11637" xr:uid="{00000000-0005-0000-0000-000051100000}"/>
    <cellStyle name="40% - Akzent3 107" xfId="4078" xr:uid="{00000000-0005-0000-0000-000052100000}"/>
    <cellStyle name="40% - Akzent3 107 2" xfId="4079" xr:uid="{00000000-0005-0000-0000-000053100000}"/>
    <cellStyle name="40% - Akzent3 107 2 2" xfId="13497" xr:uid="{00000000-0005-0000-0000-000054100000}"/>
    <cellStyle name="40% - Akzent3 107 2_est. MEAT" xfId="21099" xr:uid="{00000000-0005-0000-0000-000055100000}"/>
    <cellStyle name="40% - Akzent3 107 3" xfId="13496" xr:uid="{00000000-0005-0000-0000-000056100000}"/>
    <cellStyle name="40% - Akzent3 107_2012-2019" xfId="11638" xr:uid="{00000000-0005-0000-0000-000057100000}"/>
    <cellStyle name="40% - Akzent3 108" xfId="4080" xr:uid="{00000000-0005-0000-0000-000058100000}"/>
    <cellStyle name="40% - Akzent3 108 2" xfId="4081" xr:uid="{00000000-0005-0000-0000-000059100000}"/>
    <cellStyle name="40% - Akzent3 108 2 2" xfId="13499" xr:uid="{00000000-0005-0000-0000-00005A100000}"/>
    <cellStyle name="40% - Akzent3 108 2_est. MEAT" xfId="21100" xr:uid="{00000000-0005-0000-0000-00005B100000}"/>
    <cellStyle name="40% - Akzent3 108 3" xfId="13498" xr:uid="{00000000-0005-0000-0000-00005C100000}"/>
    <cellStyle name="40% - Akzent3 108_2012-2019" xfId="11639" xr:uid="{00000000-0005-0000-0000-00005D100000}"/>
    <cellStyle name="40% - Akzent3 109" xfId="4082" xr:uid="{00000000-0005-0000-0000-00005E100000}"/>
    <cellStyle name="40% - Akzent3 109 2" xfId="4083" xr:uid="{00000000-0005-0000-0000-00005F100000}"/>
    <cellStyle name="40% - Akzent3 109 2 2" xfId="13501" xr:uid="{00000000-0005-0000-0000-000060100000}"/>
    <cellStyle name="40% - Akzent3 109 2_est. MEAT" xfId="21101" xr:uid="{00000000-0005-0000-0000-000061100000}"/>
    <cellStyle name="40% - Akzent3 109 3" xfId="13500" xr:uid="{00000000-0005-0000-0000-000062100000}"/>
    <cellStyle name="40% - Akzent3 109_2012-2019" xfId="11640" xr:uid="{00000000-0005-0000-0000-000063100000}"/>
    <cellStyle name="40% - Akzent3 11" xfId="4084" xr:uid="{00000000-0005-0000-0000-000064100000}"/>
    <cellStyle name="40% - Akzent3 11 2" xfId="4085" xr:uid="{00000000-0005-0000-0000-000065100000}"/>
    <cellStyle name="40% - Akzent3 11 2 2" xfId="13503" xr:uid="{00000000-0005-0000-0000-000066100000}"/>
    <cellStyle name="40% - Akzent3 11 2_est. MEAT" xfId="21102" xr:uid="{00000000-0005-0000-0000-000067100000}"/>
    <cellStyle name="40% - Akzent3 11 3" xfId="13502" xr:uid="{00000000-0005-0000-0000-000068100000}"/>
    <cellStyle name="40% - Akzent3 11_2012-2019" xfId="11641" xr:uid="{00000000-0005-0000-0000-000069100000}"/>
    <cellStyle name="40% - Akzent3 110" xfId="4086" xr:uid="{00000000-0005-0000-0000-00006A100000}"/>
    <cellStyle name="40% - Akzent3 110 2" xfId="4087" xr:uid="{00000000-0005-0000-0000-00006B100000}"/>
    <cellStyle name="40% - Akzent3 110 2 2" xfId="13505" xr:uid="{00000000-0005-0000-0000-00006C100000}"/>
    <cellStyle name="40% - Akzent3 110 2_est. MEAT" xfId="21103" xr:uid="{00000000-0005-0000-0000-00006D100000}"/>
    <cellStyle name="40% - Akzent3 110 3" xfId="13504" xr:uid="{00000000-0005-0000-0000-00006E100000}"/>
    <cellStyle name="40% - Akzent3 110_2012-2019" xfId="11642" xr:uid="{00000000-0005-0000-0000-00006F100000}"/>
    <cellStyle name="40% - Akzent3 111" xfId="4088" xr:uid="{00000000-0005-0000-0000-000070100000}"/>
    <cellStyle name="40% - Akzent3 111 2" xfId="4089" xr:uid="{00000000-0005-0000-0000-000071100000}"/>
    <cellStyle name="40% - Akzent3 111 2 2" xfId="13507" xr:uid="{00000000-0005-0000-0000-000072100000}"/>
    <cellStyle name="40% - Akzent3 111 2_est. MEAT" xfId="21104" xr:uid="{00000000-0005-0000-0000-000073100000}"/>
    <cellStyle name="40% - Akzent3 111 3" xfId="13506" xr:uid="{00000000-0005-0000-0000-000074100000}"/>
    <cellStyle name="40% - Akzent3 111_2012-2019" xfId="11643" xr:uid="{00000000-0005-0000-0000-000075100000}"/>
    <cellStyle name="40% - Akzent3 112" xfId="4090" xr:uid="{00000000-0005-0000-0000-000076100000}"/>
    <cellStyle name="40% - Akzent3 112 2" xfId="4091" xr:uid="{00000000-0005-0000-0000-000077100000}"/>
    <cellStyle name="40% - Akzent3 112 2 2" xfId="13509" xr:uid="{00000000-0005-0000-0000-000078100000}"/>
    <cellStyle name="40% - Akzent3 112 2_est. MEAT" xfId="21105" xr:uid="{00000000-0005-0000-0000-000079100000}"/>
    <cellStyle name="40% - Akzent3 112 3" xfId="13508" xr:uid="{00000000-0005-0000-0000-00007A100000}"/>
    <cellStyle name="40% - Akzent3 112_2012-2019" xfId="11644" xr:uid="{00000000-0005-0000-0000-00007B100000}"/>
    <cellStyle name="40% - Akzent3 113" xfId="4092" xr:uid="{00000000-0005-0000-0000-00007C100000}"/>
    <cellStyle name="40% - Akzent3 113 2" xfId="4093" xr:uid="{00000000-0005-0000-0000-00007D100000}"/>
    <cellStyle name="40% - Akzent3 113 2 2" xfId="13511" xr:uid="{00000000-0005-0000-0000-00007E100000}"/>
    <cellStyle name="40% - Akzent3 113 2_est. MEAT" xfId="21106" xr:uid="{00000000-0005-0000-0000-00007F100000}"/>
    <cellStyle name="40% - Akzent3 113 3" xfId="13510" xr:uid="{00000000-0005-0000-0000-000080100000}"/>
    <cellStyle name="40% - Akzent3 113_2012-2019" xfId="11645" xr:uid="{00000000-0005-0000-0000-000081100000}"/>
    <cellStyle name="40% - Akzent3 114" xfId="4094" xr:uid="{00000000-0005-0000-0000-000082100000}"/>
    <cellStyle name="40% - Akzent3 114 2" xfId="4095" xr:uid="{00000000-0005-0000-0000-000083100000}"/>
    <cellStyle name="40% - Akzent3 114 2 2" xfId="13513" xr:uid="{00000000-0005-0000-0000-000084100000}"/>
    <cellStyle name="40% - Akzent3 114 2_est. MEAT" xfId="21107" xr:uid="{00000000-0005-0000-0000-000085100000}"/>
    <cellStyle name="40% - Akzent3 114 3" xfId="13512" xr:uid="{00000000-0005-0000-0000-000086100000}"/>
    <cellStyle name="40% - Akzent3 114_2012-2019" xfId="11646" xr:uid="{00000000-0005-0000-0000-000087100000}"/>
    <cellStyle name="40% - Akzent3 115" xfId="4096" xr:uid="{00000000-0005-0000-0000-000088100000}"/>
    <cellStyle name="40% - Akzent3 115 2" xfId="4097" xr:uid="{00000000-0005-0000-0000-000089100000}"/>
    <cellStyle name="40% - Akzent3 115 2 2" xfId="13515" xr:uid="{00000000-0005-0000-0000-00008A100000}"/>
    <cellStyle name="40% - Akzent3 115 2_est. MEAT" xfId="21108" xr:uid="{00000000-0005-0000-0000-00008B100000}"/>
    <cellStyle name="40% - Akzent3 115 3" xfId="13514" xr:uid="{00000000-0005-0000-0000-00008C100000}"/>
    <cellStyle name="40% - Akzent3 115_2012-2019" xfId="11647" xr:uid="{00000000-0005-0000-0000-00008D100000}"/>
    <cellStyle name="40% - Akzent3 116" xfId="4098" xr:uid="{00000000-0005-0000-0000-00008E100000}"/>
    <cellStyle name="40% - Akzent3 116 2" xfId="4099" xr:uid="{00000000-0005-0000-0000-00008F100000}"/>
    <cellStyle name="40% - Akzent3 116 2 2" xfId="13517" xr:uid="{00000000-0005-0000-0000-000090100000}"/>
    <cellStyle name="40% - Akzent3 116 2_est. MEAT" xfId="21109" xr:uid="{00000000-0005-0000-0000-000091100000}"/>
    <cellStyle name="40% - Akzent3 116 3" xfId="13516" xr:uid="{00000000-0005-0000-0000-000092100000}"/>
    <cellStyle name="40% - Akzent3 116_2012-2019" xfId="11648" xr:uid="{00000000-0005-0000-0000-000093100000}"/>
    <cellStyle name="40% - Akzent3 117" xfId="4100" xr:uid="{00000000-0005-0000-0000-000094100000}"/>
    <cellStyle name="40% - Akzent3 117 2" xfId="4101" xr:uid="{00000000-0005-0000-0000-000095100000}"/>
    <cellStyle name="40% - Akzent3 117 2 2" xfId="13519" xr:uid="{00000000-0005-0000-0000-000096100000}"/>
    <cellStyle name="40% - Akzent3 117 2_est. MEAT" xfId="21110" xr:uid="{00000000-0005-0000-0000-000097100000}"/>
    <cellStyle name="40% - Akzent3 117 3" xfId="13518" xr:uid="{00000000-0005-0000-0000-000098100000}"/>
    <cellStyle name="40% - Akzent3 117_2012-2019" xfId="11649" xr:uid="{00000000-0005-0000-0000-000099100000}"/>
    <cellStyle name="40% - Akzent3 118" xfId="4102" xr:uid="{00000000-0005-0000-0000-00009A100000}"/>
    <cellStyle name="40% - Akzent3 118 2" xfId="4103" xr:uid="{00000000-0005-0000-0000-00009B100000}"/>
    <cellStyle name="40% - Akzent3 118 2 2" xfId="13521" xr:uid="{00000000-0005-0000-0000-00009C100000}"/>
    <cellStyle name="40% - Akzent3 118 2_est. MEAT" xfId="21111" xr:uid="{00000000-0005-0000-0000-00009D100000}"/>
    <cellStyle name="40% - Akzent3 118 3" xfId="13520" xr:uid="{00000000-0005-0000-0000-00009E100000}"/>
    <cellStyle name="40% - Akzent3 118_2012-2019" xfId="11650" xr:uid="{00000000-0005-0000-0000-00009F100000}"/>
    <cellStyle name="40% - Akzent3 119" xfId="4104" xr:uid="{00000000-0005-0000-0000-0000A0100000}"/>
    <cellStyle name="40% - Akzent3 119 2" xfId="4105" xr:uid="{00000000-0005-0000-0000-0000A1100000}"/>
    <cellStyle name="40% - Akzent3 119 2 2" xfId="13523" xr:uid="{00000000-0005-0000-0000-0000A2100000}"/>
    <cellStyle name="40% - Akzent3 119 2_est. MEAT" xfId="21112" xr:uid="{00000000-0005-0000-0000-0000A3100000}"/>
    <cellStyle name="40% - Akzent3 119 3" xfId="13522" xr:uid="{00000000-0005-0000-0000-0000A4100000}"/>
    <cellStyle name="40% - Akzent3 119_2012-2019" xfId="11651" xr:uid="{00000000-0005-0000-0000-0000A5100000}"/>
    <cellStyle name="40% - Akzent3 12" xfId="4106" xr:uid="{00000000-0005-0000-0000-0000A6100000}"/>
    <cellStyle name="40% - Akzent3 12 2" xfId="4107" xr:uid="{00000000-0005-0000-0000-0000A7100000}"/>
    <cellStyle name="40% - Akzent3 12 2 2" xfId="13525" xr:uid="{00000000-0005-0000-0000-0000A8100000}"/>
    <cellStyle name="40% - Akzent3 12 2_est. MEAT" xfId="21113" xr:uid="{00000000-0005-0000-0000-0000A9100000}"/>
    <cellStyle name="40% - Akzent3 12 3" xfId="13524" xr:uid="{00000000-0005-0000-0000-0000AA100000}"/>
    <cellStyle name="40% - Akzent3 12_2012-2019" xfId="11652" xr:uid="{00000000-0005-0000-0000-0000AB100000}"/>
    <cellStyle name="40% - Akzent3 120" xfId="4108" xr:uid="{00000000-0005-0000-0000-0000AC100000}"/>
    <cellStyle name="40% - Akzent3 120 2" xfId="4109" xr:uid="{00000000-0005-0000-0000-0000AD100000}"/>
    <cellStyle name="40% - Akzent3 120 2 2" xfId="13527" xr:uid="{00000000-0005-0000-0000-0000AE100000}"/>
    <cellStyle name="40% - Akzent3 120 2_est. MEAT" xfId="21114" xr:uid="{00000000-0005-0000-0000-0000AF100000}"/>
    <cellStyle name="40% - Akzent3 120 3" xfId="13526" xr:uid="{00000000-0005-0000-0000-0000B0100000}"/>
    <cellStyle name="40% - Akzent3 120_2012-2019" xfId="11653" xr:uid="{00000000-0005-0000-0000-0000B1100000}"/>
    <cellStyle name="40% - Akzent3 121" xfId="4110" xr:uid="{00000000-0005-0000-0000-0000B2100000}"/>
    <cellStyle name="40% - Akzent3 121 2" xfId="4111" xr:uid="{00000000-0005-0000-0000-0000B3100000}"/>
    <cellStyle name="40% - Akzent3 121 2 2" xfId="13529" xr:uid="{00000000-0005-0000-0000-0000B4100000}"/>
    <cellStyle name="40% - Akzent3 121 2_est. MEAT" xfId="21115" xr:uid="{00000000-0005-0000-0000-0000B5100000}"/>
    <cellStyle name="40% - Akzent3 121 3" xfId="13528" xr:uid="{00000000-0005-0000-0000-0000B6100000}"/>
    <cellStyle name="40% - Akzent3 121_2012-2019" xfId="11654" xr:uid="{00000000-0005-0000-0000-0000B7100000}"/>
    <cellStyle name="40% - Akzent3 122" xfId="4112" xr:uid="{00000000-0005-0000-0000-0000B8100000}"/>
    <cellStyle name="40% - Akzent3 122 2" xfId="4113" xr:uid="{00000000-0005-0000-0000-0000B9100000}"/>
    <cellStyle name="40% - Akzent3 122 2 2" xfId="13531" xr:uid="{00000000-0005-0000-0000-0000BA100000}"/>
    <cellStyle name="40% - Akzent3 122 2_est. MEAT" xfId="21116" xr:uid="{00000000-0005-0000-0000-0000BB100000}"/>
    <cellStyle name="40% - Akzent3 122 3" xfId="13530" xr:uid="{00000000-0005-0000-0000-0000BC100000}"/>
    <cellStyle name="40% - Akzent3 122_2012-2019" xfId="11655" xr:uid="{00000000-0005-0000-0000-0000BD100000}"/>
    <cellStyle name="40% - Akzent3 123" xfId="4114" xr:uid="{00000000-0005-0000-0000-0000BE100000}"/>
    <cellStyle name="40% - Akzent3 123 2" xfId="4115" xr:uid="{00000000-0005-0000-0000-0000BF100000}"/>
    <cellStyle name="40% - Akzent3 123 2 2" xfId="13533" xr:uid="{00000000-0005-0000-0000-0000C0100000}"/>
    <cellStyle name="40% - Akzent3 123 2_est. MEAT" xfId="21117" xr:uid="{00000000-0005-0000-0000-0000C1100000}"/>
    <cellStyle name="40% - Akzent3 123 3" xfId="13532" xr:uid="{00000000-0005-0000-0000-0000C2100000}"/>
    <cellStyle name="40% - Akzent3 123_2012-2019" xfId="11656" xr:uid="{00000000-0005-0000-0000-0000C3100000}"/>
    <cellStyle name="40% - Akzent3 124" xfId="4116" xr:uid="{00000000-0005-0000-0000-0000C4100000}"/>
    <cellStyle name="40% - Akzent3 124 2" xfId="4117" xr:uid="{00000000-0005-0000-0000-0000C5100000}"/>
    <cellStyle name="40% - Akzent3 124 2 2" xfId="13535" xr:uid="{00000000-0005-0000-0000-0000C6100000}"/>
    <cellStyle name="40% - Akzent3 124 2_est. MEAT" xfId="21118" xr:uid="{00000000-0005-0000-0000-0000C7100000}"/>
    <cellStyle name="40% - Akzent3 124 3" xfId="13534" xr:uid="{00000000-0005-0000-0000-0000C8100000}"/>
    <cellStyle name="40% - Akzent3 124_2012-2019" xfId="11657" xr:uid="{00000000-0005-0000-0000-0000C9100000}"/>
    <cellStyle name="40% - Akzent3 125" xfId="4118" xr:uid="{00000000-0005-0000-0000-0000CA100000}"/>
    <cellStyle name="40% - Akzent3 125 2" xfId="4119" xr:uid="{00000000-0005-0000-0000-0000CB100000}"/>
    <cellStyle name="40% - Akzent3 125 2 2" xfId="13537" xr:uid="{00000000-0005-0000-0000-0000CC100000}"/>
    <cellStyle name="40% - Akzent3 125 2_est. MEAT" xfId="21119" xr:uid="{00000000-0005-0000-0000-0000CD100000}"/>
    <cellStyle name="40% - Akzent3 125 3" xfId="13536" xr:uid="{00000000-0005-0000-0000-0000CE100000}"/>
    <cellStyle name="40% - Akzent3 125_2012-2019" xfId="11658" xr:uid="{00000000-0005-0000-0000-0000CF100000}"/>
    <cellStyle name="40% - Akzent3 126" xfId="4120" xr:uid="{00000000-0005-0000-0000-0000D0100000}"/>
    <cellStyle name="40% - Akzent3 126 2" xfId="4121" xr:uid="{00000000-0005-0000-0000-0000D1100000}"/>
    <cellStyle name="40% - Akzent3 126 2 2" xfId="13539" xr:uid="{00000000-0005-0000-0000-0000D2100000}"/>
    <cellStyle name="40% - Akzent3 126 2_est. MEAT" xfId="21120" xr:uid="{00000000-0005-0000-0000-0000D3100000}"/>
    <cellStyle name="40% - Akzent3 126 3" xfId="13538" xr:uid="{00000000-0005-0000-0000-0000D4100000}"/>
    <cellStyle name="40% - Akzent3 126_2012-2019" xfId="11659" xr:uid="{00000000-0005-0000-0000-0000D5100000}"/>
    <cellStyle name="40% - Akzent3 127" xfId="4122" xr:uid="{00000000-0005-0000-0000-0000D6100000}"/>
    <cellStyle name="40% - Akzent3 127 2" xfId="4123" xr:uid="{00000000-0005-0000-0000-0000D7100000}"/>
    <cellStyle name="40% - Akzent3 127 2 2" xfId="13541" xr:uid="{00000000-0005-0000-0000-0000D8100000}"/>
    <cellStyle name="40% - Akzent3 127 2_est. MEAT" xfId="21121" xr:uid="{00000000-0005-0000-0000-0000D9100000}"/>
    <cellStyle name="40% - Akzent3 127 3" xfId="13540" xr:uid="{00000000-0005-0000-0000-0000DA100000}"/>
    <cellStyle name="40% - Akzent3 127_2012-2019" xfId="11660" xr:uid="{00000000-0005-0000-0000-0000DB100000}"/>
    <cellStyle name="40% - Akzent3 128" xfId="4124" xr:uid="{00000000-0005-0000-0000-0000DC100000}"/>
    <cellStyle name="40% - Akzent3 128 2" xfId="4125" xr:uid="{00000000-0005-0000-0000-0000DD100000}"/>
    <cellStyle name="40% - Akzent3 128 2 2" xfId="13543" xr:uid="{00000000-0005-0000-0000-0000DE100000}"/>
    <cellStyle name="40% - Akzent3 128 2_est. MEAT" xfId="21122" xr:uid="{00000000-0005-0000-0000-0000DF100000}"/>
    <cellStyle name="40% - Akzent3 128 3" xfId="13542" xr:uid="{00000000-0005-0000-0000-0000E0100000}"/>
    <cellStyle name="40% - Akzent3 128_2012-2019" xfId="11661" xr:uid="{00000000-0005-0000-0000-0000E1100000}"/>
    <cellStyle name="40% - Akzent3 129" xfId="4126" xr:uid="{00000000-0005-0000-0000-0000E2100000}"/>
    <cellStyle name="40% - Akzent3 129 2" xfId="4127" xr:uid="{00000000-0005-0000-0000-0000E3100000}"/>
    <cellStyle name="40% - Akzent3 129 2 2" xfId="13545" xr:uid="{00000000-0005-0000-0000-0000E4100000}"/>
    <cellStyle name="40% - Akzent3 129 2_est. MEAT" xfId="21123" xr:uid="{00000000-0005-0000-0000-0000E5100000}"/>
    <cellStyle name="40% - Akzent3 129 3" xfId="13544" xr:uid="{00000000-0005-0000-0000-0000E6100000}"/>
    <cellStyle name="40% - Akzent3 129_2012-2019" xfId="11662" xr:uid="{00000000-0005-0000-0000-0000E7100000}"/>
    <cellStyle name="40% - Akzent3 13" xfId="4128" xr:uid="{00000000-0005-0000-0000-0000E8100000}"/>
    <cellStyle name="40% - Akzent3 13 2" xfId="4129" xr:uid="{00000000-0005-0000-0000-0000E9100000}"/>
    <cellStyle name="40% - Akzent3 13 2 2" xfId="13547" xr:uid="{00000000-0005-0000-0000-0000EA100000}"/>
    <cellStyle name="40% - Akzent3 13 2_est. MEAT" xfId="21124" xr:uid="{00000000-0005-0000-0000-0000EB100000}"/>
    <cellStyle name="40% - Akzent3 13 3" xfId="13546" xr:uid="{00000000-0005-0000-0000-0000EC100000}"/>
    <cellStyle name="40% - Akzent3 13_2012-2019" xfId="11663" xr:uid="{00000000-0005-0000-0000-0000ED100000}"/>
    <cellStyle name="40% - Akzent3 130" xfId="4130" xr:uid="{00000000-0005-0000-0000-0000EE100000}"/>
    <cellStyle name="40% - Akzent3 130 2" xfId="4131" xr:uid="{00000000-0005-0000-0000-0000EF100000}"/>
    <cellStyle name="40% - Akzent3 130 2 2" xfId="13549" xr:uid="{00000000-0005-0000-0000-0000F0100000}"/>
    <cellStyle name="40% - Akzent3 130 2_est. MEAT" xfId="21125" xr:uid="{00000000-0005-0000-0000-0000F1100000}"/>
    <cellStyle name="40% - Akzent3 130 3" xfId="13548" xr:uid="{00000000-0005-0000-0000-0000F2100000}"/>
    <cellStyle name="40% - Akzent3 130_2012-2019" xfId="11664" xr:uid="{00000000-0005-0000-0000-0000F3100000}"/>
    <cellStyle name="40% - Akzent3 131" xfId="4132" xr:uid="{00000000-0005-0000-0000-0000F4100000}"/>
    <cellStyle name="40% - Akzent3 131 2" xfId="4133" xr:uid="{00000000-0005-0000-0000-0000F5100000}"/>
    <cellStyle name="40% - Akzent3 131 2 2" xfId="13551" xr:uid="{00000000-0005-0000-0000-0000F6100000}"/>
    <cellStyle name="40% - Akzent3 131 2_est. MEAT" xfId="21126" xr:uid="{00000000-0005-0000-0000-0000F7100000}"/>
    <cellStyle name="40% - Akzent3 131 3" xfId="13550" xr:uid="{00000000-0005-0000-0000-0000F8100000}"/>
    <cellStyle name="40% - Akzent3 131_2012-2019" xfId="11665" xr:uid="{00000000-0005-0000-0000-0000F9100000}"/>
    <cellStyle name="40% - Akzent3 132" xfId="4134" xr:uid="{00000000-0005-0000-0000-0000FA100000}"/>
    <cellStyle name="40% - Akzent3 132 2" xfId="4135" xr:uid="{00000000-0005-0000-0000-0000FB100000}"/>
    <cellStyle name="40% - Akzent3 132 2 2" xfId="13553" xr:uid="{00000000-0005-0000-0000-0000FC100000}"/>
    <cellStyle name="40% - Akzent3 132 2_est. MEAT" xfId="21127" xr:uid="{00000000-0005-0000-0000-0000FD100000}"/>
    <cellStyle name="40% - Akzent3 132 3" xfId="13552" xr:uid="{00000000-0005-0000-0000-0000FE100000}"/>
    <cellStyle name="40% - Akzent3 132_2012-2019" xfId="11666" xr:uid="{00000000-0005-0000-0000-0000FF100000}"/>
    <cellStyle name="40% - Akzent3 133" xfId="4136" xr:uid="{00000000-0005-0000-0000-000000110000}"/>
    <cellStyle name="40% - Akzent3 133 2" xfId="4137" xr:uid="{00000000-0005-0000-0000-000001110000}"/>
    <cellStyle name="40% - Akzent3 133 2 2" xfId="13555" xr:uid="{00000000-0005-0000-0000-000002110000}"/>
    <cellStyle name="40% - Akzent3 133 2_est. MEAT" xfId="21128" xr:uid="{00000000-0005-0000-0000-000003110000}"/>
    <cellStyle name="40% - Akzent3 133 3" xfId="13554" xr:uid="{00000000-0005-0000-0000-000004110000}"/>
    <cellStyle name="40% - Akzent3 133_2012-2019" xfId="11667" xr:uid="{00000000-0005-0000-0000-000005110000}"/>
    <cellStyle name="40% - Akzent3 134" xfId="4138" xr:uid="{00000000-0005-0000-0000-000006110000}"/>
    <cellStyle name="40% - Akzent3 134 2" xfId="4139" xr:uid="{00000000-0005-0000-0000-000007110000}"/>
    <cellStyle name="40% - Akzent3 134 2 2" xfId="13557" xr:uid="{00000000-0005-0000-0000-000008110000}"/>
    <cellStyle name="40% - Akzent3 134 2_est. MEAT" xfId="21129" xr:uid="{00000000-0005-0000-0000-000009110000}"/>
    <cellStyle name="40% - Akzent3 134 3" xfId="13556" xr:uid="{00000000-0005-0000-0000-00000A110000}"/>
    <cellStyle name="40% - Akzent3 134_2012-2019" xfId="11668" xr:uid="{00000000-0005-0000-0000-00000B110000}"/>
    <cellStyle name="40% - Akzent3 135" xfId="4140" xr:uid="{00000000-0005-0000-0000-00000C110000}"/>
    <cellStyle name="40% - Akzent3 135 2" xfId="4141" xr:uid="{00000000-0005-0000-0000-00000D110000}"/>
    <cellStyle name="40% - Akzent3 135 2 2" xfId="13559" xr:uid="{00000000-0005-0000-0000-00000E110000}"/>
    <cellStyle name="40% - Akzent3 135 2_est. MEAT" xfId="21130" xr:uid="{00000000-0005-0000-0000-00000F110000}"/>
    <cellStyle name="40% - Akzent3 135 3" xfId="13558" xr:uid="{00000000-0005-0000-0000-000010110000}"/>
    <cellStyle name="40% - Akzent3 135_2012-2019" xfId="11669" xr:uid="{00000000-0005-0000-0000-000011110000}"/>
    <cellStyle name="40% - Akzent3 136" xfId="4142" xr:uid="{00000000-0005-0000-0000-000012110000}"/>
    <cellStyle name="40% - Akzent3 136 2" xfId="4143" xr:uid="{00000000-0005-0000-0000-000013110000}"/>
    <cellStyle name="40% - Akzent3 136 2 2" xfId="13561" xr:uid="{00000000-0005-0000-0000-000014110000}"/>
    <cellStyle name="40% - Akzent3 136 2_est. MEAT" xfId="21131" xr:uid="{00000000-0005-0000-0000-000015110000}"/>
    <cellStyle name="40% - Akzent3 136 3" xfId="13560" xr:uid="{00000000-0005-0000-0000-000016110000}"/>
    <cellStyle name="40% - Akzent3 136_2012-2019" xfId="11670" xr:uid="{00000000-0005-0000-0000-000017110000}"/>
    <cellStyle name="40% - Akzent3 137" xfId="4144" xr:uid="{00000000-0005-0000-0000-000018110000}"/>
    <cellStyle name="40% - Akzent3 137 2" xfId="4145" xr:uid="{00000000-0005-0000-0000-000019110000}"/>
    <cellStyle name="40% - Akzent3 137 2 2" xfId="13563" xr:uid="{00000000-0005-0000-0000-00001A110000}"/>
    <cellStyle name="40% - Akzent3 137 2_est. MEAT" xfId="21132" xr:uid="{00000000-0005-0000-0000-00001B110000}"/>
    <cellStyle name="40% - Akzent3 137 3" xfId="13562" xr:uid="{00000000-0005-0000-0000-00001C110000}"/>
    <cellStyle name="40% - Akzent3 137_2012-2019" xfId="11671" xr:uid="{00000000-0005-0000-0000-00001D110000}"/>
    <cellStyle name="40% - Akzent3 138" xfId="4146" xr:uid="{00000000-0005-0000-0000-00001E110000}"/>
    <cellStyle name="40% - Akzent3 138 2" xfId="4147" xr:uid="{00000000-0005-0000-0000-00001F110000}"/>
    <cellStyle name="40% - Akzent3 138 2 2" xfId="13565" xr:uid="{00000000-0005-0000-0000-000020110000}"/>
    <cellStyle name="40% - Akzent3 138 2_est. MEAT" xfId="21133" xr:uid="{00000000-0005-0000-0000-000021110000}"/>
    <cellStyle name="40% - Akzent3 138 3" xfId="13564" xr:uid="{00000000-0005-0000-0000-000022110000}"/>
    <cellStyle name="40% - Akzent3 138_2012-2019" xfId="11672" xr:uid="{00000000-0005-0000-0000-000023110000}"/>
    <cellStyle name="40% - Akzent3 139" xfId="4148" xr:uid="{00000000-0005-0000-0000-000024110000}"/>
    <cellStyle name="40% - Akzent3 139 2" xfId="4149" xr:uid="{00000000-0005-0000-0000-000025110000}"/>
    <cellStyle name="40% - Akzent3 139 2 2" xfId="13567" xr:uid="{00000000-0005-0000-0000-000026110000}"/>
    <cellStyle name="40% - Akzent3 139 2_est. MEAT" xfId="21134" xr:uid="{00000000-0005-0000-0000-000027110000}"/>
    <cellStyle name="40% - Akzent3 139 3" xfId="13566" xr:uid="{00000000-0005-0000-0000-000028110000}"/>
    <cellStyle name="40% - Akzent3 139_2012-2019" xfId="11673" xr:uid="{00000000-0005-0000-0000-000029110000}"/>
    <cellStyle name="40% - Akzent3 14" xfId="4150" xr:uid="{00000000-0005-0000-0000-00002A110000}"/>
    <cellStyle name="40% - Akzent3 14 2" xfId="4151" xr:uid="{00000000-0005-0000-0000-00002B110000}"/>
    <cellStyle name="40% - Akzent3 14 2 2" xfId="13569" xr:uid="{00000000-0005-0000-0000-00002C110000}"/>
    <cellStyle name="40% - Akzent3 14 2_est. MEAT" xfId="21135" xr:uid="{00000000-0005-0000-0000-00002D110000}"/>
    <cellStyle name="40% - Akzent3 14 3" xfId="13568" xr:uid="{00000000-0005-0000-0000-00002E110000}"/>
    <cellStyle name="40% - Akzent3 14_2012-2019" xfId="11674" xr:uid="{00000000-0005-0000-0000-00002F110000}"/>
    <cellStyle name="40% - Akzent3 140" xfId="4152" xr:uid="{00000000-0005-0000-0000-000030110000}"/>
    <cellStyle name="40% - Akzent3 140 2" xfId="4153" xr:uid="{00000000-0005-0000-0000-000031110000}"/>
    <cellStyle name="40% - Akzent3 140 2 2" xfId="13571" xr:uid="{00000000-0005-0000-0000-000032110000}"/>
    <cellStyle name="40% - Akzent3 140 2_est. MEAT" xfId="21136" xr:uid="{00000000-0005-0000-0000-000033110000}"/>
    <cellStyle name="40% - Akzent3 140 3" xfId="13570" xr:uid="{00000000-0005-0000-0000-000034110000}"/>
    <cellStyle name="40% - Akzent3 140_2012-2019" xfId="11675" xr:uid="{00000000-0005-0000-0000-000035110000}"/>
    <cellStyle name="40% - Akzent3 141" xfId="4154" xr:uid="{00000000-0005-0000-0000-000036110000}"/>
    <cellStyle name="40% - Akzent3 141 2" xfId="4155" xr:uid="{00000000-0005-0000-0000-000037110000}"/>
    <cellStyle name="40% - Akzent3 141 2 2" xfId="13573" xr:uid="{00000000-0005-0000-0000-000038110000}"/>
    <cellStyle name="40% - Akzent3 141 2_est. MEAT" xfId="21137" xr:uid="{00000000-0005-0000-0000-000039110000}"/>
    <cellStyle name="40% - Akzent3 141 3" xfId="13572" xr:uid="{00000000-0005-0000-0000-00003A110000}"/>
    <cellStyle name="40% - Akzent3 141_2012-2019" xfId="11676" xr:uid="{00000000-0005-0000-0000-00003B110000}"/>
    <cellStyle name="40% - Akzent3 142" xfId="4156" xr:uid="{00000000-0005-0000-0000-00003C110000}"/>
    <cellStyle name="40% - Akzent3 142 2" xfId="4157" xr:uid="{00000000-0005-0000-0000-00003D110000}"/>
    <cellStyle name="40% - Akzent3 142 2 2" xfId="13575" xr:uid="{00000000-0005-0000-0000-00003E110000}"/>
    <cellStyle name="40% - Akzent3 142 2_est. MEAT" xfId="21138" xr:uid="{00000000-0005-0000-0000-00003F110000}"/>
    <cellStyle name="40% - Akzent3 142 3" xfId="13574" xr:uid="{00000000-0005-0000-0000-000040110000}"/>
    <cellStyle name="40% - Akzent3 142_2012-2019" xfId="11677" xr:uid="{00000000-0005-0000-0000-000041110000}"/>
    <cellStyle name="40% - Akzent3 143" xfId="4158" xr:uid="{00000000-0005-0000-0000-000042110000}"/>
    <cellStyle name="40% - Akzent3 143 2" xfId="4159" xr:uid="{00000000-0005-0000-0000-000043110000}"/>
    <cellStyle name="40% - Akzent3 143 2 2" xfId="13577" xr:uid="{00000000-0005-0000-0000-000044110000}"/>
    <cellStyle name="40% - Akzent3 143 2_est. MEAT" xfId="21139" xr:uid="{00000000-0005-0000-0000-000045110000}"/>
    <cellStyle name="40% - Akzent3 143 3" xfId="13576" xr:uid="{00000000-0005-0000-0000-000046110000}"/>
    <cellStyle name="40% - Akzent3 143_2012-2019" xfId="11678" xr:uid="{00000000-0005-0000-0000-000047110000}"/>
    <cellStyle name="40% - Akzent3 144" xfId="4160" xr:uid="{00000000-0005-0000-0000-000048110000}"/>
    <cellStyle name="40% - Akzent3 144 2" xfId="4161" xr:uid="{00000000-0005-0000-0000-000049110000}"/>
    <cellStyle name="40% - Akzent3 144 2 2" xfId="13579" xr:uid="{00000000-0005-0000-0000-00004A110000}"/>
    <cellStyle name="40% - Akzent3 144 2_est. MEAT" xfId="21140" xr:uid="{00000000-0005-0000-0000-00004B110000}"/>
    <cellStyle name="40% - Akzent3 144 3" xfId="13578" xr:uid="{00000000-0005-0000-0000-00004C110000}"/>
    <cellStyle name="40% - Akzent3 144_2012-2019" xfId="11679" xr:uid="{00000000-0005-0000-0000-00004D110000}"/>
    <cellStyle name="40% - Akzent3 145" xfId="4162" xr:uid="{00000000-0005-0000-0000-00004E110000}"/>
    <cellStyle name="40% - Akzent3 145 2" xfId="4163" xr:uid="{00000000-0005-0000-0000-00004F110000}"/>
    <cellStyle name="40% - Akzent3 145 2 2" xfId="13581" xr:uid="{00000000-0005-0000-0000-000050110000}"/>
    <cellStyle name="40% - Akzent3 145 2_est. MEAT" xfId="21141" xr:uid="{00000000-0005-0000-0000-000051110000}"/>
    <cellStyle name="40% - Akzent3 145 3" xfId="13580" xr:uid="{00000000-0005-0000-0000-000052110000}"/>
    <cellStyle name="40% - Akzent3 145_2012-2019" xfId="11680" xr:uid="{00000000-0005-0000-0000-000053110000}"/>
    <cellStyle name="40% - Akzent3 146" xfId="4164" xr:uid="{00000000-0005-0000-0000-000054110000}"/>
    <cellStyle name="40% - Akzent3 146 2" xfId="4165" xr:uid="{00000000-0005-0000-0000-000055110000}"/>
    <cellStyle name="40% - Akzent3 146 2 2" xfId="13583" xr:uid="{00000000-0005-0000-0000-000056110000}"/>
    <cellStyle name="40% - Akzent3 146 2_est. MEAT" xfId="21142" xr:uid="{00000000-0005-0000-0000-000057110000}"/>
    <cellStyle name="40% - Akzent3 146 3" xfId="13582" xr:uid="{00000000-0005-0000-0000-000058110000}"/>
    <cellStyle name="40% - Akzent3 146_2012-2019" xfId="11681" xr:uid="{00000000-0005-0000-0000-000059110000}"/>
    <cellStyle name="40% - Akzent3 147" xfId="4166" xr:uid="{00000000-0005-0000-0000-00005A110000}"/>
    <cellStyle name="40% - Akzent3 147 2" xfId="4167" xr:uid="{00000000-0005-0000-0000-00005B110000}"/>
    <cellStyle name="40% - Akzent3 147 2 2" xfId="13585" xr:uid="{00000000-0005-0000-0000-00005C110000}"/>
    <cellStyle name="40% - Akzent3 147 2_est. MEAT" xfId="21143" xr:uid="{00000000-0005-0000-0000-00005D110000}"/>
    <cellStyle name="40% - Akzent3 147 3" xfId="13584" xr:uid="{00000000-0005-0000-0000-00005E110000}"/>
    <cellStyle name="40% - Akzent3 147_2012-2019" xfId="11682" xr:uid="{00000000-0005-0000-0000-00005F110000}"/>
    <cellStyle name="40% - Akzent3 148" xfId="4168" xr:uid="{00000000-0005-0000-0000-000060110000}"/>
    <cellStyle name="40% - Akzent3 148 2" xfId="4169" xr:uid="{00000000-0005-0000-0000-000061110000}"/>
    <cellStyle name="40% - Akzent3 148 2 2" xfId="13587" xr:uid="{00000000-0005-0000-0000-000062110000}"/>
    <cellStyle name="40% - Akzent3 148 2_est. MEAT" xfId="21144" xr:uid="{00000000-0005-0000-0000-000063110000}"/>
    <cellStyle name="40% - Akzent3 148 3" xfId="13586" xr:uid="{00000000-0005-0000-0000-000064110000}"/>
    <cellStyle name="40% - Akzent3 148_2012-2019" xfId="11683" xr:uid="{00000000-0005-0000-0000-000065110000}"/>
    <cellStyle name="40% - Akzent3 149" xfId="4170" xr:uid="{00000000-0005-0000-0000-000066110000}"/>
    <cellStyle name="40% - Akzent3 149 2" xfId="4171" xr:uid="{00000000-0005-0000-0000-000067110000}"/>
    <cellStyle name="40% - Akzent3 149 2 2" xfId="13589" xr:uid="{00000000-0005-0000-0000-000068110000}"/>
    <cellStyle name="40% - Akzent3 149 2_est. MEAT" xfId="21145" xr:uid="{00000000-0005-0000-0000-000069110000}"/>
    <cellStyle name="40% - Akzent3 149 3" xfId="13588" xr:uid="{00000000-0005-0000-0000-00006A110000}"/>
    <cellStyle name="40% - Akzent3 149_2012-2019" xfId="11684" xr:uid="{00000000-0005-0000-0000-00006B110000}"/>
    <cellStyle name="40% - Akzent3 15" xfId="4172" xr:uid="{00000000-0005-0000-0000-00006C110000}"/>
    <cellStyle name="40% - Akzent3 15 2" xfId="4173" xr:uid="{00000000-0005-0000-0000-00006D110000}"/>
    <cellStyle name="40% - Akzent3 15 2 2" xfId="13591" xr:uid="{00000000-0005-0000-0000-00006E110000}"/>
    <cellStyle name="40% - Akzent3 15 2_est. MEAT" xfId="21146" xr:uid="{00000000-0005-0000-0000-00006F110000}"/>
    <cellStyle name="40% - Akzent3 15 3" xfId="13590" xr:uid="{00000000-0005-0000-0000-000070110000}"/>
    <cellStyle name="40% - Akzent3 15_2012-2019" xfId="11685" xr:uid="{00000000-0005-0000-0000-000071110000}"/>
    <cellStyle name="40% - Akzent3 150" xfId="4174" xr:uid="{00000000-0005-0000-0000-000072110000}"/>
    <cellStyle name="40% - Akzent3 150 2" xfId="4175" xr:uid="{00000000-0005-0000-0000-000073110000}"/>
    <cellStyle name="40% - Akzent3 150 2 2" xfId="13593" xr:uid="{00000000-0005-0000-0000-000074110000}"/>
    <cellStyle name="40% - Akzent3 150 2_est. MEAT" xfId="21147" xr:uid="{00000000-0005-0000-0000-000075110000}"/>
    <cellStyle name="40% - Akzent3 150 3" xfId="13592" xr:uid="{00000000-0005-0000-0000-000076110000}"/>
    <cellStyle name="40% - Akzent3 150_2012-2019" xfId="11686" xr:uid="{00000000-0005-0000-0000-000077110000}"/>
    <cellStyle name="40% - Akzent3 151" xfId="4176" xr:uid="{00000000-0005-0000-0000-000078110000}"/>
    <cellStyle name="40% - Akzent3 151 2" xfId="4177" xr:uid="{00000000-0005-0000-0000-000079110000}"/>
    <cellStyle name="40% - Akzent3 151 2 2" xfId="13595" xr:uid="{00000000-0005-0000-0000-00007A110000}"/>
    <cellStyle name="40% - Akzent3 151 2_est. MEAT" xfId="21148" xr:uid="{00000000-0005-0000-0000-00007B110000}"/>
    <cellStyle name="40% - Akzent3 151 3" xfId="13594" xr:uid="{00000000-0005-0000-0000-00007C110000}"/>
    <cellStyle name="40% - Akzent3 151_2012-2019" xfId="11687" xr:uid="{00000000-0005-0000-0000-00007D110000}"/>
    <cellStyle name="40% - Akzent3 16" xfId="4178" xr:uid="{00000000-0005-0000-0000-00007E110000}"/>
    <cellStyle name="40% - Akzent3 16 2" xfId="4179" xr:uid="{00000000-0005-0000-0000-00007F110000}"/>
    <cellStyle name="40% - Akzent3 16 2 2" xfId="13597" xr:uid="{00000000-0005-0000-0000-000080110000}"/>
    <cellStyle name="40% - Akzent3 16 2_est. MEAT" xfId="21149" xr:uid="{00000000-0005-0000-0000-000081110000}"/>
    <cellStyle name="40% - Akzent3 16 3" xfId="13596" xr:uid="{00000000-0005-0000-0000-000082110000}"/>
    <cellStyle name="40% - Akzent3 16_2012-2019" xfId="11688" xr:uid="{00000000-0005-0000-0000-000083110000}"/>
    <cellStyle name="40% - Akzent3 17" xfId="4180" xr:uid="{00000000-0005-0000-0000-000084110000}"/>
    <cellStyle name="40% - Akzent3 17 2" xfId="4181" xr:uid="{00000000-0005-0000-0000-000085110000}"/>
    <cellStyle name="40% - Akzent3 17 2 2" xfId="13599" xr:uid="{00000000-0005-0000-0000-000086110000}"/>
    <cellStyle name="40% - Akzent3 17 2_est. MEAT" xfId="21150" xr:uid="{00000000-0005-0000-0000-000087110000}"/>
    <cellStyle name="40% - Akzent3 17 3" xfId="13598" xr:uid="{00000000-0005-0000-0000-000088110000}"/>
    <cellStyle name="40% - Akzent3 17_2012-2019" xfId="11689" xr:uid="{00000000-0005-0000-0000-000089110000}"/>
    <cellStyle name="40% - Akzent3 18" xfId="4182" xr:uid="{00000000-0005-0000-0000-00008A110000}"/>
    <cellStyle name="40% - Akzent3 18 2" xfId="4183" xr:uid="{00000000-0005-0000-0000-00008B110000}"/>
    <cellStyle name="40% - Akzent3 18 2 2" xfId="13601" xr:uid="{00000000-0005-0000-0000-00008C110000}"/>
    <cellStyle name="40% - Akzent3 18 2_est. MEAT" xfId="21151" xr:uid="{00000000-0005-0000-0000-00008D110000}"/>
    <cellStyle name="40% - Akzent3 18 3" xfId="13600" xr:uid="{00000000-0005-0000-0000-00008E110000}"/>
    <cellStyle name="40% - Akzent3 18_2012-2019" xfId="11690" xr:uid="{00000000-0005-0000-0000-00008F110000}"/>
    <cellStyle name="40% - Akzent3 19" xfId="4184" xr:uid="{00000000-0005-0000-0000-000090110000}"/>
    <cellStyle name="40% - Akzent3 19 2" xfId="4185" xr:uid="{00000000-0005-0000-0000-000091110000}"/>
    <cellStyle name="40% - Akzent3 19 2 2" xfId="13603" xr:uid="{00000000-0005-0000-0000-000092110000}"/>
    <cellStyle name="40% - Akzent3 19 2_est. MEAT" xfId="21152" xr:uid="{00000000-0005-0000-0000-000093110000}"/>
    <cellStyle name="40% - Akzent3 19 3" xfId="13602" xr:uid="{00000000-0005-0000-0000-000094110000}"/>
    <cellStyle name="40% - Akzent3 19_2012-2019" xfId="11691" xr:uid="{00000000-0005-0000-0000-000095110000}"/>
    <cellStyle name="40% - Akzent3 2" xfId="4186" xr:uid="{00000000-0005-0000-0000-000096110000}"/>
    <cellStyle name="40% - Akzent3 2 2" xfId="4187" xr:uid="{00000000-0005-0000-0000-000097110000}"/>
    <cellStyle name="40% - Akzent3 2 2 2" xfId="13605" xr:uid="{00000000-0005-0000-0000-000098110000}"/>
    <cellStyle name="40% - Akzent3 2 2_est. MEAT" xfId="21153" xr:uid="{00000000-0005-0000-0000-000099110000}"/>
    <cellStyle name="40% - Akzent3 2 3" xfId="4188" xr:uid="{00000000-0005-0000-0000-00009A110000}"/>
    <cellStyle name="40% - Akzent3 2 3 2" xfId="13606" xr:uid="{00000000-0005-0000-0000-00009B110000}"/>
    <cellStyle name="40% - Akzent3 2 3_est. MEAT" xfId="21154" xr:uid="{00000000-0005-0000-0000-00009C110000}"/>
    <cellStyle name="40% - Akzent3 2 4" xfId="4189" xr:uid="{00000000-0005-0000-0000-00009D110000}"/>
    <cellStyle name="40% - Akzent3 2 4 2" xfId="4190" xr:uid="{00000000-0005-0000-0000-00009E110000}"/>
    <cellStyle name="40% - Akzent3 2 4 2 2" xfId="13608" xr:uid="{00000000-0005-0000-0000-00009F110000}"/>
    <cellStyle name="40% - Akzent3 2 4 2_est. MEAT" xfId="21155" xr:uid="{00000000-0005-0000-0000-0000A0110000}"/>
    <cellStyle name="40% - Akzent3 2 4 3" xfId="13607" xr:uid="{00000000-0005-0000-0000-0000A1110000}"/>
    <cellStyle name="40% - Akzent3 2 4_2012-2019" xfId="11693" xr:uid="{00000000-0005-0000-0000-0000A2110000}"/>
    <cellStyle name="40% - Akzent3 2 5" xfId="4191" xr:uid="{00000000-0005-0000-0000-0000A3110000}"/>
    <cellStyle name="40% - Akzent3 2 5 2" xfId="13609" xr:uid="{00000000-0005-0000-0000-0000A4110000}"/>
    <cellStyle name="40% - Akzent3 2 5_est. MEAT" xfId="21156" xr:uid="{00000000-0005-0000-0000-0000A5110000}"/>
    <cellStyle name="40% - Akzent3 2 6" xfId="13604" xr:uid="{00000000-0005-0000-0000-0000A6110000}"/>
    <cellStyle name="40% - Akzent3 2_2012-2019" xfId="11692" xr:uid="{00000000-0005-0000-0000-0000A7110000}"/>
    <cellStyle name="40% - Akzent3 20" xfId="4192" xr:uid="{00000000-0005-0000-0000-0000A8110000}"/>
    <cellStyle name="40% - Akzent3 20 2" xfId="4193" xr:uid="{00000000-0005-0000-0000-0000A9110000}"/>
    <cellStyle name="40% - Akzent3 20 2 2" xfId="13611" xr:uid="{00000000-0005-0000-0000-0000AA110000}"/>
    <cellStyle name="40% - Akzent3 20 2_est. MEAT" xfId="21157" xr:uid="{00000000-0005-0000-0000-0000AB110000}"/>
    <cellStyle name="40% - Akzent3 20 3" xfId="13610" xr:uid="{00000000-0005-0000-0000-0000AC110000}"/>
    <cellStyle name="40% - Akzent3 20_2012-2019" xfId="11694" xr:uid="{00000000-0005-0000-0000-0000AD110000}"/>
    <cellStyle name="40% - Akzent3 21" xfId="4194" xr:uid="{00000000-0005-0000-0000-0000AE110000}"/>
    <cellStyle name="40% - Akzent3 21 2" xfId="4195" xr:uid="{00000000-0005-0000-0000-0000AF110000}"/>
    <cellStyle name="40% - Akzent3 21 2 2" xfId="13613" xr:uid="{00000000-0005-0000-0000-0000B0110000}"/>
    <cellStyle name="40% - Akzent3 21 2_est. MEAT" xfId="21158" xr:uid="{00000000-0005-0000-0000-0000B1110000}"/>
    <cellStyle name="40% - Akzent3 21 3" xfId="13612" xr:uid="{00000000-0005-0000-0000-0000B2110000}"/>
    <cellStyle name="40% - Akzent3 21_2012-2019" xfId="11695" xr:uid="{00000000-0005-0000-0000-0000B3110000}"/>
    <cellStyle name="40% - Akzent3 22" xfId="4196" xr:uid="{00000000-0005-0000-0000-0000B4110000}"/>
    <cellStyle name="40% - Akzent3 22 2" xfId="4197" xr:uid="{00000000-0005-0000-0000-0000B5110000}"/>
    <cellStyle name="40% - Akzent3 22 2 2" xfId="13615" xr:uid="{00000000-0005-0000-0000-0000B6110000}"/>
    <cellStyle name="40% - Akzent3 22 2_est. MEAT" xfId="21159" xr:uid="{00000000-0005-0000-0000-0000B7110000}"/>
    <cellStyle name="40% - Akzent3 22 3" xfId="13614" xr:uid="{00000000-0005-0000-0000-0000B8110000}"/>
    <cellStyle name="40% - Akzent3 22_2012-2019" xfId="11696" xr:uid="{00000000-0005-0000-0000-0000B9110000}"/>
    <cellStyle name="40% - Akzent3 23" xfId="4198" xr:uid="{00000000-0005-0000-0000-0000BA110000}"/>
    <cellStyle name="40% - Akzent3 23 2" xfId="4199" xr:uid="{00000000-0005-0000-0000-0000BB110000}"/>
    <cellStyle name="40% - Akzent3 23 2 2" xfId="13617" xr:uid="{00000000-0005-0000-0000-0000BC110000}"/>
    <cellStyle name="40% - Akzent3 23 2_est. MEAT" xfId="21160" xr:uid="{00000000-0005-0000-0000-0000BD110000}"/>
    <cellStyle name="40% - Akzent3 23 3" xfId="13616" xr:uid="{00000000-0005-0000-0000-0000BE110000}"/>
    <cellStyle name="40% - Akzent3 23_2012-2019" xfId="11697" xr:uid="{00000000-0005-0000-0000-0000BF110000}"/>
    <cellStyle name="40% - Akzent3 24" xfId="4200" xr:uid="{00000000-0005-0000-0000-0000C0110000}"/>
    <cellStyle name="40% - Akzent3 24 2" xfId="4201" xr:uid="{00000000-0005-0000-0000-0000C1110000}"/>
    <cellStyle name="40% - Akzent3 24 2 2" xfId="13619" xr:uid="{00000000-0005-0000-0000-0000C2110000}"/>
    <cellStyle name="40% - Akzent3 24 2_est. MEAT" xfId="21161" xr:uid="{00000000-0005-0000-0000-0000C3110000}"/>
    <cellStyle name="40% - Akzent3 24 3" xfId="13618" xr:uid="{00000000-0005-0000-0000-0000C4110000}"/>
    <cellStyle name="40% - Akzent3 24_2012-2019" xfId="11698" xr:uid="{00000000-0005-0000-0000-0000C5110000}"/>
    <cellStyle name="40% - Akzent3 25" xfId="4202" xr:uid="{00000000-0005-0000-0000-0000C6110000}"/>
    <cellStyle name="40% - Akzent3 25 2" xfId="4203" xr:uid="{00000000-0005-0000-0000-0000C7110000}"/>
    <cellStyle name="40% - Akzent3 25 2 2" xfId="13621" xr:uid="{00000000-0005-0000-0000-0000C8110000}"/>
    <cellStyle name="40% - Akzent3 25 2_est. MEAT" xfId="21162" xr:uid="{00000000-0005-0000-0000-0000C9110000}"/>
    <cellStyle name="40% - Akzent3 25 3" xfId="13620" xr:uid="{00000000-0005-0000-0000-0000CA110000}"/>
    <cellStyle name="40% - Akzent3 25_2012-2019" xfId="11699" xr:uid="{00000000-0005-0000-0000-0000CB110000}"/>
    <cellStyle name="40% - Akzent3 26" xfId="4204" xr:uid="{00000000-0005-0000-0000-0000CC110000}"/>
    <cellStyle name="40% - Akzent3 26 2" xfId="4205" xr:uid="{00000000-0005-0000-0000-0000CD110000}"/>
    <cellStyle name="40% - Akzent3 26 2 2" xfId="13623" xr:uid="{00000000-0005-0000-0000-0000CE110000}"/>
    <cellStyle name="40% - Akzent3 26 2_est. MEAT" xfId="21163" xr:uid="{00000000-0005-0000-0000-0000CF110000}"/>
    <cellStyle name="40% - Akzent3 26 3" xfId="13622" xr:uid="{00000000-0005-0000-0000-0000D0110000}"/>
    <cellStyle name="40% - Akzent3 26_2012-2019" xfId="11700" xr:uid="{00000000-0005-0000-0000-0000D1110000}"/>
    <cellStyle name="40% - Akzent3 27" xfId="4206" xr:uid="{00000000-0005-0000-0000-0000D2110000}"/>
    <cellStyle name="40% - Akzent3 27 2" xfId="4207" xr:uid="{00000000-0005-0000-0000-0000D3110000}"/>
    <cellStyle name="40% - Akzent3 27 2 2" xfId="13625" xr:uid="{00000000-0005-0000-0000-0000D4110000}"/>
    <cellStyle name="40% - Akzent3 27 2_est. MEAT" xfId="21164" xr:uid="{00000000-0005-0000-0000-0000D5110000}"/>
    <cellStyle name="40% - Akzent3 27 3" xfId="13624" xr:uid="{00000000-0005-0000-0000-0000D6110000}"/>
    <cellStyle name="40% - Akzent3 27_2012-2019" xfId="11701" xr:uid="{00000000-0005-0000-0000-0000D7110000}"/>
    <cellStyle name="40% - Akzent3 28" xfId="4208" xr:uid="{00000000-0005-0000-0000-0000D8110000}"/>
    <cellStyle name="40% - Akzent3 28 2" xfId="4209" xr:uid="{00000000-0005-0000-0000-0000D9110000}"/>
    <cellStyle name="40% - Akzent3 28 2 2" xfId="13627" xr:uid="{00000000-0005-0000-0000-0000DA110000}"/>
    <cellStyle name="40% - Akzent3 28 2_est. MEAT" xfId="21165" xr:uid="{00000000-0005-0000-0000-0000DB110000}"/>
    <cellStyle name="40% - Akzent3 28 3" xfId="13626" xr:uid="{00000000-0005-0000-0000-0000DC110000}"/>
    <cellStyle name="40% - Akzent3 28_2012-2019" xfId="11702" xr:uid="{00000000-0005-0000-0000-0000DD110000}"/>
    <cellStyle name="40% - Akzent3 29" xfId="4210" xr:uid="{00000000-0005-0000-0000-0000DE110000}"/>
    <cellStyle name="40% - Akzent3 29 2" xfId="4211" xr:uid="{00000000-0005-0000-0000-0000DF110000}"/>
    <cellStyle name="40% - Akzent3 29 2 2" xfId="13629" xr:uid="{00000000-0005-0000-0000-0000E0110000}"/>
    <cellStyle name="40% - Akzent3 29 2_est. MEAT" xfId="21166" xr:uid="{00000000-0005-0000-0000-0000E1110000}"/>
    <cellStyle name="40% - Akzent3 29 3" xfId="13628" xr:uid="{00000000-0005-0000-0000-0000E2110000}"/>
    <cellStyle name="40% - Akzent3 29_2012-2019" xfId="11703" xr:uid="{00000000-0005-0000-0000-0000E3110000}"/>
    <cellStyle name="40% - Akzent3 3" xfId="4212" xr:uid="{00000000-0005-0000-0000-0000E4110000}"/>
    <cellStyle name="40% - Akzent3 3 2" xfId="4213" xr:uid="{00000000-0005-0000-0000-0000E5110000}"/>
    <cellStyle name="40% - Akzent3 3 2 2" xfId="13631" xr:uid="{00000000-0005-0000-0000-0000E6110000}"/>
    <cellStyle name="40% - Akzent3 3 2_est. MEAT" xfId="21167" xr:uid="{00000000-0005-0000-0000-0000E7110000}"/>
    <cellStyle name="40% - Akzent3 3 3" xfId="4214" xr:uid="{00000000-0005-0000-0000-0000E8110000}"/>
    <cellStyle name="40% - Akzent3 3 3 2" xfId="13632" xr:uid="{00000000-0005-0000-0000-0000E9110000}"/>
    <cellStyle name="40% - Akzent3 3 3_est. MEAT" xfId="21168" xr:uid="{00000000-0005-0000-0000-0000EA110000}"/>
    <cellStyle name="40% - Akzent3 3 4" xfId="4215" xr:uid="{00000000-0005-0000-0000-0000EB110000}"/>
    <cellStyle name="40% - Akzent3 3 4 2" xfId="4216" xr:uid="{00000000-0005-0000-0000-0000EC110000}"/>
    <cellStyle name="40% - Akzent3 3 4 2 2" xfId="13634" xr:uid="{00000000-0005-0000-0000-0000ED110000}"/>
    <cellStyle name="40% - Akzent3 3 4 2_est. MEAT" xfId="21169" xr:uid="{00000000-0005-0000-0000-0000EE110000}"/>
    <cellStyle name="40% - Akzent3 3 4 3" xfId="13633" xr:uid="{00000000-0005-0000-0000-0000EF110000}"/>
    <cellStyle name="40% - Akzent3 3 4_2012-2019" xfId="11705" xr:uid="{00000000-0005-0000-0000-0000F0110000}"/>
    <cellStyle name="40% - Akzent3 3 5" xfId="4217" xr:uid="{00000000-0005-0000-0000-0000F1110000}"/>
    <cellStyle name="40% - Akzent3 3 5 2" xfId="13635" xr:uid="{00000000-0005-0000-0000-0000F2110000}"/>
    <cellStyle name="40% - Akzent3 3 5_est. MEAT" xfId="21170" xr:uid="{00000000-0005-0000-0000-0000F3110000}"/>
    <cellStyle name="40% - Akzent3 3 6" xfId="13630" xr:uid="{00000000-0005-0000-0000-0000F4110000}"/>
    <cellStyle name="40% - Akzent3 3_2012-2019" xfId="11704" xr:uid="{00000000-0005-0000-0000-0000F5110000}"/>
    <cellStyle name="40% - Akzent3 30" xfId="4218" xr:uid="{00000000-0005-0000-0000-0000F6110000}"/>
    <cellStyle name="40% - Akzent3 30 2" xfId="4219" xr:uid="{00000000-0005-0000-0000-0000F7110000}"/>
    <cellStyle name="40% - Akzent3 30 2 2" xfId="13637" xr:uid="{00000000-0005-0000-0000-0000F8110000}"/>
    <cellStyle name="40% - Akzent3 30 2_est. MEAT" xfId="21171" xr:uid="{00000000-0005-0000-0000-0000F9110000}"/>
    <cellStyle name="40% - Akzent3 30 3" xfId="13636" xr:uid="{00000000-0005-0000-0000-0000FA110000}"/>
    <cellStyle name="40% - Akzent3 30_2012-2019" xfId="11706" xr:uid="{00000000-0005-0000-0000-0000FB110000}"/>
    <cellStyle name="40% - Akzent3 31" xfId="4220" xr:uid="{00000000-0005-0000-0000-0000FC110000}"/>
    <cellStyle name="40% - Akzent3 31 2" xfId="4221" xr:uid="{00000000-0005-0000-0000-0000FD110000}"/>
    <cellStyle name="40% - Akzent3 31 2 2" xfId="13639" xr:uid="{00000000-0005-0000-0000-0000FE110000}"/>
    <cellStyle name="40% - Akzent3 31 2_est. MEAT" xfId="21172" xr:uid="{00000000-0005-0000-0000-0000FF110000}"/>
    <cellStyle name="40% - Akzent3 31 3" xfId="13638" xr:uid="{00000000-0005-0000-0000-000000120000}"/>
    <cellStyle name="40% - Akzent3 31_2012-2019" xfId="11707" xr:uid="{00000000-0005-0000-0000-000001120000}"/>
    <cellStyle name="40% - Akzent3 32" xfId="4222" xr:uid="{00000000-0005-0000-0000-000002120000}"/>
    <cellStyle name="40% - Akzent3 32 2" xfId="4223" xr:uid="{00000000-0005-0000-0000-000003120000}"/>
    <cellStyle name="40% - Akzent3 32 2 2" xfId="13641" xr:uid="{00000000-0005-0000-0000-000004120000}"/>
    <cellStyle name="40% - Akzent3 32 2_est. MEAT" xfId="21173" xr:uid="{00000000-0005-0000-0000-000005120000}"/>
    <cellStyle name="40% - Akzent3 32 3" xfId="13640" xr:uid="{00000000-0005-0000-0000-000006120000}"/>
    <cellStyle name="40% - Akzent3 32_2012-2019" xfId="11708" xr:uid="{00000000-0005-0000-0000-000007120000}"/>
    <cellStyle name="40% - Akzent3 33" xfId="4224" xr:uid="{00000000-0005-0000-0000-000008120000}"/>
    <cellStyle name="40% - Akzent3 33 2" xfId="4225" xr:uid="{00000000-0005-0000-0000-000009120000}"/>
    <cellStyle name="40% - Akzent3 33 2 2" xfId="13643" xr:uid="{00000000-0005-0000-0000-00000A120000}"/>
    <cellStyle name="40% - Akzent3 33 2_est. MEAT" xfId="21174" xr:uid="{00000000-0005-0000-0000-00000B120000}"/>
    <cellStyle name="40% - Akzent3 33 3" xfId="13642" xr:uid="{00000000-0005-0000-0000-00000C120000}"/>
    <cellStyle name="40% - Akzent3 33_2012-2019" xfId="11709" xr:uid="{00000000-0005-0000-0000-00000D120000}"/>
    <cellStyle name="40% - Akzent3 34" xfId="4226" xr:uid="{00000000-0005-0000-0000-00000E120000}"/>
    <cellStyle name="40% - Akzent3 34 2" xfId="4227" xr:uid="{00000000-0005-0000-0000-00000F120000}"/>
    <cellStyle name="40% - Akzent3 34 2 2" xfId="13645" xr:uid="{00000000-0005-0000-0000-000010120000}"/>
    <cellStyle name="40% - Akzent3 34 2_est. MEAT" xfId="21175" xr:uid="{00000000-0005-0000-0000-000011120000}"/>
    <cellStyle name="40% - Akzent3 34 3" xfId="13644" xr:uid="{00000000-0005-0000-0000-000012120000}"/>
    <cellStyle name="40% - Akzent3 34_2012-2019" xfId="11710" xr:uid="{00000000-0005-0000-0000-000013120000}"/>
    <cellStyle name="40% - Akzent3 35" xfId="4228" xr:uid="{00000000-0005-0000-0000-000014120000}"/>
    <cellStyle name="40% - Akzent3 35 2" xfId="4229" xr:uid="{00000000-0005-0000-0000-000015120000}"/>
    <cellStyle name="40% - Akzent3 35 2 2" xfId="13647" xr:uid="{00000000-0005-0000-0000-000016120000}"/>
    <cellStyle name="40% - Akzent3 35 2_est. MEAT" xfId="21176" xr:uid="{00000000-0005-0000-0000-000017120000}"/>
    <cellStyle name="40% - Akzent3 35 3" xfId="13646" xr:uid="{00000000-0005-0000-0000-000018120000}"/>
    <cellStyle name="40% - Akzent3 35_2012-2019" xfId="11711" xr:uid="{00000000-0005-0000-0000-000019120000}"/>
    <cellStyle name="40% - Akzent3 36" xfId="4230" xr:uid="{00000000-0005-0000-0000-00001A120000}"/>
    <cellStyle name="40% - Akzent3 36 2" xfId="4231" xr:uid="{00000000-0005-0000-0000-00001B120000}"/>
    <cellStyle name="40% - Akzent3 36 2 2" xfId="13649" xr:uid="{00000000-0005-0000-0000-00001C120000}"/>
    <cellStyle name="40% - Akzent3 36 2_est. MEAT" xfId="21177" xr:uid="{00000000-0005-0000-0000-00001D120000}"/>
    <cellStyle name="40% - Akzent3 36 3" xfId="13648" xr:uid="{00000000-0005-0000-0000-00001E120000}"/>
    <cellStyle name="40% - Akzent3 36_2012-2019" xfId="11712" xr:uid="{00000000-0005-0000-0000-00001F120000}"/>
    <cellStyle name="40% - Akzent3 37" xfId="4232" xr:uid="{00000000-0005-0000-0000-000020120000}"/>
    <cellStyle name="40% - Akzent3 37 2" xfId="4233" xr:uid="{00000000-0005-0000-0000-000021120000}"/>
    <cellStyle name="40% - Akzent3 37 2 2" xfId="13651" xr:uid="{00000000-0005-0000-0000-000022120000}"/>
    <cellStyle name="40% - Akzent3 37 2_est. MEAT" xfId="21178" xr:uid="{00000000-0005-0000-0000-000023120000}"/>
    <cellStyle name="40% - Akzent3 37 3" xfId="13650" xr:uid="{00000000-0005-0000-0000-000024120000}"/>
    <cellStyle name="40% - Akzent3 37_2012-2019" xfId="11713" xr:uid="{00000000-0005-0000-0000-000025120000}"/>
    <cellStyle name="40% - Akzent3 38" xfId="4234" xr:uid="{00000000-0005-0000-0000-000026120000}"/>
    <cellStyle name="40% - Akzent3 38 2" xfId="4235" xr:uid="{00000000-0005-0000-0000-000027120000}"/>
    <cellStyle name="40% - Akzent3 38 2 2" xfId="13653" xr:uid="{00000000-0005-0000-0000-000028120000}"/>
    <cellStyle name="40% - Akzent3 38 2_est. MEAT" xfId="21179" xr:uid="{00000000-0005-0000-0000-000029120000}"/>
    <cellStyle name="40% - Akzent3 38 3" xfId="13652" xr:uid="{00000000-0005-0000-0000-00002A120000}"/>
    <cellStyle name="40% - Akzent3 38_2012-2019" xfId="11714" xr:uid="{00000000-0005-0000-0000-00002B120000}"/>
    <cellStyle name="40% - Akzent3 39" xfId="4236" xr:uid="{00000000-0005-0000-0000-00002C120000}"/>
    <cellStyle name="40% - Akzent3 39 2" xfId="4237" xr:uid="{00000000-0005-0000-0000-00002D120000}"/>
    <cellStyle name="40% - Akzent3 39 2 2" xfId="13655" xr:uid="{00000000-0005-0000-0000-00002E120000}"/>
    <cellStyle name="40% - Akzent3 39 2_est. MEAT" xfId="21180" xr:uid="{00000000-0005-0000-0000-00002F120000}"/>
    <cellStyle name="40% - Akzent3 39 3" xfId="13654" xr:uid="{00000000-0005-0000-0000-000030120000}"/>
    <cellStyle name="40% - Akzent3 39_2012-2019" xfId="11715" xr:uid="{00000000-0005-0000-0000-000031120000}"/>
    <cellStyle name="40% - Akzent3 4" xfId="4238" xr:uid="{00000000-0005-0000-0000-000032120000}"/>
    <cellStyle name="40% - Akzent3 4 2" xfId="4239" xr:uid="{00000000-0005-0000-0000-000033120000}"/>
    <cellStyle name="40% - Akzent3 4 2 2" xfId="13657" xr:uid="{00000000-0005-0000-0000-000034120000}"/>
    <cellStyle name="40% - Akzent3 4 2_est. MEAT" xfId="21181" xr:uid="{00000000-0005-0000-0000-000035120000}"/>
    <cellStyle name="40% - Akzent3 4 3" xfId="4240" xr:uid="{00000000-0005-0000-0000-000036120000}"/>
    <cellStyle name="40% - Akzent3 4 3 2" xfId="13658" xr:uid="{00000000-0005-0000-0000-000037120000}"/>
    <cellStyle name="40% - Akzent3 4 3_est. MEAT" xfId="21182" xr:uid="{00000000-0005-0000-0000-000038120000}"/>
    <cellStyle name="40% - Akzent3 4 4" xfId="4241" xr:uid="{00000000-0005-0000-0000-000039120000}"/>
    <cellStyle name="40% - Akzent3 4 4 2" xfId="4242" xr:uid="{00000000-0005-0000-0000-00003A120000}"/>
    <cellStyle name="40% - Akzent3 4 4 2 2" xfId="13660" xr:uid="{00000000-0005-0000-0000-00003B120000}"/>
    <cellStyle name="40% - Akzent3 4 4 2_est. MEAT" xfId="21183" xr:uid="{00000000-0005-0000-0000-00003C120000}"/>
    <cellStyle name="40% - Akzent3 4 4 3" xfId="13659" xr:uid="{00000000-0005-0000-0000-00003D120000}"/>
    <cellStyle name="40% - Akzent3 4 4_2012-2019" xfId="11717" xr:uid="{00000000-0005-0000-0000-00003E120000}"/>
    <cellStyle name="40% - Akzent3 4 5" xfId="4243" xr:uid="{00000000-0005-0000-0000-00003F120000}"/>
    <cellStyle name="40% - Akzent3 4 5 2" xfId="13661" xr:uid="{00000000-0005-0000-0000-000040120000}"/>
    <cellStyle name="40% - Akzent3 4 5_est. MEAT" xfId="21184" xr:uid="{00000000-0005-0000-0000-000041120000}"/>
    <cellStyle name="40% - Akzent3 4 6" xfId="13656" xr:uid="{00000000-0005-0000-0000-000042120000}"/>
    <cellStyle name="40% - Akzent3 4_2012-2019" xfId="11716" xr:uid="{00000000-0005-0000-0000-000043120000}"/>
    <cellStyle name="40% - Akzent3 40" xfId="4244" xr:uid="{00000000-0005-0000-0000-000044120000}"/>
    <cellStyle name="40% - Akzent3 40 2" xfId="4245" xr:uid="{00000000-0005-0000-0000-000045120000}"/>
    <cellStyle name="40% - Akzent3 40 2 2" xfId="13663" xr:uid="{00000000-0005-0000-0000-000046120000}"/>
    <cellStyle name="40% - Akzent3 40 2_est. MEAT" xfId="21185" xr:uid="{00000000-0005-0000-0000-000047120000}"/>
    <cellStyle name="40% - Akzent3 40 3" xfId="13662" xr:uid="{00000000-0005-0000-0000-000048120000}"/>
    <cellStyle name="40% - Akzent3 40_2012-2019" xfId="11718" xr:uid="{00000000-0005-0000-0000-000049120000}"/>
    <cellStyle name="40% - Akzent3 41" xfId="4246" xr:uid="{00000000-0005-0000-0000-00004A120000}"/>
    <cellStyle name="40% - Akzent3 41 2" xfId="4247" xr:uid="{00000000-0005-0000-0000-00004B120000}"/>
    <cellStyle name="40% - Akzent3 41 2 2" xfId="13665" xr:uid="{00000000-0005-0000-0000-00004C120000}"/>
    <cellStyle name="40% - Akzent3 41 2_est. MEAT" xfId="21186" xr:uid="{00000000-0005-0000-0000-00004D120000}"/>
    <cellStyle name="40% - Akzent3 41 3" xfId="13664" xr:uid="{00000000-0005-0000-0000-00004E120000}"/>
    <cellStyle name="40% - Akzent3 41_2012-2019" xfId="11719" xr:uid="{00000000-0005-0000-0000-00004F120000}"/>
    <cellStyle name="40% - Akzent3 42" xfId="4248" xr:uid="{00000000-0005-0000-0000-000050120000}"/>
    <cellStyle name="40% - Akzent3 42 2" xfId="4249" xr:uid="{00000000-0005-0000-0000-000051120000}"/>
    <cellStyle name="40% - Akzent3 42 2 2" xfId="13667" xr:uid="{00000000-0005-0000-0000-000052120000}"/>
    <cellStyle name="40% - Akzent3 42 2_est. MEAT" xfId="21187" xr:uid="{00000000-0005-0000-0000-000053120000}"/>
    <cellStyle name="40% - Akzent3 42 3" xfId="13666" xr:uid="{00000000-0005-0000-0000-000054120000}"/>
    <cellStyle name="40% - Akzent3 42_2012-2019" xfId="11720" xr:uid="{00000000-0005-0000-0000-000055120000}"/>
    <cellStyle name="40% - Akzent3 43" xfId="4250" xr:uid="{00000000-0005-0000-0000-000056120000}"/>
    <cellStyle name="40% - Akzent3 43 2" xfId="4251" xr:uid="{00000000-0005-0000-0000-000057120000}"/>
    <cellStyle name="40% - Akzent3 43 2 2" xfId="13669" xr:uid="{00000000-0005-0000-0000-000058120000}"/>
    <cellStyle name="40% - Akzent3 43 2_est. MEAT" xfId="21188" xr:uid="{00000000-0005-0000-0000-000059120000}"/>
    <cellStyle name="40% - Akzent3 43 3" xfId="13668" xr:uid="{00000000-0005-0000-0000-00005A120000}"/>
    <cellStyle name="40% - Akzent3 43_2012-2019" xfId="11721" xr:uid="{00000000-0005-0000-0000-00005B120000}"/>
    <cellStyle name="40% - Akzent3 44" xfId="4252" xr:uid="{00000000-0005-0000-0000-00005C120000}"/>
    <cellStyle name="40% - Akzent3 44 2" xfId="4253" xr:uid="{00000000-0005-0000-0000-00005D120000}"/>
    <cellStyle name="40% - Akzent3 44 2 2" xfId="13671" xr:uid="{00000000-0005-0000-0000-00005E120000}"/>
    <cellStyle name="40% - Akzent3 44 2_est. MEAT" xfId="21189" xr:uid="{00000000-0005-0000-0000-00005F120000}"/>
    <cellStyle name="40% - Akzent3 44 3" xfId="13670" xr:uid="{00000000-0005-0000-0000-000060120000}"/>
    <cellStyle name="40% - Akzent3 44_2012-2019" xfId="11722" xr:uid="{00000000-0005-0000-0000-000061120000}"/>
    <cellStyle name="40% - Akzent3 45" xfId="4254" xr:uid="{00000000-0005-0000-0000-000062120000}"/>
    <cellStyle name="40% - Akzent3 45 2" xfId="4255" xr:uid="{00000000-0005-0000-0000-000063120000}"/>
    <cellStyle name="40% - Akzent3 45 2 2" xfId="13673" xr:uid="{00000000-0005-0000-0000-000064120000}"/>
    <cellStyle name="40% - Akzent3 45 2_est. MEAT" xfId="21190" xr:uid="{00000000-0005-0000-0000-000065120000}"/>
    <cellStyle name="40% - Akzent3 45 3" xfId="13672" xr:uid="{00000000-0005-0000-0000-000066120000}"/>
    <cellStyle name="40% - Akzent3 45_2012-2019" xfId="11723" xr:uid="{00000000-0005-0000-0000-000067120000}"/>
    <cellStyle name="40% - Akzent3 46" xfId="4256" xr:uid="{00000000-0005-0000-0000-000068120000}"/>
    <cellStyle name="40% - Akzent3 46 2" xfId="4257" xr:uid="{00000000-0005-0000-0000-000069120000}"/>
    <cellStyle name="40% - Akzent3 46 2 2" xfId="13675" xr:uid="{00000000-0005-0000-0000-00006A120000}"/>
    <cellStyle name="40% - Akzent3 46 2_est. MEAT" xfId="21191" xr:uid="{00000000-0005-0000-0000-00006B120000}"/>
    <cellStyle name="40% - Akzent3 46 3" xfId="13674" xr:uid="{00000000-0005-0000-0000-00006C120000}"/>
    <cellStyle name="40% - Akzent3 46_2012-2019" xfId="11724" xr:uid="{00000000-0005-0000-0000-00006D120000}"/>
    <cellStyle name="40% - Akzent3 47" xfId="4258" xr:uid="{00000000-0005-0000-0000-00006E120000}"/>
    <cellStyle name="40% - Akzent3 47 2" xfId="4259" xr:uid="{00000000-0005-0000-0000-00006F120000}"/>
    <cellStyle name="40% - Akzent3 47 2 2" xfId="13677" xr:uid="{00000000-0005-0000-0000-000070120000}"/>
    <cellStyle name="40% - Akzent3 47 2_est. MEAT" xfId="21192" xr:uid="{00000000-0005-0000-0000-000071120000}"/>
    <cellStyle name="40% - Akzent3 47 3" xfId="13676" xr:uid="{00000000-0005-0000-0000-000072120000}"/>
    <cellStyle name="40% - Akzent3 47_2012-2019" xfId="11725" xr:uid="{00000000-0005-0000-0000-000073120000}"/>
    <cellStyle name="40% - Akzent3 48" xfId="4260" xr:uid="{00000000-0005-0000-0000-000074120000}"/>
    <cellStyle name="40% - Akzent3 48 2" xfId="4261" xr:uid="{00000000-0005-0000-0000-000075120000}"/>
    <cellStyle name="40% - Akzent3 48 2 2" xfId="13679" xr:uid="{00000000-0005-0000-0000-000076120000}"/>
    <cellStyle name="40% - Akzent3 48 2_est. MEAT" xfId="21193" xr:uid="{00000000-0005-0000-0000-000077120000}"/>
    <cellStyle name="40% - Akzent3 48 3" xfId="13678" xr:uid="{00000000-0005-0000-0000-000078120000}"/>
    <cellStyle name="40% - Akzent3 48_2012-2019" xfId="11726" xr:uid="{00000000-0005-0000-0000-000079120000}"/>
    <cellStyle name="40% - Akzent3 49" xfId="4262" xr:uid="{00000000-0005-0000-0000-00007A120000}"/>
    <cellStyle name="40% - Akzent3 49 2" xfId="4263" xr:uid="{00000000-0005-0000-0000-00007B120000}"/>
    <cellStyle name="40% - Akzent3 49 2 2" xfId="13681" xr:uid="{00000000-0005-0000-0000-00007C120000}"/>
    <cellStyle name="40% - Akzent3 49 2_est. MEAT" xfId="21194" xr:uid="{00000000-0005-0000-0000-00007D120000}"/>
    <cellStyle name="40% - Akzent3 49 3" xfId="13680" xr:uid="{00000000-0005-0000-0000-00007E120000}"/>
    <cellStyle name="40% - Akzent3 49_2012-2019" xfId="11727" xr:uid="{00000000-0005-0000-0000-00007F120000}"/>
    <cellStyle name="40% - Akzent3 5" xfId="4264" xr:uid="{00000000-0005-0000-0000-000080120000}"/>
    <cellStyle name="40% - Akzent3 5 2" xfId="4265" xr:uid="{00000000-0005-0000-0000-000081120000}"/>
    <cellStyle name="40% - Akzent3 5 2 2" xfId="13683" xr:uid="{00000000-0005-0000-0000-000082120000}"/>
    <cellStyle name="40% - Akzent3 5 2_est. MEAT" xfId="21195" xr:uid="{00000000-0005-0000-0000-000083120000}"/>
    <cellStyle name="40% - Akzent3 5 3" xfId="13682" xr:uid="{00000000-0005-0000-0000-000084120000}"/>
    <cellStyle name="40% - Akzent3 5_2012-2019" xfId="11728" xr:uid="{00000000-0005-0000-0000-000085120000}"/>
    <cellStyle name="40% - Akzent3 50" xfId="4266" xr:uid="{00000000-0005-0000-0000-000086120000}"/>
    <cellStyle name="40% - Akzent3 50 2" xfId="4267" xr:uid="{00000000-0005-0000-0000-000087120000}"/>
    <cellStyle name="40% - Akzent3 50 2 2" xfId="13685" xr:uid="{00000000-0005-0000-0000-000088120000}"/>
    <cellStyle name="40% - Akzent3 50 2_est. MEAT" xfId="21196" xr:uid="{00000000-0005-0000-0000-000089120000}"/>
    <cellStyle name="40% - Akzent3 50 3" xfId="13684" xr:uid="{00000000-0005-0000-0000-00008A120000}"/>
    <cellStyle name="40% - Akzent3 50_2012-2019" xfId="11729" xr:uid="{00000000-0005-0000-0000-00008B120000}"/>
    <cellStyle name="40% - Akzent3 51" xfId="4268" xr:uid="{00000000-0005-0000-0000-00008C120000}"/>
    <cellStyle name="40% - Akzent3 51 2" xfId="4269" xr:uid="{00000000-0005-0000-0000-00008D120000}"/>
    <cellStyle name="40% - Akzent3 51 2 2" xfId="13687" xr:uid="{00000000-0005-0000-0000-00008E120000}"/>
    <cellStyle name="40% - Akzent3 51 2_est. MEAT" xfId="21197" xr:uid="{00000000-0005-0000-0000-00008F120000}"/>
    <cellStyle name="40% - Akzent3 51 3" xfId="13686" xr:uid="{00000000-0005-0000-0000-000090120000}"/>
    <cellStyle name="40% - Akzent3 51_2012-2019" xfId="11730" xr:uid="{00000000-0005-0000-0000-000091120000}"/>
    <cellStyle name="40% - Akzent3 52" xfId="4270" xr:uid="{00000000-0005-0000-0000-000092120000}"/>
    <cellStyle name="40% - Akzent3 52 2" xfId="4271" xr:uid="{00000000-0005-0000-0000-000093120000}"/>
    <cellStyle name="40% - Akzent3 52 2 2" xfId="13689" xr:uid="{00000000-0005-0000-0000-000094120000}"/>
    <cellStyle name="40% - Akzent3 52 2_est. MEAT" xfId="21198" xr:uid="{00000000-0005-0000-0000-000095120000}"/>
    <cellStyle name="40% - Akzent3 52 3" xfId="13688" xr:uid="{00000000-0005-0000-0000-000096120000}"/>
    <cellStyle name="40% - Akzent3 52_2012-2019" xfId="11731" xr:uid="{00000000-0005-0000-0000-000097120000}"/>
    <cellStyle name="40% - Akzent3 53" xfId="4272" xr:uid="{00000000-0005-0000-0000-000098120000}"/>
    <cellStyle name="40% - Akzent3 53 2" xfId="4273" xr:uid="{00000000-0005-0000-0000-000099120000}"/>
    <cellStyle name="40% - Akzent3 53 2 2" xfId="13691" xr:uid="{00000000-0005-0000-0000-00009A120000}"/>
    <cellStyle name="40% - Akzent3 53 2_est. MEAT" xfId="21199" xr:uid="{00000000-0005-0000-0000-00009B120000}"/>
    <cellStyle name="40% - Akzent3 53 3" xfId="13690" xr:uid="{00000000-0005-0000-0000-00009C120000}"/>
    <cellStyle name="40% - Akzent3 53_2012-2019" xfId="11732" xr:uid="{00000000-0005-0000-0000-00009D120000}"/>
    <cellStyle name="40% - Akzent3 54" xfId="4274" xr:uid="{00000000-0005-0000-0000-00009E120000}"/>
    <cellStyle name="40% - Akzent3 54 2" xfId="4275" xr:uid="{00000000-0005-0000-0000-00009F120000}"/>
    <cellStyle name="40% - Akzent3 54 2 2" xfId="13693" xr:uid="{00000000-0005-0000-0000-0000A0120000}"/>
    <cellStyle name="40% - Akzent3 54 2_est. MEAT" xfId="21200" xr:uid="{00000000-0005-0000-0000-0000A1120000}"/>
    <cellStyle name="40% - Akzent3 54 3" xfId="13692" xr:uid="{00000000-0005-0000-0000-0000A2120000}"/>
    <cellStyle name="40% - Akzent3 54_2012-2019" xfId="11733" xr:uid="{00000000-0005-0000-0000-0000A3120000}"/>
    <cellStyle name="40% - Akzent3 55" xfId="4276" xr:uid="{00000000-0005-0000-0000-0000A4120000}"/>
    <cellStyle name="40% - Akzent3 55 2" xfId="4277" xr:uid="{00000000-0005-0000-0000-0000A5120000}"/>
    <cellStyle name="40% - Akzent3 55 2 2" xfId="13695" xr:uid="{00000000-0005-0000-0000-0000A6120000}"/>
    <cellStyle name="40% - Akzent3 55 2_est. MEAT" xfId="21201" xr:uid="{00000000-0005-0000-0000-0000A7120000}"/>
    <cellStyle name="40% - Akzent3 55 3" xfId="13694" xr:uid="{00000000-0005-0000-0000-0000A8120000}"/>
    <cellStyle name="40% - Akzent3 55_2012-2019" xfId="11734" xr:uid="{00000000-0005-0000-0000-0000A9120000}"/>
    <cellStyle name="40% - Akzent3 56" xfId="4278" xr:uid="{00000000-0005-0000-0000-0000AA120000}"/>
    <cellStyle name="40% - Akzent3 56 2" xfId="4279" xr:uid="{00000000-0005-0000-0000-0000AB120000}"/>
    <cellStyle name="40% - Akzent3 56 2 2" xfId="13697" xr:uid="{00000000-0005-0000-0000-0000AC120000}"/>
    <cellStyle name="40% - Akzent3 56 2_est. MEAT" xfId="21202" xr:uid="{00000000-0005-0000-0000-0000AD120000}"/>
    <cellStyle name="40% - Akzent3 56 3" xfId="13696" xr:uid="{00000000-0005-0000-0000-0000AE120000}"/>
    <cellStyle name="40% - Akzent3 56_2012-2019" xfId="11735" xr:uid="{00000000-0005-0000-0000-0000AF120000}"/>
    <cellStyle name="40% - Akzent3 57" xfId="4280" xr:uid="{00000000-0005-0000-0000-0000B0120000}"/>
    <cellStyle name="40% - Akzent3 57 2" xfId="4281" xr:uid="{00000000-0005-0000-0000-0000B1120000}"/>
    <cellStyle name="40% - Akzent3 57 2 2" xfId="13699" xr:uid="{00000000-0005-0000-0000-0000B2120000}"/>
    <cellStyle name="40% - Akzent3 57 2_est. MEAT" xfId="21203" xr:uid="{00000000-0005-0000-0000-0000B3120000}"/>
    <cellStyle name="40% - Akzent3 57 3" xfId="13698" xr:uid="{00000000-0005-0000-0000-0000B4120000}"/>
    <cellStyle name="40% - Akzent3 57_2012-2019" xfId="11736" xr:uid="{00000000-0005-0000-0000-0000B5120000}"/>
    <cellStyle name="40% - Akzent3 58" xfId="4282" xr:uid="{00000000-0005-0000-0000-0000B6120000}"/>
    <cellStyle name="40% - Akzent3 58 2" xfId="4283" xr:uid="{00000000-0005-0000-0000-0000B7120000}"/>
    <cellStyle name="40% - Akzent3 58 2 2" xfId="13701" xr:uid="{00000000-0005-0000-0000-0000B8120000}"/>
    <cellStyle name="40% - Akzent3 58 2_est. MEAT" xfId="21204" xr:uid="{00000000-0005-0000-0000-0000B9120000}"/>
    <cellStyle name="40% - Akzent3 58 3" xfId="13700" xr:uid="{00000000-0005-0000-0000-0000BA120000}"/>
    <cellStyle name="40% - Akzent3 58_2012-2019" xfId="11737" xr:uid="{00000000-0005-0000-0000-0000BB120000}"/>
    <cellStyle name="40% - Akzent3 59" xfId="4284" xr:uid="{00000000-0005-0000-0000-0000BC120000}"/>
    <cellStyle name="40% - Akzent3 59 2" xfId="4285" xr:uid="{00000000-0005-0000-0000-0000BD120000}"/>
    <cellStyle name="40% - Akzent3 59 2 2" xfId="13703" xr:uid="{00000000-0005-0000-0000-0000BE120000}"/>
    <cellStyle name="40% - Akzent3 59 2_est. MEAT" xfId="21205" xr:uid="{00000000-0005-0000-0000-0000BF120000}"/>
    <cellStyle name="40% - Akzent3 59 3" xfId="13702" xr:uid="{00000000-0005-0000-0000-0000C0120000}"/>
    <cellStyle name="40% - Akzent3 59_2012-2019" xfId="11738" xr:uid="{00000000-0005-0000-0000-0000C1120000}"/>
    <cellStyle name="40% - Akzent3 6" xfId="4286" xr:uid="{00000000-0005-0000-0000-0000C2120000}"/>
    <cellStyle name="40% - Akzent3 6 2" xfId="4287" xr:uid="{00000000-0005-0000-0000-0000C3120000}"/>
    <cellStyle name="40% - Akzent3 6 2 2" xfId="13705" xr:uid="{00000000-0005-0000-0000-0000C4120000}"/>
    <cellStyle name="40% - Akzent3 6 2_est. MEAT" xfId="21206" xr:uid="{00000000-0005-0000-0000-0000C5120000}"/>
    <cellStyle name="40% - Akzent3 6 3" xfId="13704" xr:uid="{00000000-0005-0000-0000-0000C6120000}"/>
    <cellStyle name="40% - Akzent3 6_2012-2019" xfId="11739" xr:uid="{00000000-0005-0000-0000-0000C7120000}"/>
    <cellStyle name="40% - Akzent3 60" xfId="4288" xr:uid="{00000000-0005-0000-0000-0000C8120000}"/>
    <cellStyle name="40% - Akzent3 60 2" xfId="4289" xr:uid="{00000000-0005-0000-0000-0000C9120000}"/>
    <cellStyle name="40% - Akzent3 60 2 2" xfId="13707" xr:uid="{00000000-0005-0000-0000-0000CA120000}"/>
    <cellStyle name="40% - Akzent3 60 2_est. MEAT" xfId="21207" xr:uid="{00000000-0005-0000-0000-0000CB120000}"/>
    <cellStyle name="40% - Akzent3 60 3" xfId="13706" xr:uid="{00000000-0005-0000-0000-0000CC120000}"/>
    <cellStyle name="40% - Akzent3 60_2012-2019" xfId="11740" xr:uid="{00000000-0005-0000-0000-0000CD120000}"/>
    <cellStyle name="40% - Akzent3 61" xfId="4290" xr:uid="{00000000-0005-0000-0000-0000CE120000}"/>
    <cellStyle name="40% - Akzent3 61 2" xfId="4291" xr:uid="{00000000-0005-0000-0000-0000CF120000}"/>
    <cellStyle name="40% - Akzent3 61 2 2" xfId="13709" xr:uid="{00000000-0005-0000-0000-0000D0120000}"/>
    <cellStyle name="40% - Akzent3 61 2_est. MEAT" xfId="21208" xr:uid="{00000000-0005-0000-0000-0000D1120000}"/>
    <cellStyle name="40% - Akzent3 61 3" xfId="13708" xr:uid="{00000000-0005-0000-0000-0000D2120000}"/>
    <cellStyle name="40% - Akzent3 61_2012-2019" xfId="11741" xr:uid="{00000000-0005-0000-0000-0000D3120000}"/>
    <cellStyle name="40% - Akzent3 62" xfId="4292" xr:uid="{00000000-0005-0000-0000-0000D4120000}"/>
    <cellStyle name="40% - Akzent3 62 2" xfId="4293" xr:uid="{00000000-0005-0000-0000-0000D5120000}"/>
    <cellStyle name="40% - Akzent3 62 2 2" xfId="13711" xr:uid="{00000000-0005-0000-0000-0000D6120000}"/>
    <cellStyle name="40% - Akzent3 62 2_est. MEAT" xfId="21209" xr:uid="{00000000-0005-0000-0000-0000D7120000}"/>
    <cellStyle name="40% - Akzent3 62 3" xfId="13710" xr:uid="{00000000-0005-0000-0000-0000D8120000}"/>
    <cellStyle name="40% - Akzent3 62_2012-2019" xfId="11742" xr:uid="{00000000-0005-0000-0000-0000D9120000}"/>
    <cellStyle name="40% - Akzent3 63" xfId="4294" xr:uid="{00000000-0005-0000-0000-0000DA120000}"/>
    <cellStyle name="40% - Akzent3 63 2" xfId="4295" xr:uid="{00000000-0005-0000-0000-0000DB120000}"/>
    <cellStyle name="40% - Akzent3 63 2 2" xfId="13713" xr:uid="{00000000-0005-0000-0000-0000DC120000}"/>
    <cellStyle name="40% - Akzent3 63 2_est. MEAT" xfId="21210" xr:uid="{00000000-0005-0000-0000-0000DD120000}"/>
    <cellStyle name="40% - Akzent3 63 3" xfId="13712" xr:uid="{00000000-0005-0000-0000-0000DE120000}"/>
    <cellStyle name="40% - Akzent3 63_2012-2019" xfId="11743" xr:uid="{00000000-0005-0000-0000-0000DF120000}"/>
    <cellStyle name="40% - Akzent3 64" xfId="4296" xr:uid="{00000000-0005-0000-0000-0000E0120000}"/>
    <cellStyle name="40% - Akzent3 64 2" xfId="4297" xr:uid="{00000000-0005-0000-0000-0000E1120000}"/>
    <cellStyle name="40% - Akzent3 64 2 2" xfId="13715" xr:uid="{00000000-0005-0000-0000-0000E2120000}"/>
    <cellStyle name="40% - Akzent3 64 2_est. MEAT" xfId="21211" xr:uid="{00000000-0005-0000-0000-0000E3120000}"/>
    <cellStyle name="40% - Akzent3 64 3" xfId="13714" xr:uid="{00000000-0005-0000-0000-0000E4120000}"/>
    <cellStyle name="40% - Akzent3 64_2012-2019" xfId="11744" xr:uid="{00000000-0005-0000-0000-0000E5120000}"/>
    <cellStyle name="40% - Akzent3 65" xfId="4298" xr:uid="{00000000-0005-0000-0000-0000E6120000}"/>
    <cellStyle name="40% - Akzent3 65 2" xfId="4299" xr:uid="{00000000-0005-0000-0000-0000E7120000}"/>
    <cellStyle name="40% - Akzent3 65 2 2" xfId="13717" xr:uid="{00000000-0005-0000-0000-0000E8120000}"/>
    <cellStyle name="40% - Akzent3 65 2_est. MEAT" xfId="21212" xr:uid="{00000000-0005-0000-0000-0000E9120000}"/>
    <cellStyle name="40% - Akzent3 65 3" xfId="13716" xr:uid="{00000000-0005-0000-0000-0000EA120000}"/>
    <cellStyle name="40% - Akzent3 65_2012-2019" xfId="11745" xr:uid="{00000000-0005-0000-0000-0000EB120000}"/>
    <cellStyle name="40% - Akzent3 66" xfId="4300" xr:uid="{00000000-0005-0000-0000-0000EC120000}"/>
    <cellStyle name="40% - Akzent3 66 2" xfId="4301" xr:uid="{00000000-0005-0000-0000-0000ED120000}"/>
    <cellStyle name="40% - Akzent3 66 2 2" xfId="13719" xr:uid="{00000000-0005-0000-0000-0000EE120000}"/>
    <cellStyle name="40% - Akzent3 66 2_est. MEAT" xfId="21213" xr:uid="{00000000-0005-0000-0000-0000EF120000}"/>
    <cellStyle name="40% - Akzent3 66 3" xfId="13718" xr:uid="{00000000-0005-0000-0000-0000F0120000}"/>
    <cellStyle name="40% - Akzent3 66_2012-2019" xfId="11746" xr:uid="{00000000-0005-0000-0000-0000F1120000}"/>
    <cellStyle name="40% - Akzent3 67" xfId="4302" xr:uid="{00000000-0005-0000-0000-0000F2120000}"/>
    <cellStyle name="40% - Akzent3 67 2" xfId="4303" xr:uid="{00000000-0005-0000-0000-0000F3120000}"/>
    <cellStyle name="40% - Akzent3 67 2 2" xfId="13721" xr:uid="{00000000-0005-0000-0000-0000F4120000}"/>
    <cellStyle name="40% - Akzent3 67 2_est. MEAT" xfId="21214" xr:uid="{00000000-0005-0000-0000-0000F5120000}"/>
    <cellStyle name="40% - Akzent3 67 3" xfId="13720" xr:uid="{00000000-0005-0000-0000-0000F6120000}"/>
    <cellStyle name="40% - Akzent3 67_2012-2019" xfId="11747" xr:uid="{00000000-0005-0000-0000-0000F7120000}"/>
    <cellStyle name="40% - Akzent3 68" xfId="4304" xr:uid="{00000000-0005-0000-0000-0000F8120000}"/>
    <cellStyle name="40% - Akzent3 68 2" xfId="4305" xr:uid="{00000000-0005-0000-0000-0000F9120000}"/>
    <cellStyle name="40% - Akzent3 68 2 2" xfId="13723" xr:uid="{00000000-0005-0000-0000-0000FA120000}"/>
    <cellStyle name="40% - Akzent3 68 2_est. MEAT" xfId="21215" xr:uid="{00000000-0005-0000-0000-0000FB120000}"/>
    <cellStyle name="40% - Akzent3 68 3" xfId="13722" xr:uid="{00000000-0005-0000-0000-0000FC120000}"/>
    <cellStyle name="40% - Akzent3 68_2012-2019" xfId="11748" xr:uid="{00000000-0005-0000-0000-0000FD120000}"/>
    <cellStyle name="40% - Akzent3 69" xfId="4306" xr:uid="{00000000-0005-0000-0000-0000FE120000}"/>
    <cellStyle name="40% - Akzent3 69 2" xfId="4307" xr:uid="{00000000-0005-0000-0000-0000FF120000}"/>
    <cellStyle name="40% - Akzent3 69 2 2" xfId="13725" xr:uid="{00000000-0005-0000-0000-000000130000}"/>
    <cellStyle name="40% - Akzent3 69 2_est. MEAT" xfId="21216" xr:uid="{00000000-0005-0000-0000-000001130000}"/>
    <cellStyle name="40% - Akzent3 69 3" xfId="13724" xr:uid="{00000000-0005-0000-0000-000002130000}"/>
    <cellStyle name="40% - Akzent3 69_2012-2019" xfId="11749" xr:uid="{00000000-0005-0000-0000-000003130000}"/>
    <cellStyle name="40% - Akzent3 7" xfId="4308" xr:uid="{00000000-0005-0000-0000-000004130000}"/>
    <cellStyle name="40% - Akzent3 7 2" xfId="4309" xr:uid="{00000000-0005-0000-0000-000005130000}"/>
    <cellStyle name="40% - Akzent3 7 2 2" xfId="13727" xr:uid="{00000000-0005-0000-0000-000006130000}"/>
    <cellStyle name="40% - Akzent3 7 2_est. MEAT" xfId="21217" xr:uid="{00000000-0005-0000-0000-000007130000}"/>
    <cellStyle name="40% - Akzent3 7 3" xfId="13726" xr:uid="{00000000-0005-0000-0000-000008130000}"/>
    <cellStyle name="40% - Akzent3 7_2012-2019" xfId="11750" xr:uid="{00000000-0005-0000-0000-000009130000}"/>
    <cellStyle name="40% - Akzent3 70" xfId="4310" xr:uid="{00000000-0005-0000-0000-00000A130000}"/>
    <cellStyle name="40% - Akzent3 70 2" xfId="4311" xr:uid="{00000000-0005-0000-0000-00000B130000}"/>
    <cellStyle name="40% - Akzent3 70 2 2" xfId="13729" xr:uid="{00000000-0005-0000-0000-00000C130000}"/>
    <cellStyle name="40% - Akzent3 70 2_est. MEAT" xfId="21218" xr:uid="{00000000-0005-0000-0000-00000D130000}"/>
    <cellStyle name="40% - Akzent3 70 3" xfId="13728" xr:uid="{00000000-0005-0000-0000-00000E130000}"/>
    <cellStyle name="40% - Akzent3 70_2012-2019" xfId="11751" xr:uid="{00000000-0005-0000-0000-00000F130000}"/>
    <cellStyle name="40% - Akzent3 71" xfId="4312" xr:uid="{00000000-0005-0000-0000-000010130000}"/>
    <cellStyle name="40% - Akzent3 71 2" xfId="4313" xr:uid="{00000000-0005-0000-0000-000011130000}"/>
    <cellStyle name="40% - Akzent3 71 2 2" xfId="13731" xr:uid="{00000000-0005-0000-0000-000012130000}"/>
    <cellStyle name="40% - Akzent3 71 2_est. MEAT" xfId="21219" xr:uid="{00000000-0005-0000-0000-000013130000}"/>
    <cellStyle name="40% - Akzent3 71 3" xfId="13730" xr:uid="{00000000-0005-0000-0000-000014130000}"/>
    <cellStyle name="40% - Akzent3 71_2012-2019" xfId="11752" xr:uid="{00000000-0005-0000-0000-000015130000}"/>
    <cellStyle name="40% - Akzent3 72" xfId="4314" xr:uid="{00000000-0005-0000-0000-000016130000}"/>
    <cellStyle name="40% - Akzent3 72 2" xfId="4315" xr:uid="{00000000-0005-0000-0000-000017130000}"/>
    <cellStyle name="40% - Akzent3 72 2 2" xfId="13733" xr:uid="{00000000-0005-0000-0000-000018130000}"/>
    <cellStyle name="40% - Akzent3 72 2_est. MEAT" xfId="21220" xr:uid="{00000000-0005-0000-0000-000019130000}"/>
    <cellStyle name="40% - Akzent3 72 3" xfId="13732" xr:uid="{00000000-0005-0000-0000-00001A130000}"/>
    <cellStyle name="40% - Akzent3 72_2012-2019" xfId="11753" xr:uid="{00000000-0005-0000-0000-00001B130000}"/>
    <cellStyle name="40% - Akzent3 73" xfId="4316" xr:uid="{00000000-0005-0000-0000-00001C130000}"/>
    <cellStyle name="40% - Akzent3 73 2" xfId="4317" xr:uid="{00000000-0005-0000-0000-00001D130000}"/>
    <cellStyle name="40% - Akzent3 73 2 2" xfId="13735" xr:uid="{00000000-0005-0000-0000-00001E130000}"/>
    <cellStyle name="40% - Akzent3 73 2_est. MEAT" xfId="21221" xr:uid="{00000000-0005-0000-0000-00001F130000}"/>
    <cellStyle name="40% - Akzent3 73 3" xfId="13734" xr:uid="{00000000-0005-0000-0000-000020130000}"/>
    <cellStyle name="40% - Akzent3 73_2012-2019" xfId="11754" xr:uid="{00000000-0005-0000-0000-000021130000}"/>
    <cellStyle name="40% - Akzent3 74" xfId="4318" xr:uid="{00000000-0005-0000-0000-000022130000}"/>
    <cellStyle name="40% - Akzent3 74 2" xfId="4319" xr:uid="{00000000-0005-0000-0000-000023130000}"/>
    <cellStyle name="40% - Akzent3 74 2 2" xfId="13737" xr:uid="{00000000-0005-0000-0000-000024130000}"/>
    <cellStyle name="40% - Akzent3 74 2_est. MEAT" xfId="21222" xr:uid="{00000000-0005-0000-0000-000025130000}"/>
    <cellStyle name="40% - Akzent3 74 3" xfId="13736" xr:uid="{00000000-0005-0000-0000-000026130000}"/>
    <cellStyle name="40% - Akzent3 74_2012-2019" xfId="11755" xr:uid="{00000000-0005-0000-0000-000027130000}"/>
    <cellStyle name="40% - Akzent3 75" xfId="4320" xr:uid="{00000000-0005-0000-0000-000028130000}"/>
    <cellStyle name="40% - Akzent3 75 2" xfId="4321" xr:uid="{00000000-0005-0000-0000-000029130000}"/>
    <cellStyle name="40% - Akzent3 75 2 2" xfId="13739" xr:uid="{00000000-0005-0000-0000-00002A130000}"/>
    <cellStyle name="40% - Akzent3 75 2_est. MEAT" xfId="21223" xr:uid="{00000000-0005-0000-0000-00002B130000}"/>
    <cellStyle name="40% - Akzent3 75 3" xfId="13738" xr:uid="{00000000-0005-0000-0000-00002C130000}"/>
    <cellStyle name="40% - Akzent3 75_2012-2019" xfId="11756" xr:uid="{00000000-0005-0000-0000-00002D130000}"/>
    <cellStyle name="40% - Akzent3 76" xfId="4322" xr:uid="{00000000-0005-0000-0000-00002E130000}"/>
    <cellStyle name="40% - Akzent3 76 2" xfId="4323" xr:uid="{00000000-0005-0000-0000-00002F130000}"/>
    <cellStyle name="40% - Akzent3 76 2 2" xfId="13741" xr:uid="{00000000-0005-0000-0000-000030130000}"/>
    <cellStyle name="40% - Akzent3 76 2_est. MEAT" xfId="21224" xr:uid="{00000000-0005-0000-0000-000031130000}"/>
    <cellStyle name="40% - Akzent3 76 3" xfId="13740" xr:uid="{00000000-0005-0000-0000-000032130000}"/>
    <cellStyle name="40% - Akzent3 76_2012-2019" xfId="11757" xr:uid="{00000000-0005-0000-0000-000033130000}"/>
    <cellStyle name="40% - Akzent3 77" xfId="4324" xr:uid="{00000000-0005-0000-0000-000034130000}"/>
    <cellStyle name="40% - Akzent3 77 2" xfId="4325" xr:uid="{00000000-0005-0000-0000-000035130000}"/>
    <cellStyle name="40% - Akzent3 77 2 2" xfId="13743" xr:uid="{00000000-0005-0000-0000-000036130000}"/>
    <cellStyle name="40% - Akzent3 77 2_est. MEAT" xfId="21225" xr:uid="{00000000-0005-0000-0000-000037130000}"/>
    <cellStyle name="40% - Akzent3 77 3" xfId="13742" xr:uid="{00000000-0005-0000-0000-000038130000}"/>
    <cellStyle name="40% - Akzent3 77_2012-2019" xfId="11758" xr:uid="{00000000-0005-0000-0000-000039130000}"/>
    <cellStyle name="40% - Akzent3 78" xfId="4326" xr:uid="{00000000-0005-0000-0000-00003A130000}"/>
    <cellStyle name="40% - Akzent3 78 2" xfId="4327" xr:uid="{00000000-0005-0000-0000-00003B130000}"/>
    <cellStyle name="40% - Akzent3 78 2 2" xfId="13745" xr:uid="{00000000-0005-0000-0000-00003C130000}"/>
    <cellStyle name="40% - Akzent3 78 2_est. MEAT" xfId="21226" xr:uid="{00000000-0005-0000-0000-00003D130000}"/>
    <cellStyle name="40% - Akzent3 78 3" xfId="13744" xr:uid="{00000000-0005-0000-0000-00003E130000}"/>
    <cellStyle name="40% - Akzent3 78_2012-2019" xfId="11759" xr:uid="{00000000-0005-0000-0000-00003F130000}"/>
    <cellStyle name="40% - Akzent3 79" xfId="4328" xr:uid="{00000000-0005-0000-0000-000040130000}"/>
    <cellStyle name="40% - Akzent3 79 2" xfId="4329" xr:uid="{00000000-0005-0000-0000-000041130000}"/>
    <cellStyle name="40% - Akzent3 79 2 2" xfId="13747" xr:uid="{00000000-0005-0000-0000-000042130000}"/>
    <cellStyle name="40% - Akzent3 79 2_est. MEAT" xfId="21227" xr:uid="{00000000-0005-0000-0000-000043130000}"/>
    <cellStyle name="40% - Akzent3 79 3" xfId="13746" xr:uid="{00000000-0005-0000-0000-000044130000}"/>
    <cellStyle name="40% - Akzent3 79_2012-2019" xfId="11760" xr:uid="{00000000-0005-0000-0000-000045130000}"/>
    <cellStyle name="40% - Akzent3 8" xfId="4330" xr:uid="{00000000-0005-0000-0000-000046130000}"/>
    <cellStyle name="40% - Akzent3 8 2" xfId="4331" xr:uid="{00000000-0005-0000-0000-000047130000}"/>
    <cellStyle name="40% - Akzent3 8 2 2" xfId="13749" xr:uid="{00000000-0005-0000-0000-000048130000}"/>
    <cellStyle name="40% - Akzent3 8 2_est. MEAT" xfId="21228" xr:uid="{00000000-0005-0000-0000-000049130000}"/>
    <cellStyle name="40% - Akzent3 8 3" xfId="13748" xr:uid="{00000000-0005-0000-0000-00004A130000}"/>
    <cellStyle name="40% - Akzent3 8_2012-2019" xfId="11761" xr:uid="{00000000-0005-0000-0000-00004B130000}"/>
    <cellStyle name="40% - Akzent3 80" xfId="4332" xr:uid="{00000000-0005-0000-0000-00004C130000}"/>
    <cellStyle name="40% - Akzent3 80 2" xfId="4333" xr:uid="{00000000-0005-0000-0000-00004D130000}"/>
    <cellStyle name="40% - Akzent3 80 2 2" xfId="13751" xr:uid="{00000000-0005-0000-0000-00004E130000}"/>
    <cellStyle name="40% - Akzent3 80 2_est. MEAT" xfId="21229" xr:uid="{00000000-0005-0000-0000-00004F130000}"/>
    <cellStyle name="40% - Akzent3 80 3" xfId="13750" xr:uid="{00000000-0005-0000-0000-000050130000}"/>
    <cellStyle name="40% - Akzent3 80_2012-2019" xfId="11762" xr:uid="{00000000-0005-0000-0000-000051130000}"/>
    <cellStyle name="40% - Akzent3 81" xfId="4334" xr:uid="{00000000-0005-0000-0000-000052130000}"/>
    <cellStyle name="40% - Akzent3 81 2" xfId="4335" xr:uid="{00000000-0005-0000-0000-000053130000}"/>
    <cellStyle name="40% - Akzent3 81 2 2" xfId="13753" xr:uid="{00000000-0005-0000-0000-000054130000}"/>
    <cellStyle name="40% - Akzent3 81 2_est. MEAT" xfId="21230" xr:uid="{00000000-0005-0000-0000-000055130000}"/>
    <cellStyle name="40% - Akzent3 81 3" xfId="13752" xr:uid="{00000000-0005-0000-0000-000056130000}"/>
    <cellStyle name="40% - Akzent3 81_2012-2019" xfId="11763" xr:uid="{00000000-0005-0000-0000-000057130000}"/>
    <cellStyle name="40% - Akzent3 82" xfId="4336" xr:uid="{00000000-0005-0000-0000-000058130000}"/>
    <cellStyle name="40% - Akzent3 82 2" xfId="4337" xr:uid="{00000000-0005-0000-0000-000059130000}"/>
    <cellStyle name="40% - Akzent3 82 2 2" xfId="13755" xr:uid="{00000000-0005-0000-0000-00005A130000}"/>
    <cellStyle name="40% - Akzent3 82 2_est. MEAT" xfId="21231" xr:uid="{00000000-0005-0000-0000-00005B130000}"/>
    <cellStyle name="40% - Akzent3 82 3" xfId="13754" xr:uid="{00000000-0005-0000-0000-00005C130000}"/>
    <cellStyle name="40% - Akzent3 82_2012-2019" xfId="11764" xr:uid="{00000000-0005-0000-0000-00005D130000}"/>
    <cellStyle name="40% - Akzent3 83" xfId="4338" xr:uid="{00000000-0005-0000-0000-00005E130000}"/>
    <cellStyle name="40% - Akzent3 83 2" xfId="4339" xr:uid="{00000000-0005-0000-0000-00005F130000}"/>
    <cellStyle name="40% - Akzent3 83 2 2" xfId="13757" xr:uid="{00000000-0005-0000-0000-000060130000}"/>
    <cellStyle name="40% - Akzent3 83 2_est. MEAT" xfId="21232" xr:uid="{00000000-0005-0000-0000-000061130000}"/>
    <cellStyle name="40% - Akzent3 83 3" xfId="13756" xr:uid="{00000000-0005-0000-0000-000062130000}"/>
    <cellStyle name="40% - Akzent3 83_2012-2019" xfId="11765" xr:uid="{00000000-0005-0000-0000-000063130000}"/>
    <cellStyle name="40% - Akzent3 84" xfId="4340" xr:uid="{00000000-0005-0000-0000-000064130000}"/>
    <cellStyle name="40% - Akzent3 84 2" xfId="4341" xr:uid="{00000000-0005-0000-0000-000065130000}"/>
    <cellStyle name="40% - Akzent3 84 2 2" xfId="13759" xr:uid="{00000000-0005-0000-0000-000066130000}"/>
    <cellStyle name="40% - Akzent3 84 2_est. MEAT" xfId="21233" xr:uid="{00000000-0005-0000-0000-000067130000}"/>
    <cellStyle name="40% - Akzent3 84 3" xfId="13758" xr:uid="{00000000-0005-0000-0000-000068130000}"/>
    <cellStyle name="40% - Akzent3 84_2012-2019" xfId="11766" xr:uid="{00000000-0005-0000-0000-000069130000}"/>
    <cellStyle name="40% - Akzent3 85" xfId="4342" xr:uid="{00000000-0005-0000-0000-00006A130000}"/>
    <cellStyle name="40% - Akzent3 85 2" xfId="4343" xr:uid="{00000000-0005-0000-0000-00006B130000}"/>
    <cellStyle name="40% - Akzent3 85 2 2" xfId="13761" xr:uid="{00000000-0005-0000-0000-00006C130000}"/>
    <cellStyle name="40% - Akzent3 85 2_est. MEAT" xfId="21234" xr:uid="{00000000-0005-0000-0000-00006D130000}"/>
    <cellStyle name="40% - Akzent3 85 3" xfId="13760" xr:uid="{00000000-0005-0000-0000-00006E130000}"/>
    <cellStyle name="40% - Akzent3 85_2012-2019" xfId="11767" xr:uid="{00000000-0005-0000-0000-00006F130000}"/>
    <cellStyle name="40% - Akzent3 86" xfId="4344" xr:uid="{00000000-0005-0000-0000-000070130000}"/>
    <cellStyle name="40% - Akzent3 86 2" xfId="4345" xr:uid="{00000000-0005-0000-0000-000071130000}"/>
    <cellStyle name="40% - Akzent3 86 2 2" xfId="13763" xr:uid="{00000000-0005-0000-0000-000072130000}"/>
    <cellStyle name="40% - Akzent3 86 2_est. MEAT" xfId="21235" xr:uid="{00000000-0005-0000-0000-000073130000}"/>
    <cellStyle name="40% - Akzent3 86 3" xfId="13762" xr:uid="{00000000-0005-0000-0000-000074130000}"/>
    <cellStyle name="40% - Akzent3 86_2012-2019" xfId="11768" xr:uid="{00000000-0005-0000-0000-000075130000}"/>
    <cellStyle name="40% - Akzent3 87" xfId="4346" xr:uid="{00000000-0005-0000-0000-000076130000}"/>
    <cellStyle name="40% - Akzent3 87 2" xfId="4347" xr:uid="{00000000-0005-0000-0000-000077130000}"/>
    <cellStyle name="40% - Akzent3 87 2 2" xfId="13765" xr:uid="{00000000-0005-0000-0000-000078130000}"/>
    <cellStyle name="40% - Akzent3 87 2_est. MEAT" xfId="21236" xr:uid="{00000000-0005-0000-0000-000079130000}"/>
    <cellStyle name="40% - Akzent3 87 3" xfId="13764" xr:uid="{00000000-0005-0000-0000-00007A130000}"/>
    <cellStyle name="40% - Akzent3 87_2012-2019" xfId="11769" xr:uid="{00000000-0005-0000-0000-00007B130000}"/>
    <cellStyle name="40% - Akzent3 88" xfId="4348" xr:uid="{00000000-0005-0000-0000-00007C130000}"/>
    <cellStyle name="40% - Akzent3 88 2" xfId="4349" xr:uid="{00000000-0005-0000-0000-00007D130000}"/>
    <cellStyle name="40% - Akzent3 88 2 2" xfId="13767" xr:uid="{00000000-0005-0000-0000-00007E130000}"/>
    <cellStyle name="40% - Akzent3 88 2_est. MEAT" xfId="21237" xr:uid="{00000000-0005-0000-0000-00007F130000}"/>
    <cellStyle name="40% - Akzent3 88 3" xfId="13766" xr:uid="{00000000-0005-0000-0000-000080130000}"/>
    <cellStyle name="40% - Akzent3 88_2012-2019" xfId="11770" xr:uid="{00000000-0005-0000-0000-000081130000}"/>
    <cellStyle name="40% - Akzent3 89" xfId="4350" xr:uid="{00000000-0005-0000-0000-000082130000}"/>
    <cellStyle name="40% - Akzent3 89 2" xfId="4351" xr:uid="{00000000-0005-0000-0000-000083130000}"/>
    <cellStyle name="40% - Akzent3 89 2 2" xfId="13769" xr:uid="{00000000-0005-0000-0000-000084130000}"/>
    <cellStyle name="40% - Akzent3 89 2_est. MEAT" xfId="21238" xr:uid="{00000000-0005-0000-0000-000085130000}"/>
    <cellStyle name="40% - Akzent3 89 3" xfId="13768" xr:uid="{00000000-0005-0000-0000-000086130000}"/>
    <cellStyle name="40% - Akzent3 89_2012-2019" xfId="11771" xr:uid="{00000000-0005-0000-0000-000087130000}"/>
    <cellStyle name="40% - Akzent3 9" xfId="4352" xr:uid="{00000000-0005-0000-0000-000088130000}"/>
    <cellStyle name="40% - Akzent3 9 2" xfId="4353" xr:uid="{00000000-0005-0000-0000-000089130000}"/>
    <cellStyle name="40% - Akzent3 9 2 2" xfId="13771" xr:uid="{00000000-0005-0000-0000-00008A130000}"/>
    <cellStyle name="40% - Akzent3 9 2_est. MEAT" xfId="21239" xr:uid="{00000000-0005-0000-0000-00008B130000}"/>
    <cellStyle name="40% - Akzent3 9 3" xfId="13770" xr:uid="{00000000-0005-0000-0000-00008C130000}"/>
    <cellStyle name="40% - Akzent3 9_2012-2019" xfId="11772" xr:uid="{00000000-0005-0000-0000-00008D130000}"/>
    <cellStyle name="40% - Akzent3 90" xfId="4354" xr:uid="{00000000-0005-0000-0000-00008E130000}"/>
    <cellStyle name="40% - Akzent3 90 2" xfId="4355" xr:uid="{00000000-0005-0000-0000-00008F130000}"/>
    <cellStyle name="40% - Akzent3 90 2 2" xfId="13773" xr:uid="{00000000-0005-0000-0000-000090130000}"/>
    <cellStyle name="40% - Akzent3 90 2_est. MEAT" xfId="21240" xr:uid="{00000000-0005-0000-0000-000091130000}"/>
    <cellStyle name="40% - Akzent3 90 3" xfId="13772" xr:uid="{00000000-0005-0000-0000-000092130000}"/>
    <cellStyle name="40% - Akzent3 90_2012-2019" xfId="11773" xr:uid="{00000000-0005-0000-0000-000093130000}"/>
    <cellStyle name="40% - Akzent3 91" xfId="4356" xr:uid="{00000000-0005-0000-0000-000094130000}"/>
    <cellStyle name="40% - Akzent3 91 2" xfId="4357" xr:uid="{00000000-0005-0000-0000-000095130000}"/>
    <cellStyle name="40% - Akzent3 91 2 2" xfId="13775" xr:uid="{00000000-0005-0000-0000-000096130000}"/>
    <cellStyle name="40% - Akzent3 91 2_est. MEAT" xfId="21241" xr:uid="{00000000-0005-0000-0000-000097130000}"/>
    <cellStyle name="40% - Akzent3 91 3" xfId="13774" xr:uid="{00000000-0005-0000-0000-000098130000}"/>
    <cellStyle name="40% - Akzent3 91_2012-2019" xfId="11774" xr:uid="{00000000-0005-0000-0000-000099130000}"/>
    <cellStyle name="40% - Akzent3 92" xfId="4358" xr:uid="{00000000-0005-0000-0000-00009A130000}"/>
    <cellStyle name="40% - Akzent3 92 2" xfId="4359" xr:uid="{00000000-0005-0000-0000-00009B130000}"/>
    <cellStyle name="40% - Akzent3 92 2 2" xfId="13777" xr:uid="{00000000-0005-0000-0000-00009C130000}"/>
    <cellStyle name="40% - Akzent3 92 2_est. MEAT" xfId="21242" xr:uid="{00000000-0005-0000-0000-00009D130000}"/>
    <cellStyle name="40% - Akzent3 92 3" xfId="13776" xr:uid="{00000000-0005-0000-0000-00009E130000}"/>
    <cellStyle name="40% - Akzent3 92_2012-2019" xfId="11775" xr:uid="{00000000-0005-0000-0000-00009F130000}"/>
    <cellStyle name="40% - Akzent3 93" xfId="4360" xr:uid="{00000000-0005-0000-0000-0000A0130000}"/>
    <cellStyle name="40% - Akzent3 93 2" xfId="4361" xr:uid="{00000000-0005-0000-0000-0000A1130000}"/>
    <cellStyle name="40% - Akzent3 93 2 2" xfId="13779" xr:uid="{00000000-0005-0000-0000-0000A2130000}"/>
    <cellStyle name="40% - Akzent3 93 2_est. MEAT" xfId="21243" xr:uid="{00000000-0005-0000-0000-0000A3130000}"/>
    <cellStyle name="40% - Akzent3 93 3" xfId="13778" xr:uid="{00000000-0005-0000-0000-0000A4130000}"/>
    <cellStyle name="40% - Akzent3 93_2012-2019" xfId="11776" xr:uid="{00000000-0005-0000-0000-0000A5130000}"/>
    <cellStyle name="40% - Akzent3 94" xfId="4362" xr:uid="{00000000-0005-0000-0000-0000A6130000}"/>
    <cellStyle name="40% - Akzent3 94 2" xfId="4363" xr:uid="{00000000-0005-0000-0000-0000A7130000}"/>
    <cellStyle name="40% - Akzent3 94 2 2" xfId="13781" xr:uid="{00000000-0005-0000-0000-0000A8130000}"/>
    <cellStyle name="40% - Akzent3 94 2_est. MEAT" xfId="21244" xr:uid="{00000000-0005-0000-0000-0000A9130000}"/>
    <cellStyle name="40% - Akzent3 94 3" xfId="13780" xr:uid="{00000000-0005-0000-0000-0000AA130000}"/>
    <cellStyle name="40% - Akzent3 94_2012-2019" xfId="11777" xr:uid="{00000000-0005-0000-0000-0000AB130000}"/>
    <cellStyle name="40% - Akzent3 95" xfId="4364" xr:uid="{00000000-0005-0000-0000-0000AC130000}"/>
    <cellStyle name="40% - Akzent3 95 2" xfId="4365" xr:uid="{00000000-0005-0000-0000-0000AD130000}"/>
    <cellStyle name="40% - Akzent3 95 2 2" xfId="13783" xr:uid="{00000000-0005-0000-0000-0000AE130000}"/>
    <cellStyle name="40% - Akzent3 95 2_est. MEAT" xfId="21245" xr:uid="{00000000-0005-0000-0000-0000AF130000}"/>
    <cellStyle name="40% - Akzent3 95 3" xfId="13782" xr:uid="{00000000-0005-0000-0000-0000B0130000}"/>
    <cellStyle name="40% - Akzent3 95_2012-2019" xfId="11778" xr:uid="{00000000-0005-0000-0000-0000B1130000}"/>
    <cellStyle name="40% - Akzent3 96" xfId="4366" xr:uid="{00000000-0005-0000-0000-0000B2130000}"/>
    <cellStyle name="40% - Akzent3 96 2" xfId="4367" xr:uid="{00000000-0005-0000-0000-0000B3130000}"/>
    <cellStyle name="40% - Akzent3 96 2 2" xfId="13785" xr:uid="{00000000-0005-0000-0000-0000B4130000}"/>
    <cellStyle name="40% - Akzent3 96 2_est. MEAT" xfId="21246" xr:uid="{00000000-0005-0000-0000-0000B5130000}"/>
    <cellStyle name="40% - Akzent3 96 3" xfId="13784" xr:uid="{00000000-0005-0000-0000-0000B6130000}"/>
    <cellStyle name="40% - Akzent3 96_2012-2019" xfId="11779" xr:uid="{00000000-0005-0000-0000-0000B7130000}"/>
    <cellStyle name="40% - Akzent3 97" xfId="4368" xr:uid="{00000000-0005-0000-0000-0000B8130000}"/>
    <cellStyle name="40% - Akzent3 97 2" xfId="4369" xr:uid="{00000000-0005-0000-0000-0000B9130000}"/>
    <cellStyle name="40% - Akzent3 97 2 2" xfId="13787" xr:uid="{00000000-0005-0000-0000-0000BA130000}"/>
    <cellStyle name="40% - Akzent3 97 2_est. MEAT" xfId="21247" xr:uid="{00000000-0005-0000-0000-0000BB130000}"/>
    <cellStyle name="40% - Akzent3 97 3" xfId="13786" xr:uid="{00000000-0005-0000-0000-0000BC130000}"/>
    <cellStyle name="40% - Akzent3 97_2012-2019" xfId="11780" xr:uid="{00000000-0005-0000-0000-0000BD130000}"/>
    <cellStyle name="40% - Akzent3 98" xfId="4370" xr:uid="{00000000-0005-0000-0000-0000BE130000}"/>
    <cellStyle name="40% - Akzent3 98 2" xfId="4371" xr:uid="{00000000-0005-0000-0000-0000BF130000}"/>
    <cellStyle name="40% - Akzent3 98 2 2" xfId="13789" xr:uid="{00000000-0005-0000-0000-0000C0130000}"/>
    <cellStyle name="40% - Akzent3 98 2_est. MEAT" xfId="21248" xr:uid="{00000000-0005-0000-0000-0000C1130000}"/>
    <cellStyle name="40% - Akzent3 98 3" xfId="13788" xr:uid="{00000000-0005-0000-0000-0000C2130000}"/>
    <cellStyle name="40% - Akzent3 98_2012-2019" xfId="11781" xr:uid="{00000000-0005-0000-0000-0000C3130000}"/>
    <cellStyle name="40% - Akzent3 99" xfId="4372" xr:uid="{00000000-0005-0000-0000-0000C4130000}"/>
    <cellStyle name="40% - Akzent3 99 2" xfId="4373" xr:uid="{00000000-0005-0000-0000-0000C5130000}"/>
    <cellStyle name="40% - Akzent3 99 2 2" xfId="13791" xr:uid="{00000000-0005-0000-0000-0000C6130000}"/>
    <cellStyle name="40% - Akzent3 99 2_est. MEAT" xfId="21249" xr:uid="{00000000-0005-0000-0000-0000C7130000}"/>
    <cellStyle name="40% - Akzent3 99 3" xfId="13790" xr:uid="{00000000-0005-0000-0000-0000C8130000}"/>
    <cellStyle name="40% - Akzent3 99_2012-2019" xfId="11782" xr:uid="{00000000-0005-0000-0000-0000C9130000}"/>
    <cellStyle name="40% - Akzent4 10" xfId="4374" xr:uid="{00000000-0005-0000-0000-0000CA130000}"/>
    <cellStyle name="40% - Akzent4 10 2" xfId="4375" xr:uid="{00000000-0005-0000-0000-0000CB130000}"/>
    <cellStyle name="40% - Akzent4 10 2 2" xfId="13793" xr:uid="{00000000-0005-0000-0000-0000CC130000}"/>
    <cellStyle name="40% - Akzent4 10 2_est. MEAT" xfId="21250" xr:uid="{00000000-0005-0000-0000-0000CD130000}"/>
    <cellStyle name="40% - Akzent4 10 3" xfId="13792" xr:uid="{00000000-0005-0000-0000-0000CE130000}"/>
    <cellStyle name="40% - Akzent4 10_2012-2019" xfId="11783" xr:uid="{00000000-0005-0000-0000-0000CF130000}"/>
    <cellStyle name="40% - Akzent4 100" xfId="4376" xr:uid="{00000000-0005-0000-0000-0000D0130000}"/>
    <cellStyle name="40% - Akzent4 100 2" xfId="4377" xr:uid="{00000000-0005-0000-0000-0000D1130000}"/>
    <cellStyle name="40% - Akzent4 100 2 2" xfId="13795" xr:uid="{00000000-0005-0000-0000-0000D2130000}"/>
    <cellStyle name="40% - Akzent4 100 2_est. MEAT" xfId="21251" xr:uid="{00000000-0005-0000-0000-0000D3130000}"/>
    <cellStyle name="40% - Akzent4 100 3" xfId="13794" xr:uid="{00000000-0005-0000-0000-0000D4130000}"/>
    <cellStyle name="40% - Akzent4 100_2012-2019" xfId="11784" xr:uid="{00000000-0005-0000-0000-0000D5130000}"/>
    <cellStyle name="40% - Akzent4 101" xfId="4378" xr:uid="{00000000-0005-0000-0000-0000D6130000}"/>
    <cellStyle name="40% - Akzent4 101 2" xfId="4379" xr:uid="{00000000-0005-0000-0000-0000D7130000}"/>
    <cellStyle name="40% - Akzent4 101 2 2" xfId="13797" xr:uid="{00000000-0005-0000-0000-0000D8130000}"/>
    <cellStyle name="40% - Akzent4 101 2_est. MEAT" xfId="21252" xr:uid="{00000000-0005-0000-0000-0000D9130000}"/>
    <cellStyle name="40% - Akzent4 101 3" xfId="13796" xr:uid="{00000000-0005-0000-0000-0000DA130000}"/>
    <cellStyle name="40% - Akzent4 101_2012-2019" xfId="11785" xr:uid="{00000000-0005-0000-0000-0000DB130000}"/>
    <cellStyle name="40% - Akzent4 102" xfId="4380" xr:uid="{00000000-0005-0000-0000-0000DC130000}"/>
    <cellStyle name="40% - Akzent4 102 2" xfId="4381" xr:uid="{00000000-0005-0000-0000-0000DD130000}"/>
    <cellStyle name="40% - Akzent4 102 2 2" xfId="13799" xr:uid="{00000000-0005-0000-0000-0000DE130000}"/>
    <cellStyle name="40% - Akzent4 102 2_est. MEAT" xfId="21253" xr:uid="{00000000-0005-0000-0000-0000DF130000}"/>
    <cellStyle name="40% - Akzent4 102 3" xfId="13798" xr:uid="{00000000-0005-0000-0000-0000E0130000}"/>
    <cellStyle name="40% - Akzent4 102_2012-2019" xfId="11786" xr:uid="{00000000-0005-0000-0000-0000E1130000}"/>
    <cellStyle name="40% - Akzent4 103" xfId="4382" xr:uid="{00000000-0005-0000-0000-0000E2130000}"/>
    <cellStyle name="40% - Akzent4 103 2" xfId="4383" xr:uid="{00000000-0005-0000-0000-0000E3130000}"/>
    <cellStyle name="40% - Akzent4 103 2 2" xfId="13801" xr:uid="{00000000-0005-0000-0000-0000E4130000}"/>
    <cellStyle name="40% - Akzent4 103 2_est. MEAT" xfId="21254" xr:uid="{00000000-0005-0000-0000-0000E5130000}"/>
    <cellStyle name="40% - Akzent4 103 3" xfId="13800" xr:uid="{00000000-0005-0000-0000-0000E6130000}"/>
    <cellStyle name="40% - Akzent4 103_2012-2019" xfId="11787" xr:uid="{00000000-0005-0000-0000-0000E7130000}"/>
    <cellStyle name="40% - Akzent4 104" xfId="4384" xr:uid="{00000000-0005-0000-0000-0000E8130000}"/>
    <cellStyle name="40% - Akzent4 104 2" xfId="4385" xr:uid="{00000000-0005-0000-0000-0000E9130000}"/>
    <cellStyle name="40% - Akzent4 104 2 2" xfId="13803" xr:uid="{00000000-0005-0000-0000-0000EA130000}"/>
    <cellStyle name="40% - Akzent4 104 2_est. MEAT" xfId="21255" xr:uid="{00000000-0005-0000-0000-0000EB130000}"/>
    <cellStyle name="40% - Akzent4 104 3" xfId="13802" xr:uid="{00000000-0005-0000-0000-0000EC130000}"/>
    <cellStyle name="40% - Akzent4 104_2012-2019" xfId="11788" xr:uid="{00000000-0005-0000-0000-0000ED130000}"/>
    <cellStyle name="40% - Akzent4 105" xfId="4386" xr:uid="{00000000-0005-0000-0000-0000EE130000}"/>
    <cellStyle name="40% - Akzent4 105 2" xfId="4387" xr:uid="{00000000-0005-0000-0000-0000EF130000}"/>
    <cellStyle name="40% - Akzent4 105 2 2" xfId="13805" xr:uid="{00000000-0005-0000-0000-0000F0130000}"/>
    <cellStyle name="40% - Akzent4 105 2_est. MEAT" xfId="21256" xr:uid="{00000000-0005-0000-0000-0000F1130000}"/>
    <cellStyle name="40% - Akzent4 105 3" xfId="13804" xr:uid="{00000000-0005-0000-0000-0000F2130000}"/>
    <cellStyle name="40% - Akzent4 105_2012-2019" xfId="11789" xr:uid="{00000000-0005-0000-0000-0000F3130000}"/>
    <cellStyle name="40% - Akzent4 106" xfId="4388" xr:uid="{00000000-0005-0000-0000-0000F4130000}"/>
    <cellStyle name="40% - Akzent4 106 2" xfId="4389" xr:uid="{00000000-0005-0000-0000-0000F5130000}"/>
    <cellStyle name="40% - Akzent4 106 2 2" xfId="13807" xr:uid="{00000000-0005-0000-0000-0000F6130000}"/>
    <cellStyle name="40% - Akzent4 106 2_est. MEAT" xfId="21257" xr:uid="{00000000-0005-0000-0000-0000F7130000}"/>
    <cellStyle name="40% - Akzent4 106 3" xfId="13806" xr:uid="{00000000-0005-0000-0000-0000F8130000}"/>
    <cellStyle name="40% - Akzent4 106_2012-2019" xfId="11790" xr:uid="{00000000-0005-0000-0000-0000F9130000}"/>
    <cellStyle name="40% - Akzent4 107" xfId="4390" xr:uid="{00000000-0005-0000-0000-0000FA130000}"/>
    <cellStyle name="40% - Akzent4 107 2" xfId="4391" xr:uid="{00000000-0005-0000-0000-0000FB130000}"/>
    <cellStyle name="40% - Akzent4 107 2 2" xfId="13809" xr:uid="{00000000-0005-0000-0000-0000FC130000}"/>
    <cellStyle name="40% - Akzent4 107 2_est. MEAT" xfId="21258" xr:uid="{00000000-0005-0000-0000-0000FD130000}"/>
    <cellStyle name="40% - Akzent4 107 3" xfId="13808" xr:uid="{00000000-0005-0000-0000-0000FE130000}"/>
    <cellStyle name="40% - Akzent4 107_2012-2019" xfId="11791" xr:uid="{00000000-0005-0000-0000-0000FF130000}"/>
    <cellStyle name="40% - Akzent4 108" xfId="4392" xr:uid="{00000000-0005-0000-0000-000000140000}"/>
    <cellStyle name="40% - Akzent4 108 2" xfId="4393" xr:uid="{00000000-0005-0000-0000-000001140000}"/>
    <cellStyle name="40% - Akzent4 108 2 2" xfId="13811" xr:uid="{00000000-0005-0000-0000-000002140000}"/>
    <cellStyle name="40% - Akzent4 108 2_est. MEAT" xfId="21259" xr:uid="{00000000-0005-0000-0000-000003140000}"/>
    <cellStyle name="40% - Akzent4 108 3" xfId="13810" xr:uid="{00000000-0005-0000-0000-000004140000}"/>
    <cellStyle name="40% - Akzent4 108_2012-2019" xfId="11792" xr:uid="{00000000-0005-0000-0000-000005140000}"/>
    <cellStyle name="40% - Akzent4 109" xfId="4394" xr:uid="{00000000-0005-0000-0000-000006140000}"/>
    <cellStyle name="40% - Akzent4 109 2" xfId="4395" xr:uid="{00000000-0005-0000-0000-000007140000}"/>
    <cellStyle name="40% - Akzent4 109 2 2" xfId="13813" xr:uid="{00000000-0005-0000-0000-000008140000}"/>
    <cellStyle name="40% - Akzent4 109 2_est. MEAT" xfId="21260" xr:uid="{00000000-0005-0000-0000-000009140000}"/>
    <cellStyle name="40% - Akzent4 109 3" xfId="13812" xr:uid="{00000000-0005-0000-0000-00000A140000}"/>
    <cellStyle name="40% - Akzent4 109_2012-2019" xfId="11793" xr:uid="{00000000-0005-0000-0000-00000B140000}"/>
    <cellStyle name="40% - Akzent4 11" xfId="4396" xr:uid="{00000000-0005-0000-0000-00000C140000}"/>
    <cellStyle name="40% - Akzent4 11 2" xfId="4397" xr:uid="{00000000-0005-0000-0000-00000D140000}"/>
    <cellStyle name="40% - Akzent4 11 2 2" xfId="13815" xr:uid="{00000000-0005-0000-0000-00000E140000}"/>
    <cellStyle name="40% - Akzent4 11 2_est. MEAT" xfId="21261" xr:uid="{00000000-0005-0000-0000-00000F140000}"/>
    <cellStyle name="40% - Akzent4 11 3" xfId="13814" xr:uid="{00000000-0005-0000-0000-000010140000}"/>
    <cellStyle name="40% - Akzent4 11_2012-2019" xfId="11794" xr:uid="{00000000-0005-0000-0000-000011140000}"/>
    <cellStyle name="40% - Akzent4 110" xfId="4398" xr:uid="{00000000-0005-0000-0000-000012140000}"/>
    <cellStyle name="40% - Akzent4 110 2" xfId="4399" xr:uid="{00000000-0005-0000-0000-000013140000}"/>
    <cellStyle name="40% - Akzent4 110 2 2" xfId="13817" xr:uid="{00000000-0005-0000-0000-000014140000}"/>
    <cellStyle name="40% - Akzent4 110 2_est. MEAT" xfId="21262" xr:uid="{00000000-0005-0000-0000-000015140000}"/>
    <cellStyle name="40% - Akzent4 110 3" xfId="13816" xr:uid="{00000000-0005-0000-0000-000016140000}"/>
    <cellStyle name="40% - Akzent4 110_2012-2019" xfId="11795" xr:uid="{00000000-0005-0000-0000-000017140000}"/>
    <cellStyle name="40% - Akzent4 111" xfId="4400" xr:uid="{00000000-0005-0000-0000-000018140000}"/>
    <cellStyle name="40% - Akzent4 111 2" xfId="4401" xr:uid="{00000000-0005-0000-0000-000019140000}"/>
    <cellStyle name="40% - Akzent4 111 2 2" xfId="13819" xr:uid="{00000000-0005-0000-0000-00001A140000}"/>
    <cellStyle name="40% - Akzent4 111 2_est. MEAT" xfId="21263" xr:uid="{00000000-0005-0000-0000-00001B140000}"/>
    <cellStyle name="40% - Akzent4 111 3" xfId="13818" xr:uid="{00000000-0005-0000-0000-00001C140000}"/>
    <cellStyle name="40% - Akzent4 111_2012-2019" xfId="11796" xr:uid="{00000000-0005-0000-0000-00001D140000}"/>
    <cellStyle name="40% - Akzent4 112" xfId="4402" xr:uid="{00000000-0005-0000-0000-00001E140000}"/>
    <cellStyle name="40% - Akzent4 112 2" xfId="4403" xr:uid="{00000000-0005-0000-0000-00001F140000}"/>
    <cellStyle name="40% - Akzent4 112 2 2" xfId="13821" xr:uid="{00000000-0005-0000-0000-000020140000}"/>
    <cellStyle name="40% - Akzent4 112 2_est. MEAT" xfId="21264" xr:uid="{00000000-0005-0000-0000-000021140000}"/>
    <cellStyle name="40% - Akzent4 112 3" xfId="13820" xr:uid="{00000000-0005-0000-0000-000022140000}"/>
    <cellStyle name="40% - Akzent4 112_2012-2019" xfId="11797" xr:uid="{00000000-0005-0000-0000-000023140000}"/>
    <cellStyle name="40% - Akzent4 113" xfId="4404" xr:uid="{00000000-0005-0000-0000-000024140000}"/>
    <cellStyle name="40% - Akzent4 113 2" xfId="4405" xr:uid="{00000000-0005-0000-0000-000025140000}"/>
    <cellStyle name="40% - Akzent4 113 2 2" xfId="13823" xr:uid="{00000000-0005-0000-0000-000026140000}"/>
    <cellStyle name="40% - Akzent4 113 2_est. MEAT" xfId="21265" xr:uid="{00000000-0005-0000-0000-000027140000}"/>
    <cellStyle name="40% - Akzent4 113 3" xfId="13822" xr:uid="{00000000-0005-0000-0000-000028140000}"/>
    <cellStyle name="40% - Akzent4 113_2012-2019" xfId="11798" xr:uid="{00000000-0005-0000-0000-000029140000}"/>
    <cellStyle name="40% - Akzent4 114" xfId="4406" xr:uid="{00000000-0005-0000-0000-00002A140000}"/>
    <cellStyle name="40% - Akzent4 114 2" xfId="4407" xr:uid="{00000000-0005-0000-0000-00002B140000}"/>
    <cellStyle name="40% - Akzent4 114 2 2" xfId="13825" xr:uid="{00000000-0005-0000-0000-00002C140000}"/>
    <cellStyle name="40% - Akzent4 114 2_est. MEAT" xfId="21266" xr:uid="{00000000-0005-0000-0000-00002D140000}"/>
    <cellStyle name="40% - Akzent4 114 3" xfId="13824" xr:uid="{00000000-0005-0000-0000-00002E140000}"/>
    <cellStyle name="40% - Akzent4 114_2012-2019" xfId="11799" xr:uid="{00000000-0005-0000-0000-00002F140000}"/>
    <cellStyle name="40% - Akzent4 115" xfId="4408" xr:uid="{00000000-0005-0000-0000-000030140000}"/>
    <cellStyle name="40% - Akzent4 115 2" xfId="4409" xr:uid="{00000000-0005-0000-0000-000031140000}"/>
    <cellStyle name="40% - Akzent4 115 2 2" xfId="13827" xr:uid="{00000000-0005-0000-0000-000032140000}"/>
    <cellStyle name="40% - Akzent4 115 2_est. MEAT" xfId="21267" xr:uid="{00000000-0005-0000-0000-000033140000}"/>
    <cellStyle name="40% - Akzent4 115 3" xfId="13826" xr:uid="{00000000-0005-0000-0000-000034140000}"/>
    <cellStyle name="40% - Akzent4 115_2012-2019" xfId="11800" xr:uid="{00000000-0005-0000-0000-000035140000}"/>
    <cellStyle name="40% - Akzent4 116" xfId="4410" xr:uid="{00000000-0005-0000-0000-000036140000}"/>
    <cellStyle name="40% - Akzent4 116 2" xfId="4411" xr:uid="{00000000-0005-0000-0000-000037140000}"/>
    <cellStyle name="40% - Akzent4 116 2 2" xfId="13829" xr:uid="{00000000-0005-0000-0000-000038140000}"/>
    <cellStyle name="40% - Akzent4 116 2_est. MEAT" xfId="21268" xr:uid="{00000000-0005-0000-0000-000039140000}"/>
    <cellStyle name="40% - Akzent4 116 3" xfId="13828" xr:uid="{00000000-0005-0000-0000-00003A140000}"/>
    <cellStyle name="40% - Akzent4 116_2012-2019" xfId="11801" xr:uid="{00000000-0005-0000-0000-00003B140000}"/>
    <cellStyle name="40% - Akzent4 117" xfId="4412" xr:uid="{00000000-0005-0000-0000-00003C140000}"/>
    <cellStyle name="40% - Akzent4 117 2" xfId="4413" xr:uid="{00000000-0005-0000-0000-00003D140000}"/>
    <cellStyle name="40% - Akzent4 117 2 2" xfId="13831" xr:uid="{00000000-0005-0000-0000-00003E140000}"/>
    <cellStyle name="40% - Akzent4 117 2_est. MEAT" xfId="21269" xr:uid="{00000000-0005-0000-0000-00003F140000}"/>
    <cellStyle name="40% - Akzent4 117 3" xfId="13830" xr:uid="{00000000-0005-0000-0000-000040140000}"/>
    <cellStyle name="40% - Akzent4 117_2012-2019" xfId="11802" xr:uid="{00000000-0005-0000-0000-000041140000}"/>
    <cellStyle name="40% - Akzent4 118" xfId="4414" xr:uid="{00000000-0005-0000-0000-000042140000}"/>
    <cellStyle name="40% - Akzent4 118 2" xfId="4415" xr:uid="{00000000-0005-0000-0000-000043140000}"/>
    <cellStyle name="40% - Akzent4 118 2 2" xfId="13833" xr:uid="{00000000-0005-0000-0000-000044140000}"/>
    <cellStyle name="40% - Akzent4 118 2_est. MEAT" xfId="21270" xr:uid="{00000000-0005-0000-0000-000045140000}"/>
    <cellStyle name="40% - Akzent4 118 3" xfId="13832" xr:uid="{00000000-0005-0000-0000-000046140000}"/>
    <cellStyle name="40% - Akzent4 118_2012-2019" xfId="11803" xr:uid="{00000000-0005-0000-0000-000047140000}"/>
    <cellStyle name="40% - Akzent4 119" xfId="4416" xr:uid="{00000000-0005-0000-0000-000048140000}"/>
    <cellStyle name="40% - Akzent4 119 2" xfId="4417" xr:uid="{00000000-0005-0000-0000-000049140000}"/>
    <cellStyle name="40% - Akzent4 119 2 2" xfId="13835" xr:uid="{00000000-0005-0000-0000-00004A140000}"/>
    <cellStyle name="40% - Akzent4 119 2_est. MEAT" xfId="21271" xr:uid="{00000000-0005-0000-0000-00004B140000}"/>
    <cellStyle name="40% - Akzent4 119 3" xfId="13834" xr:uid="{00000000-0005-0000-0000-00004C140000}"/>
    <cellStyle name="40% - Akzent4 119_2012-2019" xfId="11804" xr:uid="{00000000-0005-0000-0000-00004D140000}"/>
    <cellStyle name="40% - Akzent4 12" xfId="4418" xr:uid="{00000000-0005-0000-0000-00004E140000}"/>
    <cellStyle name="40% - Akzent4 12 2" xfId="4419" xr:uid="{00000000-0005-0000-0000-00004F140000}"/>
    <cellStyle name="40% - Akzent4 12 2 2" xfId="13837" xr:uid="{00000000-0005-0000-0000-000050140000}"/>
    <cellStyle name="40% - Akzent4 12 2_est. MEAT" xfId="21272" xr:uid="{00000000-0005-0000-0000-000051140000}"/>
    <cellStyle name="40% - Akzent4 12 3" xfId="13836" xr:uid="{00000000-0005-0000-0000-000052140000}"/>
    <cellStyle name="40% - Akzent4 12_2012-2019" xfId="11805" xr:uid="{00000000-0005-0000-0000-000053140000}"/>
    <cellStyle name="40% - Akzent4 120" xfId="4420" xr:uid="{00000000-0005-0000-0000-000054140000}"/>
    <cellStyle name="40% - Akzent4 120 2" xfId="4421" xr:uid="{00000000-0005-0000-0000-000055140000}"/>
    <cellStyle name="40% - Akzent4 120 2 2" xfId="13839" xr:uid="{00000000-0005-0000-0000-000056140000}"/>
    <cellStyle name="40% - Akzent4 120 2_est. MEAT" xfId="21273" xr:uid="{00000000-0005-0000-0000-000057140000}"/>
    <cellStyle name="40% - Akzent4 120 3" xfId="13838" xr:uid="{00000000-0005-0000-0000-000058140000}"/>
    <cellStyle name="40% - Akzent4 120_2012-2019" xfId="11806" xr:uid="{00000000-0005-0000-0000-000059140000}"/>
    <cellStyle name="40% - Akzent4 121" xfId="4422" xr:uid="{00000000-0005-0000-0000-00005A140000}"/>
    <cellStyle name="40% - Akzent4 121 2" xfId="4423" xr:uid="{00000000-0005-0000-0000-00005B140000}"/>
    <cellStyle name="40% - Akzent4 121 2 2" xfId="13841" xr:uid="{00000000-0005-0000-0000-00005C140000}"/>
    <cellStyle name="40% - Akzent4 121 2_est. MEAT" xfId="21274" xr:uid="{00000000-0005-0000-0000-00005D140000}"/>
    <cellStyle name="40% - Akzent4 121 3" xfId="13840" xr:uid="{00000000-0005-0000-0000-00005E140000}"/>
    <cellStyle name="40% - Akzent4 121_2012-2019" xfId="11807" xr:uid="{00000000-0005-0000-0000-00005F140000}"/>
    <cellStyle name="40% - Akzent4 122" xfId="4424" xr:uid="{00000000-0005-0000-0000-000060140000}"/>
    <cellStyle name="40% - Akzent4 122 2" xfId="4425" xr:uid="{00000000-0005-0000-0000-000061140000}"/>
    <cellStyle name="40% - Akzent4 122 2 2" xfId="13843" xr:uid="{00000000-0005-0000-0000-000062140000}"/>
    <cellStyle name="40% - Akzent4 122 2_est. MEAT" xfId="21275" xr:uid="{00000000-0005-0000-0000-000063140000}"/>
    <cellStyle name="40% - Akzent4 122 3" xfId="13842" xr:uid="{00000000-0005-0000-0000-000064140000}"/>
    <cellStyle name="40% - Akzent4 122_2012-2019" xfId="11808" xr:uid="{00000000-0005-0000-0000-000065140000}"/>
    <cellStyle name="40% - Akzent4 123" xfId="4426" xr:uid="{00000000-0005-0000-0000-000066140000}"/>
    <cellStyle name="40% - Akzent4 123 2" xfId="4427" xr:uid="{00000000-0005-0000-0000-000067140000}"/>
    <cellStyle name="40% - Akzent4 123 2 2" xfId="13845" xr:uid="{00000000-0005-0000-0000-000068140000}"/>
    <cellStyle name="40% - Akzent4 123 2_est. MEAT" xfId="21276" xr:uid="{00000000-0005-0000-0000-000069140000}"/>
    <cellStyle name="40% - Akzent4 123 3" xfId="13844" xr:uid="{00000000-0005-0000-0000-00006A140000}"/>
    <cellStyle name="40% - Akzent4 123_2012-2019" xfId="11809" xr:uid="{00000000-0005-0000-0000-00006B140000}"/>
    <cellStyle name="40% - Akzent4 124" xfId="4428" xr:uid="{00000000-0005-0000-0000-00006C140000}"/>
    <cellStyle name="40% - Akzent4 124 2" xfId="4429" xr:uid="{00000000-0005-0000-0000-00006D140000}"/>
    <cellStyle name="40% - Akzent4 124 2 2" xfId="13847" xr:uid="{00000000-0005-0000-0000-00006E140000}"/>
    <cellStyle name="40% - Akzent4 124 2_est. MEAT" xfId="21277" xr:uid="{00000000-0005-0000-0000-00006F140000}"/>
    <cellStyle name="40% - Akzent4 124 3" xfId="13846" xr:uid="{00000000-0005-0000-0000-000070140000}"/>
    <cellStyle name="40% - Akzent4 124_2012-2019" xfId="11810" xr:uid="{00000000-0005-0000-0000-000071140000}"/>
    <cellStyle name="40% - Akzent4 125" xfId="4430" xr:uid="{00000000-0005-0000-0000-000072140000}"/>
    <cellStyle name="40% - Akzent4 125 2" xfId="4431" xr:uid="{00000000-0005-0000-0000-000073140000}"/>
    <cellStyle name="40% - Akzent4 125 2 2" xfId="13849" xr:uid="{00000000-0005-0000-0000-000074140000}"/>
    <cellStyle name="40% - Akzent4 125 2_est. MEAT" xfId="21278" xr:uid="{00000000-0005-0000-0000-000075140000}"/>
    <cellStyle name="40% - Akzent4 125 3" xfId="13848" xr:uid="{00000000-0005-0000-0000-000076140000}"/>
    <cellStyle name="40% - Akzent4 125_2012-2019" xfId="11811" xr:uid="{00000000-0005-0000-0000-000077140000}"/>
    <cellStyle name="40% - Akzent4 126" xfId="4432" xr:uid="{00000000-0005-0000-0000-000078140000}"/>
    <cellStyle name="40% - Akzent4 126 2" xfId="4433" xr:uid="{00000000-0005-0000-0000-000079140000}"/>
    <cellStyle name="40% - Akzent4 126 2 2" xfId="13851" xr:uid="{00000000-0005-0000-0000-00007A140000}"/>
    <cellStyle name="40% - Akzent4 126 2_est. MEAT" xfId="21279" xr:uid="{00000000-0005-0000-0000-00007B140000}"/>
    <cellStyle name="40% - Akzent4 126 3" xfId="13850" xr:uid="{00000000-0005-0000-0000-00007C140000}"/>
    <cellStyle name="40% - Akzent4 126_2012-2019" xfId="11812" xr:uid="{00000000-0005-0000-0000-00007D140000}"/>
    <cellStyle name="40% - Akzent4 127" xfId="4434" xr:uid="{00000000-0005-0000-0000-00007E140000}"/>
    <cellStyle name="40% - Akzent4 127 2" xfId="4435" xr:uid="{00000000-0005-0000-0000-00007F140000}"/>
    <cellStyle name="40% - Akzent4 127 2 2" xfId="13853" xr:uid="{00000000-0005-0000-0000-000080140000}"/>
    <cellStyle name="40% - Akzent4 127 2_est. MEAT" xfId="21280" xr:uid="{00000000-0005-0000-0000-000081140000}"/>
    <cellStyle name="40% - Akzent4 127 3" xfId="13852" xr:uid="{00000000-0005-0000-0000-000082140000}"/>
    <cellStyle name="40% - Akzent4 127_2012-2019" xfId="11813" xr:uid="{00000000-0005-0000-0000-000083140000}"/>
    <cellStyle name="40% - Akzent4 128" xfId="4436" xr:uid="{00000000-0005-0000-0000-000084140000}"/>
    <cellStyle name="40% - Akzent4 128 2" xfId="4437" xr:uid="{00000000-0005-0000-0000-000085140000}"/>
    <cellStyle name="40% - Akzent4 128 2 2" xfId="13855" xr:uid="{00000000-0005-0000-0000-000086140000}"/>
    <cellStyle name="40% - Akzent4 128 2_est. MEAT" xfId="21281" xr:uid="{00000000-0005-0000-0000-000087140000}"/>
    <cellStyle name="40% - Akzent4 128 3" xfId="13854" xr:uid="{00000000-0005-0000-0000-000088140000}"/>
    <cellStyle name="40% - Akzent4 128_2012-2019" xfId="11814" xr:uid="{00000000-0005-0000-0000-000089140000}"/>
    <cellStyle name="40% - Akzent4 129" xfId="4438" xr:uid="{00000000-0005-0000-0000-00008A140000}"/>
    <cellStyle name="40% - Akzent4 129 2" xfId="4439" xr:uid="{00000000-0005-0000-0000-00008B140000}"/>
    <cellStyle name="40% - Akzent4 129 2 2" xfId="13857" xr:uid="{00000000-0005-0000-0000-00008C140000}"/>
    <cellStyle name="40% - Akzent4 129 2_est. MEAT" xfId="21282" xr:uid="{00000000-0005-0000-0000-00008D140000}"/>
    <cellStyle name="40% - Akzent4 129 3" xfId="13856" xr:uid="{00000000-0005-0000-0000-00008E140000}"/>
    <cellStyle name="40% - Akzent4 129_2012-2019" xfId="11815" xr:uid="{00000000-0005-0000-0000-00008F140000}"/>
    <cellStyle name="40% - Akzent4 13" xfId="4440" xr:uid="{00000000-0005-0000-0000-000090140000}"/>
    <cellStyle name="40% - Akzent4 13 2" xfId="4441" xr:uid="{00000000-0005-0000-0000-000091140000}"/>
    <cellStyle name="40% - Akzent4 13 2 2" xfId="13859" xr:uid="{00000000-0005-0000-0000-000092140000}"/>
    <cellStyle name="40% - Akzent4 13 2_est. MEAT" xfId="21283" xr:uid="{00000000-0005-0000-0000-000093140000}"/>
    <cellStyle name="40% - Akzent4 13 3" xfId="13858" xr:uid="{00000000-0005-0000-0000-000094140000}"/>
    <cellStyle name="40% - Akzent4 13_2012-2019" xfId="11816" xr:uid="{00000000-0005-0000-0000-000095140000}"/>
    <cellStyle name="40% - Akzent4 130" xfId="4442" xr:uid="{00000000-0005-0000-0000-000096140000}"/>
    <cellStyle name="40% - Akzent4 130 2" xfId="4443" xr:uid="{00000000-0005-0000-0000-000097140000}"/>
    <cellStyle name="40% - Akzent4 130 2 2" xfId="13861" xr:uid="{00000000-0005-0000-0000-000098140000}"/>
    <cellStyle name="40% - Akzent4 130 2_est. MEAT" xfId="21284" xr:uid="{00000000-0005-0000-0000-000099140000}"/>
    <cellStyle name="40% - Akzent4 130 3" xfId="13860" xr:uid="{00000000-0005-0000-0000-00009A140000}"/>
    <cellStyle name="40% - Akzent4 130_2012-2019" xfId="11817" xr:uid="{00000000-0005-0000-0000-00009B140000}"/>
    <cellStyle name="40% - Akzent4 131" xfId="4444" xr:uid="{00000000-0005-0000-0000-00009C140000}"/>
    <cellStyle name="40% - Akzent4 131 2" xfId="4445" xr:uid="{00000000-0005-0000-0000-00009D140000}"/>
    <cellStyle name="40% - Akzent4 131 2 2" xfId="13863" xr:uid="{00000000-0005-0000-0000-00009E140000}"/>
    <cellStyle name="40% - Akzent4 131 2_est. MEAT" xfId="21285" xr:uid="{00000000-0005-0000-0000-00009F140000}"/>
    <cellStyle name="40% - Akzent4 131 3" xfId="13862" xr:uid="{00000000-0005-0000-0000-0000A0140000}"/>
    <cellStyle name="40% - Akzent4 131_2012-2019" xfId="11818" xr:uid="{00000000-0005-0000-0000-0000A1140000}"/>
    <cellStyle name="40% - Akzent4 132" xfId="4446" xr:uid="{00000000-0005-0000-0000-0000A2140000}"/>
    <cellStyle name="40% - Akzent4 132 2" xfId="4447" xr:uid="{00000000-0005-0000-0000-0000A3140000}"/>
    <cellStyle name="40% - Akzent4 132 2 2" xfId="13865" xr:uid="{00000000-0005-0000-0000-0000A4140000}"/>
    <cellStyle name="40% - Akzent4 132 2_est. MEAT" xfId="21286" xr:uid="{00000000-0005-0000-0000-0000A5140000}"/>
    <cellStyle name="40% - Akzent4 132 3" xfId="13864" xr:uid="{00000000-0005-0000-0000-0000A6140000}"/>
    <cellStyle name="40% - Akzent4 132_2012-2019" xfId="11819" xr:uid="{00000000-0005-0000-0000-0000A7140000}"/>
    <cellStyle name="40% - Akzent4 133" xfId="4448" xr:uid="{00000000-0005-0000-0000-0000A8140000}"/>
    <cellStyle name="40% - Akzent4 133 2" xfId="4449" xr:uid="{00000000-0005-0000-0000-0000A9140000}"/>
    <cellStyle name="40% - Akzent4 133 2 2" xfId="13867" xr:uid="{00000000-0005-0000-0000-0000AA140000}"/>
    <cellStyle name="40% - Akzent4 133 2_est. MEAT" xfId="21287" xr:uid="{00000000-0005-0000-0000-0000AB140000}"/>
    <cellStyle name="40% - Akzent4 133 3" xfId="13866" xr:uid="{00000000-0005-0000-0000-0000AC140000}"/>
    <cellStyle name="40% - Akzent4 133_2012-2019" xfId="11820" xr:uid="{00000000-0005-0000-0000-0000AD140000}"/>
    <cellStyle name="40% - Akzent4 134" xfId="4450" xr:uid="{00000000-0005-0000-0000-0000AE140000}"/>
    <cellStyle name="40% - Akzent4 134 2" xfId="4451" xr:uid="{00000000-0005-0000-0000-0000AF140000}"/>
    <cellStyle name="40% - Akzent4 134 2 2" xfId="13869" xr:uid="{00000000-0005-0000-0000-0000B0140000}"/>
    <cellStyle name="40% - Akzent4 134 2_est. MEAT" xfId="21288" xr:uid="{00000000-0005-0000-0000-0000B1140000}"/>
    <cellStyle name="40% - Akzent4 134 3" xfId="13868" xr:uid="{00000000-0005-0000-0000-0000B2140000}"/>
    <cellStyle name="40% - Akzent4 134_2012-2019" xfId="11821" xr:uid="{00000000-0005-0000-0000-0000B3140000}"/>
    <cellStyle name="40% - Akzent4 135" xfId="4452" xr:uid="{00000000-0005-0000-0000-0000B4140000}"/>
    <cellStyle name="40% - Akzent4 135 2" xfId="4453" xr:uid="{00000000-0005-0000-0000-0000B5140000}"/>
    <cellStyle name="40% - Akzent4 135 2 2" xfId="13871" xr:uid="{00000000-0005-0000-0000-0000B6140000}"/>
    <cellStyle name="40% - Akzent4 135 2_est. MEAT" xfId="21289" xr:uid="{00000000-0005-0000-0000-0000B7140000}"/>
    <cellStyle name="40% - Akzent4 135 3" xfId="13870" xr:uid="{00000000-0005-0000-0000-0000B8140000}"/>
    <cellStyle name="40% - Akzent4 135_2012-2019" xfId="11822" xr:uid="{00000000-0005-0000-0000-0000B9140000}"/>
    <cellStyle name="40% - Akzent4 136" xfId="4454" xr:uid="{00000000-0005-0000-0000-0000BA140000}"/>
    <cellStyle name="40% - Akzent4 136 2" xfId="4455" xr:uid="{00000000-0005-0000-0000-0000BB140000}"/>
    <cellStyle name="40% - Akzent4 136 2 2" xfId="13873" xr:uid="{00000000-0005-0000-0000-0000BC140000}"/>
    <cellStyle name="40% - Akzent4 136 2_est. MEAT" xfId="21290" xr:uid="{00000000-0005-0000-0000-0000BD140000}"/>
    <cellStyle name="40% - Akzent4 136 3" xfId="13872" xr:uid="{00000000-0005-0000-0000-0000BE140000}"/>
    <cellStyle name="40% - Akzent4 136_2012-2019" xfId="11823" xr:uid="{00000000-0005-0000-0000-0000BF140000}"/>
    <cellStyle name="40% - Akzent4 137" xfId="4456" xr:uid="{00000000-0005-0000-0000-0000C0140000}"/>
    <cellStyle name="40% - Akzent4 137 2" xfId="4457" xr:uid="{00000000-0005-0000-0000-0000C1140000}"/>
    <cellStyle name="40% - Akzent4 137 2 2" xfId="13875" xr:uid="{00000000-0005-0000-0000-0000C2140000}"/>
    <cellStyle name="40% - Akzent4 137 2_est. MEAT" xfId="21291" xr:uid="{00000000-0005-0000-0000-0000C3140000}"/>
    <cellStyle name="40% - Akzent4 137 3" xfId="13874" xr:uid="{00000000-0005-0000-0000-0000C4140000}"/>
    <cellStyle name="40% - Akzent4 137_2012-2019" xfId="11824" xr:uid="{00000000-0005-0000-0000-0000C5140000}"/>
    <cellStyle name="40% - Akzent4 138" xfId="4458" xr:uid="{00000000-0005-0000-0000-0000C6140000}"/>
    <cellStyle name="40% - Akzent4 138 2" xfId="4459" xr:uid="{00000000-0005-0000-0000-0000C7140000}"/>
    <cellStyle name="40% - Akzent4 138 2 2" xfId="13877" xr:uid="{00000000-0005-0000-0000-0000C8140000}"/>
    <cellStyle name="40% - Akzent4 138 2_est. MEAT" xfId="21292" xr:uid="{00000000-0005-0000-0000-0000C9140000}"/>
    <cellStyle name="40% - Akzent4 138 3" xfId="13876" xr:uid="{00000000-0005-0000-0000-0000CA140000}"/>
    <cellStyle name="40% - Akzent4 138_2012-2019" xfId="11825" xr:uid="{00000000-0005-0000-0000-0000CB140000}"/>
    <cellStyle name="40% - Akzent4 139" xfId="4460" xr:uid="{00000000-0005-0000-0000-0000CC140000}"/>
    <cellStyle name="40% - Akzent4 139 2" xfId="4461" xr:uid="{00000000-0005-0000-0000-0000CD140000}"/>
    <cellStyle name="40% - Akzent4 139 2 2" xfId="13879" xr:uid="{00000000-0005-0000-0000-0000CE140000}"/>
    <cellStyle name="40% - Akzent4 139 2_est. MEAT" xfId="21293" xr:uid="{00000000-0005-0000-0000-0000CF140000}"/>
    <cellStyle name="40% - Akzent4 139 3" xfId="13878" xr:uid="{00000000-0005-0000-0000-0000D0140000}"/>
    <cellStyle name="40% - Akzent4 139_2012-2019" xfId="11826" xr:uid="{00000000-0005-0000-0000-0000D1140000}"/>
    <cellStyle name="40% - Akzent4 14" xfId="4462" xr:uid="{00000000-0005-0000-0000-0000D2140000}"/>
    <cellStyle name="40% - Akzent4 14 2" xfId="4463" xr:uid="{00000000-0005-0000-0000-0000D3140000}"/>
    <cellStyle name="40% - Akzent4 14 2 2" xfId="13881" xr:uid="{00000000-0005-0000-0000-0000D4140000}"/>
    <cellStyle name="40% - Akzent4 14 2_est. MEAT" xfId="21294" xr:uid="{00000000-0005-0000-0000-0000D5140000}"/>
    <cellStyle name="40% - Akzent4 14 3" xfId="13880" xr:uid="{00000000-0005-0000-0000-0000D6140000}"/>
    <cellStyle name="40% - Akzent4 14_2012-2019" xfId="11827" xr:uid="{00000000-0005-0000-0000-0000D7140000}"/>
    <cellStyle name="40% - Akzent4 140" xfId="4464" xr:uid="{00000000-0005-0000-0000-0000D8140000}"/>
    <cellStyle name="40% - Akzent4 140 2" xfId="4465" xr:uid="{00000000-0005-0000-0000-0000D9140000}"/>
    <cellStyle name="40% - Akzent4 140 2 2" xfId="13883" xr:uid="{00000000-0005-0000-0000-0000DA140000}"/>
    <cellStyle name="40% - Akzent4 140 2_est. MEAT" xfId="21295" xr:uid="{00000000-0005-0000-0000-0000DB140000}"/>
    <cellStyle name="40% - Akzent4 140 3" xfId="13882" xr:uid="{00000000-0005-0000-0000-0000DC140000}"/>
    <cellStyle name="40% - Akzent4 140_2012-2019" xfId="11828" xr:uid="{00000000-0005-0000-0000-0000DD140000}"/>
    <cellStyle name="40% - Akzent4 141" xfId="4466" xr:uid="{00000000-0005-0000-0000-0000DE140000}"/>
    <cellStyle name="40% - Akzent4 141 2" xfId="4467" xr:uid="{00000000-0005-0000-0000-0000DF140000}"/>
    <cellStyle name="40% - Akzent4 141 2 2" xfId="13885" xr:uid="{00000000-0005-0000-0000-0000E0140000}"/>
    <cellStyle name="40% - Akzent4 141 2_est. MEAT" xfId="21296" xr:uid="{00000000-0005-0000-0000-0000E1140000}"/>
    <cellStyle name="40% - Akzent4 141 3" xfId="13884" xr:uid="{00000000-0005-0000-0000-0000E2140000}"/>
    <cellStyle name="40% - Akzent4 141_2012-2019" xfId="11829" xr:uid="{00000000-0005-0000-0000-0000E3140000}"/>
    <cellStyle name="40% - Akzent4 142" xfId="4468" xr:uid="{00000000-0005-0000-0000-0000E4140000}"/>
    <cellStyle name="40% - Akzent4 142 2" xfId="4469" xr:uid="{00000000-0005-0000-0000-0000E5140000}"/>
    <cellStyle name="40% - Akzent4 142 2 2" xfId="13887" xr:uid="{00000000-0005-0000-0000-0000E6140000}"/>
    <cellStyle name="40% - Akzent4 142 2_est. MEAT" xfId="21297" xr:uid="{00000000-0005-0000-0000-0000E7140000}"/>
    <cellStyle name="40% - Akzent4 142 3" xfId="13886" xr:uid="{00000000-0005-0000-0000-0000E8140000}"/>
    <cellStyle name="40% - Akzent4 142_2012-2019" xfId="11830" xr:uid="{00000000-0005-0000-0000-0000E9140000}"/>
    <cellStyle name="40% - Akzent4 143" xfId="4470" xr:uid="{00000000-0005-0000-0000-0000EA140000}"/>
    <cellStyle name="40% - Akzent4 143 2" xfId="4471" xr:uid="{00000000-0005-0000-0000-0000EB140000}"/>
    <cellStyle name="40% - Akzent4 143 2 2" xfId="13889" xr:uid="{00000000-0005-0000-0000-0000EC140000}"/>
    <cellStyle name="40% - Akzent4 143 2_est. MEAT" xfId="21298" xr:uid="{00000000-0005-0000-0000-0000ED140000}"/>
    <cellStyle name="40% - Akzent4 143 3" xfId="13888" xr:uid="{00000000-0005-0000-0000-0000EE140000}"/>
    <cellStyle name="40% - Akzent4 143_2012-2019" xfId="11831" xr:uid="{00000000-0005-0000-0000-0000EF140000}"/>
    <cellStyle name="40% - Akzent4 144" xfId="4472" xr:uid="{00000000-0005-0000-0000-0000F0140000}"/>
    <cellStyle name="40% - Akzent4 144 2" xfId="4473" xr:uid="{00000000-0005-0000-0000-0000F1140000}"/>
    <cellStyle name="40% - Akzent4 144 2 2" xfId="13891" xr:uid="{00000000-0005-0000-0000-0000F2140000}"/>
    <cellStyle name="40% - Akzent4 144 2_est. MEAT" xfId="21299" xr:uid="{00000000-0005-0000-0000-0000F3140000}"/>
    <cellStyle name="40% - Akzent4 144 3" xfId="13890" xr:uid="{00000000-0005-0000-0000-0000F4140000}"/>
    <cellStyle name="40% - Akzent4 144_2012-2019" xfId="11832" xr:uid="{00000000-0005-0000-0000-0000F5140000}"/>
    <cellStyle name="40% - Akzent4 145" xfId="4474" xr:uid="{00000000-0005-0000-0000-0000F6140000}"/>
    <cellStyle name="40% - Akzent4 145 2" xfId="4475" xr:uid="{00000000-0005-0000-0000-0000F7140000}"/>
    <cellStyle name="40% - Akzent4 145 2 2" xfId="13893" xr:uid="{00000000-0005-0000-0000-0000F8140000}"/>
    <cellStyle name="40% - Akzent4 145 2_est. MEAT" xfId="21300" xr:uid="{00000000-0005-0000-0000-0000F9140000}"/>
    <cellStyle name="40% - Akzent4 145 3" xfId="13892" xr:uid="{00000000-0005-0000-0000-0000FA140000}"/>
    <cellStyle name="40% - Akzent4 145_2012-2019" xfId="11833" xr:uid="{00000000-0005-0000-0000-0000FB140000}"/>
    <cellStyle name="40% - Akzent4 146" xfId="4476" xr:uid="{00000000-0005-0000-0000-0000FC140000}"/>
    <cellStyle name="40% - Akzent4 146 2" xfId="4477" xr:uid="{00000000-0005-0000-0000-0000FD140000}"/>
    <cellStyle name="40% - Akzent4 146 2 2" xfId="13895" xr:uid="{00000000-0005-0000-0000-0000FE140000}"/>
    <cellStyle name="40% - Akzent4 146 2_est. MEAT" xfId="21301" xr:uid="{00000000-0005-0000-0000-0000FF140000}"/>
    <cellStyle name="40% - Akzent4 146 3" xfId="13894" xr:uid="{00000000-0005-0000-0000-000000150000}"/>
    <cellStyle name="40% - Akzent4 146_2012-2019" xfId="11834" xr:uid="{00000000-0005-0000-0000-000001150000}"/>
    <cellStyle name="40% - Akzent4 147" xfId="4478" xr:uid="{00000000-0005-0000-0000-000002150000}"/>
    <cellStyle name="40% - Akzent4 147 2" xfId="4479" xr:uid="{00000000-0005-0000-0000-000003150000}"/>
    <cellStyle name="40% - Akzent4 147 2 2" xfId="13897" xr:uid="{00000000-0005-0000-0000-000004150000}"/>
    <cellStyle name="40% - Akzent4 147 2_est. MEAT" xfId="21302" xr:uid="{00000000-0005-0000-0000-000005150000}"/>
    <cellStyle name="40% - Akzent4 147 3" xfId="13896" xr:uid="{00000000-0005-0000-0000-000006150000}"/>
    <cellStyle name="40% - Akzent4 147_2012-2019" xfId="11835" xr:uid="{00000000-0005-0000-0000-000007150000}"/>
    <cellStyle name="40% - Akzent4 148" xfId="4480" xr:uid="{00000000-0005-0000-0000-000008150000}"/>
    <cellStyle name="40% - Akzent4 148 2" xfId="4481" xr:uid="{00000000-0005-0000-0000-000009150000}"/>
    <cellStyle name="40% - Akzent4 148 2 2" xfId="13899" xr:uid="{00000000-0005-0000-0000-00000A150000}"/>
    <cellStyle name="40% - Akzent4 148 2_est. MEAT" xfId="21303" xr:uid="{00000000-0005-0000-0000-00000B150000}"/>
    <cellStyle name="40% - Akzent4 148 3" xfId="13898" xr:uid="{00000000-0005-0000-0000-00000C150000}"/>
    <cellStyle name="40% - Akzent4 148_2012-2019" xfId="11836" xr:uid="{00000000-0005-0000-0000-00000D150000}"/>
    <cellStyle name="40% - Akzent4 149" xfId="4482" xr:uid="{00000000-0005-0000-0000-00000E150000}"/>
    <cellStyle name="40% - Akzent4 149 2" xfId="4483" xr:uid="{00000000-0005-0000-0000-00000F150000}"/>
    <cellStyle name="40% - Akzent4 149 2 2" xfId="13901" xr:uid="{00000000-0005-0000-0000-000010150000}"/>
    <cellStyle name="40% - Akzent4 149 2_est. MEAT" xfId="21304" xr:uid="{00000000-0005-0000-0000-000011150000}"/>
    <cellStyle name="40% - Akzent4 149 3" xfId="13900" xr:uid="{00000000-0005-0000-0000-000012150000}"/>
    <cellStyle name="40% - Akzent4 149_2012-2019" xfId="11837" xr:uid="{00000000-0005-0000-0000-000013150000}"/>
    <cellStyle name="40% - Akzent4 15" xfId="4484" xr:uid="{00000000-0005-0000-0000-000014150000}"/>
    <cellStyle name="40% - Akzent4 15 2" xfId="4485" xr:uid="{00000000-0005-0000-0000-000015150000}"/>
    <cellStyle name="40% - Akzent4 15 2 2" xfId="13903" xr:uid="{00000000-0005-0000-0000-000016150000}"/>
    <cellStyle name="40% - Akzent4 15 2_est. MEAT" xfId="21305" xr:uid="{00000000-0005-0000-0000-000017150000}"/>
    <cellStyle name="40% - Akzent4 15 3" xfId="13902" xr:uid="{00000000-0005-0000-0000-000018150000}"/>
    <cellStyle name="40% - Akzent4 15_2012-2019" xfId="11838" xr:uid="{00000000-0005-0000-0000-000019150000}"/>
    <cellStyle name="40% - Akzent4 150" xfId="4486" xr:uid="{00000000-0005-0000-0000-00001A150000}"/>
    <cellStyle name="40% - Akzent4 150 2" xfId="4487" xr:uid="{00000000-0005-0000-0000-00001B150000}"/>
    <cellStyle name="40% - Akzent4 150 2 2" xfId="13905" xr:uid="{00000000-0005-0000-0000-00001C150000}"/>
    <cellStyle name="40% - Akzent4 150 2_est. MEAT" xfId="21306" xr:uid="{00000000-0005-0000-0000-00001D150000}"/>
    <cellStyle name="40% - Akzent4 150 3" xfId="13904" xr:uid="{00000000-0005-0000-0000-00001E150000}"/>
    <cellStyle name="40% - Akzent4 150_2012-2019" xfId="11839" xr:uid="{00000000-0005-0000-0000-00001F150000}"/>
    <cellStyle name="40% - Akzent4 151" xfId="4488" xr:uid="{00000000-0005-0000-0000-000020150000}"/>
    <cellStyle name="40% - Akzent4 151 2" xfId="4489" xr:uid="{00000000-0005-0000-0000-000021150000}"/>
    <cellStyle name="40% - Akzent4 151 2 2" xfId="13907" xr:uid="{00000000-0005-0000-0000-000022150000}"/>
    <cellStyle name="40% - Akzent4 151 2_est. MEAT" xfId="21307" xr:uid="{00000000-0005-0000-0000-000023150000}"/>
    <cellStyle name="40% - Akzent4 151 3" xfId="13906" xr:uid="{00000000-0005-0000-0000-000024150000}"/>
    <cellStyle name="40% - Akzent4 151_2012-2019" xfId="11840" xr:uid="{00000000-0005-0000-0000-000025150000}"/>
    <cellStyle name="40% - Akzent4 16" xfId="4490" xr:uid="{00000000-0005-0000-0000-000026150000}"/>
    <cellStyle name="40% - Akzent4 16 2" xfId="4491" xr:uid="{00000000-0005-0000-0000-000027150000}"/>
    <cellStyle name="40% - Akzent4 16 2 2" xfId="13909" xr:uid="{00000000-0005-0000-0000-000028150000}"/>
    <cellStyle name="40% - Akzent4 16 2_est. MEAT" xfId="21308" xr:uid="{00000000-0005-0000-0000-000029150000}"/>
    <cellStyle name="40% - Akzent4 16 3" xfId="13908" xr:uid="{00000000-0005-0000-0000-00002A150000}"/>
    <cellStyle name="40% - Akzent4 16_2012-2019" xfId="11841" xr:uid="{00000000-0005-0000-0000-00002B150000}"/>
    <cellStyle name="40% - Akzent4 17" xfId="4492" xr:uid="{00000000-0005-0000-0000-00002C150000}"/>
    <cellStyle name="40% - Akzent4 17 2" xfId="4493" xr:uid="{00000000-0005-0000-0000-00002D150000}"/>
    <cellStyle name="40% - Akzent4 17 2 2" xfId="13911" xr:uid="{00000000-0005-0000-0000-00002E150000}"/>
    <cellStyle name="40% - Akzent4 17 2_est. MEAT" xfId="21309" xr:uid="{00000000-0005-0000-0000-00002F150000}"/>
    <cellStyle name="40% - Akzent4 17 3" xfId="13910" xr:uid="{00000000-0005-0000-0000-000030150000}"/>
    <cellStyle name="40% - Akzent4 17_2012-2019" xfId="11842" xr:uid="{00000000-0005-0000-0000-000031150000}"/>
    <cellStyle name="40% - Akzent4 18" xfId="4494" xr:uid="{00000000-0005-0000-0000-000032150000}"/>
    <cellStyle name="40% - Akzent4 18 2" xfId="4495" xr:uid="{00000000-0005-0000-0000-000033150000}"/>
    <cellStyle name="40% - Akzent4 18 2 2" xfId="13913" xr:uid="{00000000-0005-0000-0000-000034150000}"/>
    <cellStyle name="40% - Akzent4 18 2_est. MEAT" xfId="21310" xr:uid="{00000000-0005-0000-0000-000035150000}"/>
    <cellStyle name="40% - Akzent4 18 3" xfId="13912" xr:uid="{00000000-0005-0000-0000-000036150000}"/>
    <cellStyle name="40% - Akzent4 18_2012-2019" xfId="11843" xr:uid="{00000000-0005-0000-0000-000037150000}"/>
    <cellStyle name="40% - Akzent4 19" xfId="4496" xr:uid="{00000000-0005-0000-0000-000038150000}"/>
    <cellStyle name="40% - Akzent4 19 2" xfId="4497" xr:uid="{00000000-0005-0000-0000-000039150000}"/>
    <cellStyle name="40% - Akzent4 19 2 2" xfId="13915" xr:uid="{00000000-0005-0000-0000-00003A150000}"/>
    <cellStyle name="40% - Akzent4 19 2_est. MEAT" xfId="21311" xr:uid="{00000000-0005-0000-0000-00003B150000}"/>
    <cellStyle name="40% - Akzent4 19 3" xfId="13914" xr:uid="{00000000-0005-0000-0000-00003C150000}"/>
    <cellStyle name="40% - Akzent4 19_2012-2019" xfId="11844" xr:uid="{00000000-0005-0000-0000-00003D150000}"/>
    <cellStyle name="40% - Akzent4 2" xfId="4498" xr:uid="{00000000-0005-0000-0000-00003E150000}"/>
    <cellStyle name="40% - Akzent4 2 2" xfId="4499" xr:uid="{00000000-0005-0000-0000-00003F150000}"/>
    <cellStyle name="40% - Akzent4 2 2 2" xfId="13917" xr:uid="{00000000-0005-0000-0000-000040150000}"/>
    <cellStyle name="40% - Akzent4 2 2_est. MEAT" xfId="21312" xr:uid="{00000000-0005-0000-0000-000041150000}"/>
    <cellStyle name="40% - Akzent4 2 3" xfId="4500" xr:uid="{00000000-0005-0000-0000-000042150000}"/>
    <cellStyle name="40% - Akzent4 2 3 2" xfId="13918" xr:uid="{00000000-0005-0000-0000-000043150000}"/>
    <cellStyle name="40% - Akzent4 2 3_est. MEAT" xfId="21313" xr:uid="{00000000-0005-0000-0000-000044150000}"/>
    <cellStyle name="40% - Akzent4 2 4" xfId="4501" xr:uid="{00000000-0005-0000-0000-000045150000}"/>
    <cellStyle name="40% - Akzent4 2 4 2" xfId="4502" xr:uid="{00000000-0005-0000-0000-000046150000}"/>
    <cellStyle name="40% - Akzent4 2 4 2 2" xfId="13920" xr:uid="{00000000-0005-0000-0000-000047150000}"/>
    <cellStyle name="40% - Akzent4 2 4 2_est. MEAT" xfId="21314" xr:uid="{00000000-0005-0000-0000-000048150000}"/>
    <cellStyle name="40% - Akzent4 2 4 3" xfId="13919" xr:uid="{00000000-0005-0000-0000-000049150000}"/>
    <cellStyle name="40% - Akzent4 2 4_2012-2019" xfId="11846" xr:uid="{00000000-0005-0000-0000-00004A150000}"/>
    <cellStyle name="40% - Akzent4 2 5" xfId="4503" xr:uid="{00000000-0005-0000-0000-00004B150000}"/>
    <cellStyle name="40% - Akzent4 2 5 2" xfId="13921" xr:uid="{00000000-0005-0000-0000-00004C150000}"/>
    <cellStyle name="40% - Akzent4 2 5_est. MEAT" xfId="21315" xr:uid="{00000000-0005-0000-0000-00004D150000}"/>
    <cellStyle name="40% - Akzent4 2 6" xfId="13916" xr:uid="{00000000-0005-0000-0000-00004E150000}"/>
    <cellStyle name="40% - Akzent4 2_2012-2019" xfId="11845" xr:uid="{00000000-0005-0000-0000-00004F150000}"/>
    <cellStyle name="40% - Akzent4 20" xfId="4504" xr:uid="{00000000-0005-0000-0000-000050150000}"/>
    <cellStyle name="40% - Akzent4 20 2" xfId="4505" xr:uid="{00000000-0005-0000-0000-000051150000}"/>
    <cellStyle name="40% - Akzent4 20 2 2" xfId="13923" xr:uid="{00000000-0005-0000-0000-000052150000}"/>
    <cellStyle name="40% - Akzent4 20 2_est. MEAT" xfId="21316" xr:uid="{00000000-0005-0000-0000-000053150000}"/>
    <cellStyle name="40% - Akzent4 20 3" xfId="13922" xr:uid="{00000000-0005-0000-0000-000054150000}"/>
    <cellStyle name="40% - Akzent4 20_2012-2019" xfId="11847" xr:uid="{00000000-0005-0000-0000-000055150000}"/>
    <cellStyle name="40% - Akzent4 21" xfId="4506" xr:uid="{00000000-0005-0000-0000-000056150000}"/>
    <cellStyle name="40% - Akzent4 21 2" xfId="4507" xr:uid="{00000000-0005-0000-0000-000057150000}"/>
    <cellStyle name="40% - Akzent4 21 2 2" xfId="13925" xr:uid="{00000000-0005-0000-0000-000058150000}"/>
    <cellStyle name="40% - Akzent4 21 2_est. MEAT" xfId="21317" xr:uid="{00000000-0005-0000-0000-000059150000}"/>
    <cellStyle name="40% - Akzent4 21 3" xfId="13924" xr:uid="{00000000-0005-0000-0000-00005A150000}"/>
    <cellStyle name="40% - Akzent4 21_2012-2019" xfId="11848" xr:uid="{00000000-0005-0000-0000-00005B150000}"/>
    <cellStyle name="40% - Akzent4 22" xfId="4508" xr:uid="{00000000-0005-0000-0000-00005C150000}"/>
    <cellStyle name="40% - Akzent4 22 2" xfId="4509" xr:uid="{00000000-0005-0000-0000-00005D150000}"/>
    <cellStyle name="40% - Akzent4 22 2 2" xfId="13927" xr:uid="{00000000-0005-0000-0000-00005E150000}"/>
    <cellStyle name="40% - Akzent4 22 2_est. MEAT" xfId="21318" xr:uid="{00000000-0005-0000-0000-00005F150000}"/>
    <cellStyle name="40% - Akzent4 22 3" xfId="13926" xr:uid="{00000000-0005-0000-0000-000060150000}"/>
    <cellStyle name="40% - Akzent4 22_2012-2019" xfId="11849" xr:uid="{00000000-0005-0000-0000-000061150000}"/>
    <cellStyle name="40% - Akzent4 23" xfId="4510" xr:uid="{00000000-0005-0000-0000-000062150000}"/>
    <cellStyle name="40% - Akzent4 23 2" xfId="4511" xr:uid="{00000000-0005-0000-0000-000063150000}"/>
    <cellStyle name="40% - Akzent4 23 2 2" xfId="13929" xr:uid="{00000000-0005-0000-0000-000064150000}"/>
    <cellStyle name="40% - Akzent4 23 2_est. MEAT" xfId="21319" xr:uid="{00000000-0005-0000-0000-000065150000}"/>
    <cellStyle name="40% - Akzent4 23 3" xfId="13928" xr:uid="{00000000-0005-0000-0000-000066150000}"/>
    <cellStyle name="40% - Akzent4 23_2012-2019" xfId="11850" xr:uid="{00000000-0005-0000-0000-000067150000}"/>
    <cellStyle name="40% - Akzent4 24" xfId="4512" xr:uid="{00000000-0005-0000-0000-000068150000}"/>
    <cellStyle name="40% - Akzent4 24 2" xfId="4513" xr:uid="{00000000-0005-0000-0000-000069150000}"/>
    <cellStyle name="40% - Akzent4 24 2 2" xfId="13931" xr:uid="{00000000-0005-0000-0000-00006A150000}"/>
    <cellStyle name="40% - Akzent4 24 2_est. MEAT" xfId="21320" xr:uid="{00000000-0005-0000-0000-00006B150000}"/>
    <cellStyle name="40% - Akzent4 24 3" xfId="13930" xr:uid="{00000000-0005-0000-0000-00006C150000}"/>
    <cellStyle name="40% - Akzent4 24_2012-2019" xfId="11851" xr:uid="{00000000-0005-0000-0000-00006D150000}"/>
    <cellStyle name="40% - Akzent4 25" xfId="4514" xr:uid="{00000000-0005-0000-0000-00006E150000}"/>
    <cellStyle name="40% - Akzent4 25 2" xfId="4515" xr:uid="{00000000-0005-0000-0000-00006F150000}"/>
    <cellStyle name="40% - Akzent4 25 2 2" xfId="13933" xr:uid="{00000000-0005-0000-0000-000070150000}"/>
    <cellStyle name="40% - Akzent4 25 2_est. MEAT" xfId="21321" xr:uid="{00000000-0005-0000-0000-000071150000}"/>
    <cellStyle name="40% - Akzent4 25 3" xfId="13932" xr:uid="{00000000-0005-0000-0000-000072150000}"/>
    <cellStyle name="40% - Akzent4 25_2012-2019" xfId="11852" xr:uid="{00000000-0005-0000-0000-000073150000}"/>
    <cellStyle name="40% - Akzent4 26" xfId="4516" xr:uid="{00000000-0005-0000-0000-000074150000}"/>
    <cellStyle name="40% - Akzent4 26 2" xfId="4517" xr:uid="{00000000-0005-0000-0000-000075150000}"/>
    <cellStyle name="40% - Akzent4 26 2 2" xfId="13935" xr:uid="{00000000-0005-0000-0000-000076150000}"/>
    <cellStyle name="40% - Akzent4 26 2_est. MEAT" xfId="21322" xr:uid="{00000000-0005-0000-0000-000077150000}"/>
    <cellStyle name="40% - Akzent4 26 3" xfId="13934" xr:uid="{00000000-0005-0000-0000-000078150000}"/>
    <cellStyle name="40% - Akzent4 26_2012-2019" xfId="11853" xr:uid="{00000000-0005-0000-0000-000079150000}"/>
    <cellStyle name="40% - Akzent4 27" xfId="4518" xr:uid="{00000000-0005-0000-0000-00007A150000}"/>
    <cellStyle name="40% - Akzent4 27 2" xfId="4519" xr:uid="{00000000-0005-0000-0000-00007B150000}"/>
    <cellStyle name="40% - Akzent4 27 2 2" xfId="13937" xr:uid="{00000000-0005-0000-0000-00007C150000}"/>
    <cellStyle name="40% - Akzent4 27 2_est. MEAT" xfId="21323" xr:uid="{00000000-0005-0000-0000-00007D150000}"/>
    <cellStyle name="40% - Akzent4 27 3" xfId="13936" xr:uid="{00000000-0005-0000-0000-00007E150000}"/>
    <cellStyle name="40% - Akzent4 27_2012-2019" xfId="11854" xr:uid="{00000000-0005-0000-0000-00007F150000}"/>
    <cellStyle name="40% - Akzent4 28" xfId="4520" xr:uid="{00000000-0005-0000-0000-000080150000}"/>
    <cellStyle name="40% - Akzent4 28 2" xfId="4521" xr:uid="{00000000-0005-0000-0000-000081150000}"/>
    <cellStyle name="40% - Akzent4 28 2 2" xfId="13939" xr:uid="{00000000-0005-0000-0000-000082150000}"/>
    <cellStyle name="40% - Akzent4 28 2_est. MEAT" xfId="21324" xr:uid="{00000000-0005-0000-0000-000083150000}"/>
    <cellStyle name="40% - Akzent4 28 3" xfId="13938" xr:uid="{00000000-0005-0000-0000-000084150000}"/>
    <cellStyle name="40% - Akzent4 28_2012-2019" xfId="11855" xr:uid="{00000000-0005-0000-0000-000085150000}"/>
    <cellStyle name="40% - Akzent4 29" xfId="4522" xr:uid="{00000000-0005-0000-0000-000086150000}"/>
    <cellStyle name="40% - Akzent4 29 2" xfId="4523" xr:uid="{00000000-0005-0000-0000-000087150000}"/>
    <cellStyle name="40% - Akzent4 29 2 2" xfId="13941" xr:uid="{00000000-0005-0000-0000-000088150000}"/>
    <cellStyle name="40% - Akzent4 29 2_est. MEAT" xfId="21325" xr:uid="{00000000-0005-0000-0000-000089150000}"/>
    <cellStyle name="40% - Akzent4 29 3" xfId="13940" xr:uid="{00000000-0005-0000-0000-00008A150000}"/>
    <cellStyle name="40% - Akzent4 29_2012-2019" xfId="11856" xr:uid="{00000000-0005-0000-0000-00008B150000}"/>
    <cellStyle name="40% - Akzent4 3" xfId="4524" xr:uid="{00000000-0005-0000-0000-00008C150000}"/>
    <cellStyle name="40% - Akzent4 3 2" xfId="4525" xr:uid="{00000000-0005-0000-0000-00008D150000}"/>
    <cellStyle name="40% - Akzent4 3 2 2" xfId="13943" xr:uid="{00000000-0005-0000-0000-00008E150000}"/>
    <cellStyle name="40% - Akzent4 3 2_est. MEAT" xfId="21326" xr:uid="{00000000-0005-0000-0000-00008F150000}"/>
    <cellStyle name="40% - Akzent4 3 3" xfId="4526" xr:uid="{00000000-0005-0000-0000-000090150000}"/>
    <cellStyle name="40% - Akzent4 3 3 2" xfId="13944" xr:uid="{00000000-0005-0000-0000-000091150000}"/>
    <cellStyle name="40% - Akzent4 3 3_est. MEAT" xfId="21327" xr:uid="{00000000-0005-0000-0000-000092150000}"/>
    <cellStyle name="40% - Akzent4 3 4" xfId="4527" xr:uid="{00000000-0005-0000-0000-000093150000}"/>
    <cellStyle name="40% - Akzent4 3 4 2" xfId="4528" xr:uid="{00000000-0005-0000-0000-000094150000}"/>
    <cellStyle name="40% - Akzent4 3 4 2 2" xfId="13946" xr:uid="{00000000-0005-0000-0000-000095150000}"/>
    <cellStyle name="40% - Akzent4 3 4 2_est. MEAT" xfId="21328" xr:uid="{00000000-0005-0000-0000-000096150000}"/>
    <cellStyle name="40% - Akzent4 3 4 3" xfId="13945" xr:uid="{00000000-0005-0000-0000-000097150000}"/>
    <cellStyle name="40% - Akzent4 3 4_2012-2019" xfId="11858" xr:uid="{00000000-0005-0000-0000-000098150000}"/>
    <cellStyle name="40% - Akzent4 3 5" xfId="4529" xr:uid="{00000000-0005-0000-0000-000099150000}"/>
    <cellStyle name="40% - Akzent4 3 5 2" xfId="13947" xr:uid="{00000000-0005-0000-0000-00009A150000}"/>
    <cellStyle name="40% - Akzent4 3 5_est. MEAT" xfId="21329" xr:uid="{00000000-0005-0000-0000-00009B150000}"/>
    <cellStyle name="40% - Akzent4 3 6" xfId="13942" xr:uid="{00000000-0005-0000-0000-00009C150000}"/>
    <cellStyle name="40% - Akzent4 3_2012-2019" xfId="11857" xr:uid="{00000000-0005-0000-0000-00009D150000}"/>
    <cellStyle name="40% - Akzent4 30" xfId="4530" xr:uid="{00000000-0005-0000-0000-00009E150000}"/>
    <cellStyle name="40% - Akzent4 30 2" xfId="4531" xr:uid="{00000000-0005-0000-0000-00009F150000}"/>
    <cellStyle name="40% - Akzent4 30 2 2" xfId="13949" xr:uid="{00000000-0005-0000-0000-0000A0150000}"/>
    <cellStyle name="40% - Akzent4 30 2_est. MEAT" xfId="21330" xr:uid="{00000000-0005-0000-0000-0000A1150000}"/>
    <cellStyle name="40% - Akzent4 30 3" xfId="13948" xr:uid="{00000000-0005-0000-0000-0000A2150000}"/>
    <cellStyle name="40% - Akzent4 30_2012-2019" xfId="11859" xr:uid="{00000000-0005-0000-0000-0000A3150000}"/>
    <cellStyle name="40% - Akzent4 31" xfId="4532" xr:uid="{00000000-0005-0000-0000-0000A4150000}"/>
    <cellStyle name="40% - Akzent4 31 2" xfId="4533" xr:uid="{00000000-0005-0000-0000-0000A5150000}"/>
    <cellStyle name="40% - Akzent4 31 2 2" xfId="13951" xr:uid="{00000000-0005-0000-0000-0000A6150000}"/>
    <cellStyle name="40% - Akzent4 31 2_est. MEAT" xfId="21331" xr:uid="{00000000-0005-0000-0000-0000A7150000}"/>
    <cellStyle name="40% - Akzent4 31 3" xfId="13950" xr:uid="{00000000-0005-0000-0000-0000A8150000}"/>
    <cellStyle name="40% - Akzent4 31_2012-2019" xfId="11860" xr:uid="{00000000-0005-0000-0000-0000A9150000}"/>
    <cellStyle name="40% - Akzent4 32" xfId="4534" xr:uid="{00000000-0005-0000-0000-0000AA150000}"/>
    <cellStyle name="40% - Akzent4 32 2" xfId="4535" xr:uid="{00000000-0005-0000-0000-0000AB150000}"/>
    <cellStyle name="40% - Akzent4 32 2 2" xfId="13953" xr:uid="{00000000-0005-0000-0000-0000AC150000}"/>
    <cellStyle name="40% - Akzent4 32 2_est. MEAT" xfId="21332" xr:uid="{00000000-0005-0000-0000-0000AD150000}"/>
    <cellStyle name="40% - Akzent4 32 3" xfId="13952" xr:uid="{00000000-0005-0000-0000-0000AE150000}"/>
    <cellStyle name="40% - Akzent4 32_2012-2019" xfId="11861" xr:uid="{00000000-0005-0000-0000-0000AF150000}"/>
    <cellStyle name="40% - Akzent4 33" xfId="4536" xr:uid="{00000000-0005-0000-0000-0000B0150000}"/>
    <cellStyle name="40% - Akzent4 33 2" xfId="4537" xr:uid="{00000000-0005-0000-0000-0000B1150000}"/>
    <cellStyle name="40% - Akzent4 33 2 2" xfId="13955" xr:uid="{00000000-0005-0000-0000-0000B2150000}"/>
    <cellStyle name="40% - Akzent4 33 2_est. MEAT" xfId="21333" xr:uid="{00000000-0005-0000-0000-0000B3150000}"/>
    <cellStyle name="40% - Akzent4 33 3" xfId="13954" xr:uid="{00000000-0005-0000-0000-0000B4150000}"/>
    <cellStyle name="40% - Akzent4 33_2012-2019" xfId="11862" xr:uid="{00000000-0005-0000-0000-0000B5150000}"/>
    <cellStyle name="40% - Akzent4 34" xfId="4538" xr:uid="{00000000-0005-0000-0000-0000B6150000}"/>
    <cellStyle name="40% - Akzent4 34 2" xfId="4539" xr:uid="{00000000-0005-0000-0000-0000B7150000}"/>
    <cellStyle name="40% - Akzent4 34 2 2" xfId="13957" xr:uid="{00000000-0005-0000-0000-0000B8150000}"/>
    <cellStyle name="40% - Akzent4 34 2_est. MEAT" xfId="21334" xr:uid="{00000000-0005-0000-0000-0000B9150000}"/>
    <cellStyle name="40% - Akzent4 34 3" xfId="13956" xr:uid="{00000000-0005-0000-0000-0000BA150000}"/>
    <cellStyle name="40% - Akzent4 34_2012-2019" xfId="11863" xr:uid="{00000000-0005-0000-0000-0000BB150000}"/>
    <cellStyle name="40% - Akzent4 35" xfId="4540" xr:uid="{00000000-0005-0000-0000-0000BC150000}"/>
    <cellStyle name="40% - Akzent4 35 2" xfId="4541" xr:uid="{00000000-0005-0000-0000-0000BD150000}"/>
    <cellStyle name="40% - Akzent4 35 2 2" xfId="13959" xr:uid="{00000000-0005-0000-0000-0000BE150000}"/>
    <cellStyle name="40% - Akzent4 35 2_est. MEAT" xfId="21335" xr:uid="{00000000-0005-0000-0000-0000BF150000}"/>
    <cellStyle name="40% - Akzent4 35 3" xfId="13958" xr:uid="{00000000-0005-0000-0000-0000C0150000}"/>
    <cellStyle name="40% - Akzent4 35_2012-2019" xfId="11864" xr:uid="{00000000-0005-0000-0000-0000C1150000}"/>
    <cellStyle name="40% - Akzent4 36" xfId="4542" xr:uid="{00000000-0005-0000-0000-0000C2150000}"/>
    <cellStyle name="40% - Akzent4 36 2" xfId="4543" xr:uid="{00000000-0005-0000-0000-0000C3150000}"/>
    <cellStyle name="40% - Akzent4 36 2 2" xfId="13961" xr:uid="{00000000-0005-0000-0000-0000C4150000}"/>
    <cellStyle name="40% - Akzent4 36 2_est. MEAT" xfId="21336" xr:uid="{00000000-0005-0000-0000-0000C5150000}"/>
    <cellStyle name="40% - Akzent4 36 3" xfId="13960" xr:uid="{00000000-0005-0000-0000-0000C6150000}"/>
    <cellStyle name="40% - Akzent4 36_2012-2019" xfId="11865" xr:uid="{00000000-0005-0000-0000-0000C7150000}"/>
    <cellStyle name="40% - Akzent4 37" xfId="4544" xr:uid="{00000000-0005-0000-0000-0000C8150000}"/>
    <cellStyle name="40% - Akzent4 37 2" xfId="4545" xr:uid="{00000000-0005-0000-0000-0000C9150000}"/>
    <cellStyle name="40% - Akzent4 37 2 2" xfId="13963" xr:uid="{00000000-0005-0000-0000-0000CA150000}"/>
    <cellStyle name="40% - Akzent4 37 2_est. MEAT" xfId="21337" xr:uid="{00000000-0005-0000-0000-0000CB150000}"/>
    <cellStyle name="40% - Akzent4 37 3" xfId="13962" xr:uid="{00000000-0005-0000-0000-0000CC150000}"/>
    <cellStyle name="40% - Akzent4 37_2012-2019" xfId="11866" xr:uid="{00000000-0005-0000-0000-0000CD150000}"/>
    <cellStyle name="40% - Akzent4 38" xfId="4546" xr:uid="{00000000-0005-0000-0000-0000CE150000}"/>
    <cellStyle name="40% - Akzent4 38 2" xfId="4547" xr:uid="{00000000-0005-0000-0000-0000CF150000}"/>
    <cellStyle name="40% - Akzent4 38 2 2" xfId="13965" xr:uid="{00000000-0005-0000-0000-0000D0150000}"/>
    <cellStyle name="40% - Akzent4 38 2_est. MEAT" xfId="21338" xr:uid="{00000000-0005-0000-0000-0000D1150000}"/>
    <cellStyle name="40% - Akzent4 38 3" xfId="13964" xr:uid="{00000000-0005-0000-0000-0000D2150000}"/>
    <cellStyle name="40% - Akzent4 38_2012-2019" xfId="11867" xr:uid="{00000000-0005-0000-0000-0000D3150000}"/>
    <cellStyle name="40% - Akzent4 39" xfId="4548" xr:uid="{00000000-0005-0000-0000-0000D4150000}"/>
    <cellStyle name="40% - Akzent4 39 2" xfId="4549" xr:uid="{00000000-0005-0000-0000-0000D5150000}"/>
    <cellStyle name="40% - Akzent4 39 2 2" xfId="13967" xr:uid="{00000000-0005-0000-0000-0000D6150000}"/>
    <cellStyle name="40% - Akzent4 39 2_est. MEAT" xfId="21339" xr:uid="{00000000-0005-0000-0000-0000D7150000}"/>
    <cellStyle name="40% - Akzent4 39 3" xfId="13966" xr:uid="{00000000-0005-0000-0000-0000D8150000}"/>
    <cellStyle name="40% - Akzent4 39_2012-2019" xfId="11868" xr:uid="{00000000-0005-0000-0000-0000D9150000}"/>
    <cellStyle name="40% - Akzent4 4" xfId="4550" xr:uid="{00000000-0005-0000-0000-0000DA150000}"/>
    <cellStyle name="40% - Akzent4 4 2" xfId="4551" xr:uid="{00000000-0005-0000-0000-0000DB150000}"/>
    <cellStyle name="40% - Akzent4 4 2 2" xfId="13969" xr:uid="{00000000-0005-0000-0000-0000DC150000}"/>
    <cellStyle name="40% - Akzent4 4 2_est. MEAT" xfId="21340" xr:uid="{00000000-0005-0000-0000-0000DD150000}"/>
    <cellStyle name="40% - Akzent4 4 3" xfId="4552" xr:uid="{00000000-0005-0000-0000-0000DE150000}"/>
    <cellStyle name="40% - Akzent4 4 3 2" xfId="13970" xr:uid="{00000000-0005-0000-0000-0000DF150000}"/>
    <cellStyle name="40% - Akzent4 4 3_est. MEAT" xfId="21341" xr:uid="{00000000-0005-0000-0000-0000E0150000}"/>
    <cellStyle name="40% - Akzent4 4 4" xfId="4553" xr:uid="{00000000-0005-0000-0000-0000E1150000}"/>
    <cellStyle name="40% - Akzent4 4 4 2" xfId="4554" xr:uid="{00000000-0005-0000-0000-0000E2150000}"/>
    <cellStyle name="40% - Akzent4 4 4 2 2" xfId="13972" xr:uid="{00000000-0005-0000-0000-0000E3150000}"/>
    <cellStyle name="40% - Akzent4 4 4 2_est. MEAT" xfId="21342" xr:uid="{00000000-0005-0000-0000-0000E4150000}"/>
    <cellStyle name="40% - Akzent4 4 4 3" xfId="13971" xr:uid="{00000000-0005-0000-0000-0000E5150000}"/>
    <cellStyle name="40% - Akzent4 4 4_2012-2019" xfId="11870" xr:uid="{00000000-0005-0000-0000-0000E6150000}"/>
    <cellStyle name="40% - Akzent4 4 5" xfId="4555" xr:uid="{00000000-0005-0000-0000-0000E7150000}"/>
    <cellStyle name="40% - Akzent4 4 5 2" xfId="13973" xr:uid="{00000000-0005-0000-0000-0000E8150000}"/>
    <cellStyle name="40% - Akzent4 4 5_est. MEAT" xfId="21343" xr:uid="{00000000-0005-0000-0000-0000E9150000}"/>
    <cellStyle name="40% - Akzent4 4 6" xfId="13968" xr:uid="{00000000-0005-0000-0000-0000EA150000}"/>
    <cellStyle name="40% - Akzent4 4_2012-2019" xfId="11869" xr:uid="{00000000-0005-0000-0000-0000EB150000}"/>
    <cellStyle name="40% - Akzent4 40" xfId="4556" xr:uid="{00000000-0005-0000-0000-0000EC150000}"/>
    <cellStyle name="40% - Akzent4 40 2" xfId="4557" xr:uid="{00000000-0005-0000-0000-0000ED150000}"/>
    <cellStyle name="40% - Akzent4 40 2 2" xfId="13975" xr:uid="{00000000-0005-0000-0000-0000EE150000}"/>
    <cellStyle name="40% - Akzent4 40 2_est. MEAT" xfId="21344" xr:uid="{00000000-0005-0000-0000-0000EF150000}"/>
    <cellStyle name="40% - Akzent4 40 3" xfId="13974" xr:uid="{00000000-0005-0000-0000-0000F0150000}"/>
    <cellStyle name="40% - Akzent4 40_2012-2019" xfId="11871" xr:uid="{00000000-0005-0000-0000-0000F1150000}"/>
    <cellStyle name="40% - Akzent4 41" xfId="4558" xr:uid="{00000000-0005-0000-0000-0000F2150000}"/>
    <cellStyle name="40% - Akzent4 41 2" xfId="4559" xr:uid="{00000000-0005-0000-0000-0000F3150000}"/>
    <cellStyle name="40% - Akzent4 41 2 2" xfId="13977" xr:uid="{00000000-0005-0000-0000-0000F4150000}"/>
    <cellStyle name="40% - Akzent4 41 2_est. MEAT" xfId="21345" xr:uid="{00000000-0005-0000-0000-0000F5150000}"/>
    <cellStyle name="40% - Akzent4 41 3" xfId="13976" xr:uid="{00000000-0005-0000-0000-0000F6150000}"/>
    <cellStyle name="40% - Akzent4 41_2012-2019" xfId="11872" xr:uid="{00000000-0005-0000-0000-0000F7150000}"/>
    <cellStyle name="40% - Akzent4 42" xfId="4560" xr:uid="{00000000-0005-0000-0000-0000F8150000}"/>
    <cellStyle name="40% - Akzent4 42 2" xfId="4561" xr:uid="{00000000-0005-0000-0000-0000F9150000}"/>
    <cellStyle name="40% - Akzent4 42 2 2" xfId="13979" xr:uid="{00000000-0005-0000-0000-0000FA150000}"/>
    <cellStyle name="40% - Akzent4 42 2_est. MEAT" xfId="21346" xr:uid="{00000000-0005-0000-0000-0000FB150000}"/>
    <cellStyle name="40% - Akzent4 42 3" xfId="13978" xr:uid="{00000000-0005-0000-0000-0000FC150000}"/>
    <cellStyle name="40% - Akzent4 42_2012-2019" xfId="11873" xr:uid="{00000000-0005-0000-0000-0000FD150000}"/>
    <cellStyle name="40% - Akzent4 43" xfId="4562" xr:uid="{00000000-0005-0000-0000-0000FE150000}"/>
    <cellStyle name="40% - Akzent4 43 2" xfId="4563" xr:uid="{00000000-0005-0000-0000-0000FF150000}"/>
    <cellStyle name="40% - Akzent4 43 2 2" xfId="13981" xr:uid="{00000000-0005-0000-0000-000000160000}"/>
    <cellStyle name="40% - Akzent4 43 2_est. MEAT" xfId="21347" xr:uid="{00000000-0005-0000-0000-000001160000}"/>
    <cellStyle name="40% - Akzent4 43 3" xfId="13980" xr:uid="{00000000-0005-0000-0000-000002160000}"/>
    <cellStyle name="40% - Akzent4 43_2012-2019" xfId="11874" xr:uid="{00000000-0005-0000-0000-000003160000}"/>
    <cellStyle name="40% - Akzent4 44" xfId="4564" xr:uid="{00000000-0005-0000-0000-000004160000}"/>
    <cellStyle name="40% - Akzent4 44 2" xfId="4565" xr:uid="{00000000-0005-0000-0000-000005160000}"/>
    <cellStyle name="40% - Akzent4 44 2 2" xfId="13983" xr:uid="{00000000-0005-0000-0000-000006160000}"/>
    <cellStyle name="40% - Akzent4 44 2_est. MEAT" xfId="21348" xr:uid="{00000000-0005-0000-0000-000007160000}"/>
    <cellStyle name="40% - Akzent4 44 3" xfId="13982" xr:uid="{00000000-0005-0000-0000-000008160000}"/>
    <cellStyle name="40% - Akzent4 44_2012-2019" xfId="11875" xr:uid="{00000000-0005-0000-0000-000009160000}"/>
    <cellStyle name="40% - Akzent4 45" xfId="4566" xr:uid="{00000000-0005-0000-0000-00000A160000}"/>
    <cellStyle name="40% - Akzent4 45 2" xfId="4567" xr:uid="{00000000-0005-0000-0000-00000B160000}"/>
    <cellStyle name="40% - Akzent4 45 2 2" xfId="13985" xr:uid="{00000000-0005-0000-0000-00000C160000}"/>
    <cellStyle name="40% - Akzent4 45 2_est. MEAT" xfId="21349" xr:uid="{00000000-0005-0000-0000-00000D160000}"/>
    <cellStyle name="40% - Akzent4 45 3" xfId="13984" xr:uid="{00000000-0005-0000-0000-00000E160000}"/>
    <cellStyle name="40% - Akzent4 45_2012-2019" xfId="11876" xr:uid="{00000000-0005-0000-0000-00000F160000}"/>
    <cellStyle name="40% - Akzent4 46" xfId="4568" xr:uid="{00000000-0005-0000-0000-000010160000}"/>
    <cellStyle name="40% - Akzent4 46 2" xfId="4569" xr:uid="{00000000-0005-0000-0000-000011160000}"/>
    <cellStyle name="40% - Akzent4 46 2 2" xfId="13987" xr:uid="{00000000-0005-0000-0000-000012160000}"/>
    <cellStyle name="40% - Akzent4 46 2_est. MEAT" xfId="21350" xr:uid="{00000000-0005-0000-0000-000013160000}"/>
    <cellStyle name="40% - Akzent4 46 3" xfId="13986" xr:uid="{00000000-0005-0000-0000-000014160000}"/>
    <cellStyle name="40% - Akzent4 46_2012-2019" xfId="11877" xr:uid="{00000000-0005-0000-0000-000015160000}"/>
    <cellStyle name="40% - Akzent4 47" xfId="4570" xr:uid="{00000000-0005-0000-0000-000016160000}"/>
    <cellStyle name="40% - Akzent4 47 2" xfId="4571" xr:uid="{00000000-0005-0000-0000-000017160000}"/>
    <cellStyle name="40% - Akzent4 47 2 2" xfId="13989" xr:uid="{00000000-0005-0000-0000-000018160000}"/>
    <cellStyle name="40% - Akzent4 47 2_est. MEAT" xfId="21351" xr:uid="{00000000-0005-0000-0000-000019160000}"/>
    <cellStyle name="40% - Akzent4 47 3" xfId="13988" xr:uid="{00000000-0005-0000-0000-00001A160000}"/>
    <cellStyle name="40% - Akzent4 47_2012-2019" xfId="11878" xr:uid="{00000000-0005-0000-0000-00001B160000}"/>
    <cellStyle name="40% - Akzent4 48" xfId="4572" xr:uid="{00000000-0005-0000-0000-00001C160000}"/>
    <cellStyle name="40% - Akzent4 48 2" xfId="4573" xr:uid="{00000000-0005-0000-0000-00001D160000}"/>
    <cellStyle name="40% - Akzent4 48 2 2" xfId="13991" xr:uid="{00000000-0005-0000-0000-00001E160000}"/>
    <cellStyle name="40% - Akzent4 48 2_est. MEAT" xfId="21352" xr:uid="{00000000-0005-0000-0000-00001F160000}"/>
    <cellStyle name="40% - Akzent4 48 3" xfId="13990" xr:uid="{00000000-0005-0000-0000-000020160000}"/>
    <cellStyle name="40% - Akzent4 48_2012-2019" xfId="11879" xr:uid="{00000000-0005-0000-0000-000021160000}"/>
    <cellStyle name="40% - Akzent4 49" xfId="4574" xr:uid="{00000000-0005-0000-0000-000022160000}"/>
    <cellStyle name="40% - Akzent4 49 2" xfId="4575" xr:uid="{00000000-0005-0000-0000-000023160000}"/>
    <cellStyle name="40% - Akzent4 49 2 2" xfId="13993" xr:uid="{00000000-0005-0000-0000-000024160000}"/>
    <cellStyle name="40% - Akzent4 49 2_est. MEAT" xfId="21353" xr:uid="{00000000-0005-0000-0000-000025160000}"/>
    <cellStyle name="40% - Akzent4 49 3" xfId="13992" xr:uid="{00000000-0005-0000-0000-000026160000}"/>
    <cellStyle name="40% - Akzent4 49_2012-2019" xfId="11880" xr:uid="{00000000-0005-0000-0000-000027160000}"/>
    <cellStyle name="40% - Akzent4 5" xfId="4576" xr:uid="{00000000-0005-0000-0000-000028160000}"/>
    <cellStyle name="40% - Akzent4 5 2" xfId="4577" xr:uid="{00000000-0005-0000-0000-000029160000}"/>
    <cellStyle name="40% - Akzent4 5 2 2" xfId="13995" xr:uid="{00000000-0005-0000-0000-00002A160000}"/>
    <cellStyle name="40% - Akzent4 5 2_est. MEAT" xfId="21354" xr:uid="{00000000-0005-0000-0000-00002B160000}"/>
    <cellStyle name="40% - Akzent4 5 3" xfId="13994" xr:uid="{00000000-0005-0000-0000-00002C160000}"/>
    <cellStyle name="40% - Akzent4 5_2012-2019" xfId="11881" xr:uid="{00000000-0005-0000-0000-00002D160000}"/>
    <cellStyle name="40% - Akzent4 50" xfId="4578" xr:uid="{00000000-0005-0000-0000-00002E160000}"/>
    <cellStyle name="40% - Akzent4 50 2" xfId="4579" xr:uid="{00000000-0005-0000-0000-00002F160000}"/>
    <cellStyle name="40% - Akzent4 50 2 2" xfId="13997" xr:uid="{00000000-0005-0000-0000-000030160000}"/>
    <cellStyle name="40% - Akzent4 50 2_est. MEAT" xfId="21355" xr:uid="{00000000-0005-0000-0000-000031160000}"/>
    <cellStyle name="40% - Akzent4 50 3" xfId="13996" xr:uid="{00000000-0005-0000-0000-000032160000}"/>
    <cellStyle name="40% - Akzent4 50_2012-2019" xfId="11882" xr:uid="{00000000-0005-0000-0000-000033160000}"/>
    <cellStyle name="40% - Akzent4 51" xfId="4580" xr:uid="{00000000-0005-0000-0000-000034160000}"/>
    <cellStyle name="40% - Akzent4 51 2" xfId="4581" xr:uid="{00000000-0005-0000-0000-000035160000}"/>
    <cellStyle name="40% - Akzent4 51 2 2" xfId="13999" xr:uid="{00000000-0005-0000-0000-000036160000}"/>
    <cellStyle name="40% - Akzent4 51 2_est. MEAT" xfId="21356" xr:uid="{00000000-0005-0000-0000-000037160000}"/>
    <cellStyle name="40% - Akzent4 51 3" xfId="13998" xr:uid="{00000000-0005-0000-0000-000038160000}"/>
    <cellStyle name="40% - Akzent4 51_2012-2019" xfId="11883" xr:uid="{00000000-0005-0000-0000-000039160000}"/>
    <cellStyle name="40% - Akzent4 52" xfId="4582" xr:uid="{00000000-0005-0000-0000-00003A160000}"/>
    <cellStyle name="40% - Akzent4 52 2" xfId="4583" xr:uid="{00000000-0005-0000-0000-00003B160000}"/>
    <cellStyle name="40% - Akzent4 52 2 2" xfId="14001" xr:uid="{00000000-0005-0000-0000-00003C160000}"/>
    <cellStyle name="40% - Akzent4 52 2_est. MEAT" xfId="21357" xr:uid="{00000000-0005-0000-0000-00003D160000}"/>
    <cellStyle name="40% - Akzent4 52 3" xfId="14000" xr:uid="{00000000-0005-0000-0000-00003E160000}"/>
    <cellStyle name="40% - Akzent4 52_2012-2019" xfId="11884" xr:uid="{00000000-0005-0000-0000-00003F160000}"/>
    <cellStyle name="40% - Akzent4 53" xfId="4584" xr:uid="{00000000-0005-0000-0000-000040160000}"/>
    <cellStyle name="40% - Akzent4 53 2" xfId="4585" xr:uid="{00000000-0005-0000-0000-000041160000}"/>
    <cellStyle name="40% - Akzent4 53 2 2" xfId="14003" xr:uid="{00000000-0005-0000-0000-000042160000}"/>
    <cellStyle name="40% - Akzent4 53 2_est. MEAT" xfId="21358" xr:uid="{00000000-0005-0000-0000-000043160000}"/>
    <cellStyle name="40% - Akzent4 53 3" xfId="14002" xr:uid="{00000000-0005-0000-0000-000044160000}"/>
    <cellStyle name="40% - Akzent4 53_2012-2019" xfId="11885" xr:uid="{00000000-0005-0000-0000-000045160000}"/>
    <cellStyle name="40% - Akzent4 54" xfId="4586" xr:uid="{00000000-0005-0000-0000-000046160000}"/>
    <cellStyle name="40% - Akzent4 54 2" xfId="4587" xr:uid="{00000000-0005-0000-0000-000047160000}"/>
    <cellStyle name="40% - Akzent4 54 2 2" xfId="14005" xr:uid="{00000000-0005-0000-0000-000048160000}"/>
    <cellStyle name="40% - Akzent4 54 2_est. MEAT" xfId="21359" xr:uid="{00000000-0005-0000-0000-000049160000}"/>
    <cellStyle name="40% - Akzent4 54 3" xfId="14004" xr:uid="{00000000-0005-0000-0000-00004A160000}"/>
    <cellStyle name="40% - Akzent4 54_2012-2019" xfId="11886" xr:uid="{00000000-0005-0000-0000-00004B160000}"/>
    <cellStyle name="40% - Akzent4 55" xfId="4588" xr:uid="{00000000-0005-0000-0000-00004C160000}"/>
    <cellStyle name="40% - Akzent4 55 2" xfId="4589" xr:uid="{00000000-0005-0000-0000-00004D160000}"/>
    <cellStyle name="40% - Akzent4 55 2 2" xfId="14007" xr:uid="{00000000-0005-0000-0000-00004E160000}"/>
    <cellStyle name="40% - Akzent4 55 2_est. MEAT" xfId="21360" xr:uid="{00000000-0005-0000-0000-00004F160000}"/>
    <cellStyle name="40% - Akzent4 55 3" xfId="14006" xr:uid="{00000000-0005-0000-0000-000050160000}"/>
    <cellStyle name="40% - Akzent4 55_2012-2019" xfId="11887" xr:uid="{00000000-0005-0000-0000-000051160000}"/>
    <cellStyle name="40% - Akzent4 56" xfId="4590" xr:uid="{00000000-0005-0000-0000-000052160000}"/>
    <cellStyle name="40% - Akzent4 56 2" xfId="4591" xr:uid="{00000000-0005-0000-0000-000053160000}"/>
    <cellStyle name="40% - Akzent4 56 2 2" xfId="14009" xr:uid="{00000000-0005-0000-0000-000054160000}"/>
    <cellStyle name="40% - Akzent4 56 2_est. MEAT" xfId="21361" xr:uid="{00000000-0005-0000-0000-000055160000}"/>
    <cellStyle name="40% - Akzent4 56 3" xfId="14008" xr:uid="{00000000-0005-0000-0000-000056160000}"/>
    <cellStyle name="40% - Akzent4 56_2012-2019" xfId="11888" xr:uid="{00000000-0005-0000-0000-000057160000}"/>
    <cellStyle name="40% - Akzent4 57" xfId="4592" xr:uid="{00000000-0005-0000-0000-000058160000}"/>
    <cellStyle name="40% - Akzent4 57 2" xfId="4593" xr:uid="{00000000-0005-0000-0000-000059160000}"/>
    <cellStyle name="40% - Akzent4 57 2 2" xfId="14011" xr:uid="{00000000-0005-0000-0000-00005A160000}"/>
    <cellStyle name="40% - Akzent4 57 2_est. MEAT" xfId="21362" xr:uid="{00000000-0005-0000-0000-00005B160000}"/>
    <cellStyle name="40% - Akzent4 57 3" xfId="14010" xr:uid="{00000000-0005-0000-0000-00005C160000}"/>
    <cellStyle name="40% - Akzent4 57_2012-2019" xfId="11889" xr:uid="{00000000-0005-0000-0000-00005D160000}"/>
    <cellStyle name="40% - Akzent4 58" xfId="4594" xr:uid="{00000000-0005-0000-0000-00005E160000}"/>
    <cellStyle name="40% - Akzent4 58 2" xfId="4595" xr:uid="{00000000-0005-0000-0000-00005F160000}"/>
    <cellStyle name="40% - Akzent4 58 2 2" xfId="14013" xr:uid="{00000000-0005-0000-0000-000060160000}"/>
    <cellStyle name="40% - Akzent4 58 2_est. MEAT" xfId="21363" xr:uid="{00000000-0005-0000-0000-000061160000}"/>
    <cellStyle name="40% - Akzent4 58 3" xfId="14012" xr:uid="{00000000-0005-0000-0000-000062160000}"/>
    <cellStyle name="40% - Akzent4 58_2012-2019" xfId="11890" xr:uid="{00000000-0005-0000-0000-000063160000}"/>
    <cellStyle name="40% - Akzent4 59" xfId="4596" xr:uid="{00000000-0005-0000-0000-000064160000}"/>
    <cellStyle name="40% - Akzent4 59 2" xfId="4597" xr:uid="{00000000-0005-0000-0000-000065160000}"/>
    <cellStyle name="40% - Akzent4 59 2 2" xfId="14015" xr:uid="{00000000-0005-0000-0000-000066160000}"/>
    <cellStyle name="40% - Akzent4 59 2_est. MEAT" xfId="21364" xr:uid="{00000000-0005-0000-0000-000067160000}"/>
    <cellStyle name="40% - Akzent4 59 3" xfId="14014" xr:uid="{00000000-0005-0000-0000-000068160000}"/>
    <cellStyle name="40% - Akzent4 59_2012-2019" xfId="11891" xr:uid="{00000000-0005-0000-0000-000069160000}"/>
    <cellStyle name="40% - Akzent4 6" xfId="4598" xr:uid="{00000000-0005-0000-0000-00006A160000}"/>
    <cellStyle name="40% - Akzent4 6 2" xfId="4599" xr:uid="{00000000-0005-0000-0000-00006B160000}"/>
    <cellStyle name="40% - Akzent4 6 2 2" xfId="14017" xr:uid="{00000000-0005-0000-0000-00006C160000}"/>
    <cellStyle name="40% - Akzent4 6 2_est. MEAT" xfId="21365" xr:uid="{00000000-0005-0000-0000-00006D160000}"/>
    <cellStyle name="40% - Akzent4 6 3" xfId="14016" xr:uid="{00000000-0005-0000-0000-00006E160000}"/>
    <cellStyle name="40% - Akzent4 6_2012-2019" xfId="11892" xr:uid="{00000000-0005-0000-0000-00006F160000}"/>
    <cellStyle name="40% - Akzent4 60" xfId="4600" xr:uid="{00000000-0005-0000-0000-000070160000}"/>
    <cellStyle name="40% - Akzent4 60 2" xfId="4601" xr:uid="{00000000-0005-0000-0000-000071160000}"/>
    <cellStyle name="40% - Akzent4 60 2 2" xfId="14019" xr:uid="{00000000-0005-0000-0000-000072160000}"/>
    <cellStyle name="40% - Akzent4 60 2_est. MEAT" xfId="21366" xr:uid="{00000000-0005-0000-0000-000073160000}"/>
    <cellStyle name="40% - Akzent4 60 3" xfId="14018" xr:uid="{00000000-0005-0000-0000-000074160000}"/>
    <cellStyle name="40% - Akzent4 60_2012-2019" xfId="11893" xr:uid="{00000000-0005-0000-0000-000075160000}"/>
    <cellStyle name="40% - Akzent4 61" xfId="4602" xr:uid="{00000000-0005-0000-0000-000076160000}"/>
    <cellStyle name="40% - Akzent4 61 2" xfId="4603" xr:uid="{00000000-0005-0000-0000-000077160000}"/>
    <cellStyle name="40% - Akzent4 61 2 2" xfId="14021" xr:uid="{00000000-0005-0000-0000-000078160000}"/>
    <cellStyle name="40% - Akzent4 61 2_est. MEAT" xfId="21367" xr:uid="{00000000-0005-0000-0000-000079160000}"/>
    <cellStyle name="40% - Akzent4 61 3" xfId="14020" xr:uid="{00000000-0005-0000-0000-00007A160000}"/>
    <cellStyle name="40% - Akzent4 61_2012-2019" xfId="11894" xr:uid="{00000000-0005-0000-0000-00007B160000}"/>
    <cellStyle name="40% - Akzent4 62" xfId="4604" xr:uid="{00000000-0005-0000-0000-00007C160000}"/>
    <cellStyle name="40% - Akzent4 62 2" xfId="4605" xr:uid="{00000000-0005-0000-0000-00007D160000}"/>
    <cellStyle name="40% - Akzent4 62 2 2" xfId="14023" xr:uid="{00000000-0005-0000-0000-00007E160000}"/>
    <cellStyle name="40% - Akzent4 62 2_est. MEAT" xfId="21368" xr:uid="{00000000-0005-0000-0000-00007F160000}"/>
    <cellStyle name="40% - Akzent4 62 3" xfId="14022" xr:uid="{00000000-0005-0000-0000-000080160000}"/>
    <cellStyle name="40% - Akzent4 62_2012-2019" xfId="11895" xr:uid="{00000000-0005-0000-0000-000081160000}"/>
    <cellStyle name="40% - Akzent4 63" xfId="4606" xr:uid="{00000000-0005-0000-0000-000082160000}"/>
    <cellStyle name="40% - Akzent4 63 2" xfId="4607" xr:uid="{00000000-0005-0000-0000-000083160000}"/>
    <cellStyle name="40% - Akzent4 63 2 2" xfId="14025" xr:uid="{00000000-0005-0000-0000-000084160000}"/>
    <cellStyle name="40% - Akzent4 63 2_est. MEAT" xfId="21369" xr:uid="{00000000-0005-0000-0000-000085160000}"/>
    <cellStyle name="40% - Akzent4 63 3" xfId="14024" xr:uid="{00000000-0005-0000-0000-000086160000}"/>
    <cellStyle name="40% - Akzent4 63_2012-2019" xfId="11896" xr:uid="{00000000-0005-0000-0000-000087160000}"/>
    <cellStyle name="40% - Akzent4 64" xfId="4608" xr:uid="{00000000-0005-0000-0000-000088160000}"/>
    <cellStyle name="40% - Akzent4 64 2" xfId="4609" xr:uid="{00000000-0005-0000-0000-000089160000}"/>
    <cellStyle name="40% - Akzent4 64 2 2" xfId="14027" xr:uid="{00000000-0005-0000-0000-00008A160000}"/>
    <cellStyle name="40% - Akzent4 64 2_est. MEAT" xfId="21370" xr:uid="{00000000-0005-0000-0000-00008B160000}"/>
    <cellStyle name="40% - Akzent4 64 3" xfId="14026" xr:uid="{00000000-0005-0000-0000-00008C160000}"/>
    <cellStyle name="40% - Akzent4 64_2012-2019" xfId="11897" xr:uid="{00000000-0005-0000-0000-00008D160000}"/>
    <cellStyle name="40% - Akzent4 65" xfId="4610" xr:uid="{00000000-0005-0000-0000-00008E160000}"/>
    <cellStyle name="40% - Akzent4 65 2" xfId="4611" xr:uid="{00000000-0005-0000-0000-00008F160000}"/>
    <cellStyle name="40% - Akzent4 65 2 2" xfId="14029" xr:uid="{00000000-0005-0000-0000-000090160000}"/>
    <cellStyle name="40% - Akzent4 65 2_est. MEAT" xfId="21371" xr:uid="{00000000-0005-0000-0000-000091160000}"/>
    <cellStyle name="40% - Akzent4 65 3" xfId="14028" xr:uid="{00000000-0005-0000-0000-000092160000}"/>
    <cellStyle name="40% - Akzent4 65_2012-2019" xfId="11898" xr:uid="{00000000-0005-0000-0000-000093160000}"/>
    <cellStyle name="40% - Akzent4 66" xfId="4612" xr:uid="{00000000-0005-0000-0000-000094160000}"/>
    <cellStyle name="40% - Akzent4 66 2" xfId="4613" xr:uid="{00000000-0005-0000-0000-000095160000}"/>
    <cellStyle name="40% - Akzent4 66 2 2" xfId="14031" xr:uid="{00000000-0005-0000-0000-000096160000}"/>
    <cellStyle name="40% - Akzent4 66 2_est. MEAT" xfId="21372" xr:uid="{00000000-0005-0000-0000-000097160000}"/>
    <cellStyle name="40% - Akzent4 66 3" xfId="14030" xr:uid="{00000000-0005-0000-0000-000098160000}"/>
    <cellStyle name="40% - Akzent4 66_2012-2019" xfId="11899" xr:uid="{00000000-0005-0000-0000-000099160000}"/>
    <cellStyle name="40% - Akzent4 67" xfId="4614" xr:uid="{00000000-0005-0000-0000-00009A160000}"/>
    <cellStyle name="40% - Akzent4 67 2" xfId="4615" xr:uid="{00000000-0005-0000-0000-00009B160000}"/>
    <cellStyle name="40% - Akzent4 67 2 2" xfId="14033" xr:uid="{00000000-0005-0000-0000-00009C160000}"/>
    <cellStyle name="40% - Akzent4 67 2_est. MEAT" xfId="21373" xr:uid="{00000000-0005-0000-0000-00009D160000}"/>
    <cellStyle name="40% - Akzent4 67 3" xfId="14032" xr:uid="{00000000-0005-0000-0000-00009E160000}"/>
    <cellStyle name="40% - Akzent4 67_2012-2019" xfId="11900" xr:uid="{00000000-0005-0000-0000-00009F160000}"/>
    <cellStyle name="40% - Akzent4 68" xfId="4616" xr:uid="{00000000-0005-0000-0000-0000A0160000}"/>
    <cellStyle name="40% - Akzent4 68 2" xfId="4617" xr:uid="{00000000-0005-0000-0000-0000A1160000}"/>
    <cellStyle name="40% - Akzent4 68 2 2" xfId="14035" xr:uid="{00000000-0005-0000-0000-0000A2160000}"/>
    <cellStyle name="40% - Akzent4 68 2_est. MEAT" xfId="21374" xr:uid="{00000000-0005-0000-0000-0000A3160000}"/>
    <cellStyle name="40% - Akzent4 68 3" xfId="14034" xr:uid="{00000000-0005-0000-0000-0000A4160000}"/>
    <cellStyle name="40% - Akzent4 68_2012-2019" xfId="11901" xr:uid="{00000000-0005-0000-0000-0000A5160000}"/>
    <cellStyle name="40% - Akzent4 69" xfId="4618" xr:uid="{00000000-0005-0000-0000-0000A6160000}"/>
    <cellStyle name="40% - Akzent4 69 2" xfId="4619" xr:uid="{00000000-0005-0000-0000-0000A7160000}"/>
    <cellStyle name="40% - Akzent4 69 2 2" xfId="14037" xr:uid="{00000000-0005-0000-0000-0000A8160000}"/>
    <cellStyle name="40% - Akzent4 69 2_est. MEAT" xfId="21375" xr:uid="{00000000-0005-0000-0000-0000A9160000}"/>
    <cellStyle name="40% - Akzent4 69 3" xfId="14036" xr:uid="{00000000-0005-0000-0000-0000AA160000}"/>
    <cellStyle name="40% - Akzent4 69_2012-2019" xfId="11902" xr:uid="{00000000-0005-0000-0000-0000AB160000}"/>
    <cellStyle name="40% - Akzent4 7" xfId="4620" xr:uid="{00000000-0005-0000-0000-0000AC160000}"/>
    <cellStyle name="40% - Akzent4 7 2" xfId="4621" xr:uid="{00000000-0005-0000-0000-0000AD160000}"/>
    <cellStyle name="40% - Akzent4 7 2 2" xfId="14039" xr:uid="{00000000-0005-0000-0000-0000AE160000}"/>
    <cellStyle name="40% - Akzent4 7 2_est. MEAT" xfId="21376" xr:uid="{00000000-0005-0000-0000-0000AF160000}"/>
    <cellStyle name="40% - Akzent4 7 3" xfId="14038" xr:uid="{00000000-0005-0000-0000-0000B0160000}"/>
    <cellStyle name="40% - Akzent4 7_2012-2019" xfId="11903" xr:uid="{00000000-0005-0000-0000-0000B1160000}"/>
    <cellStyle name="40% - Akzent4 70" xfId="4622" xr:uid="{00000000-0005-0000-0000-0000B2160000}"/>
    <cellStyle name="40% - Akzent4 70 2" xfId="4623" xr:uid="{00000000-0005-0000-0000-0000B3160000}"/>
    <cellStyle name="40% - Akzent4 70 2 2" xfId="14041" xr:uid="{00000000-0005-0000-0000-0000B4160000}"/>
    <cellStyle name="40% - Akzent4 70 2_est. MEAT" xfId="21377" xr:uid="{00000000-0005-0000-0000-0000B5160000}"/>
    <cellStyle name="40% - Akzent4 70 3" xfId="14040" xr:uid="{00000000-0005-0000-0000-0000B6160000}"/>
    <cellStyle name="40% - Akzent4 70_2012-2019" xfId="11904" xr:uid="{00000000-0005-0000-0000-0000B7160000}"/>
    <cellStyle name="40% - Akzent4 71" xfId="4624" xr:uid="{00000000-0005-0000-0000-0000B8160000}"/>
    <cellStyle name="40% - Akzent4 71 2" xfId="4625" xr:uid="{00000000-0005-0000-0000-0000B9160000}"/>
    <cellStyle name="40% - Akzent4 71 2 2" xfId="14043" xr:uid="{00000000-0005-0000-0000-0000BA160000}"/>
    <cellStyle name="40% - Akzent4 71 2_est. MEAT" xfId="21378" xr:uid="{00000000-0005-0000-0000-0000BB160000}"/>
    <cellStyle name="40% - Akzent4 71 3" xfId="14042" xr:uid="{00000000-0005-0000-0000-0000BC160000}"/>
    <cellStyle name="40% - Akzent4 71_2012-2019" xfId="11905" xr:uid="{00000000-0005-0000-0000-0000BD160000}"/>
    <cellStyle name="40% - Akzent4 72" xfId="4626" xr:uid="{00000000-0005-0000-0000-0000BE160000}"/>
    <cellStyle name="40% - Akzent4 72 2" xfId="4627" xr:uid="{00000000-0005-0000-0000-0000BF160000}"/>
    <cellStyle name="40% - Akzent4 72 2 2" xfId="14045" xr:uid="{00000000-0005-0000-0000-0000C0160000}"/>
    <cellStyle name="40% - Akzent4 72 2_est. MEAT" xfId="21379" xr:uid="{00000000-0005-0000-0000-0000C1160000}"/>
    <cellStyle name="40% - Akzent4 72 3" xfId="14044" xr:uid="{00000000-0005-0000-0000-0000C2160000}"/>
    <cellStyle name="40% - Akzent4 72_2012-2019" xfId="11906" xr:uid="{00000000-0005-0000-0000-0000C3160000}"/>
    <cellStyle name="40% - Akzent4 73" xfId="4628" xr:uid="{00000000-0005-0000-0000-0000C4160000}"/>
    <cellStyle name="40% - Akzent4 73 2" xfId="4629" xr:uid="{00000000-0005-0000-0000-0000C5160000}"/>
    <cellStyle name="40% - Akzent4 73 2 2" xfId="14047" xr:uid="{00000000-0005-0000-0000-0000C6160000}"/>
    <cellStyle name="40% - Akzent4 73 2_est. MEAT" xfId="21380" xr:uid="{00000000-0005-0000-0000-0000C7160000}"/>
    <cellStyle name="40% - Akzent4 73 3" xfId="14046" xr:uid="{00000000-0005-0000-0000-0000C8160000}"/>
    <cellStyle name="40% - Akzent4 73_2012-2019" xfId="11907" xr:uid="{00000000-0005-0000-0000-0000C9160000}"/>
    <cellStyle name="40% - Akzent4 74" xfId="4630" xr:uid="{00000000-0005-0000-0000-0000CA160000}"/>
    <cellStyle name="40% - Akzent4 74 2" xfId="4631" xr:uid="{00000000-0005-0000-0000-0000CB160000}"/>
    <cellStyle name="40% - Akzent4 74 2 2" xfId="14049" xr:uid="{00000000-0005-0000-0000-0000CC160000}"/>
    <cellStyle name="40% - Akzent4 74 2_est. MEAT" xfId="21381" xr:uid="{00000000-0005-0000-0000-0000CD160000}"/>
    <cellStyle name="40% - Akzent4 74 3" xfId="14048" xr:uid="{00000000-0005-0000-0000-0000CE160000}"/>
    <cellStyle name="40% - Akzent4 74_2012-2019" xfId="11908" xr:uid="{00000000-0005-0000-0000-0000CF160000}"/>
    <cellStyle name="40% - Akzent4 75" xfId="4632" xr:uid="{00000000-0005-0000-0000-0000D0160000}"/>
    <cellStyle name="40% - Akzent4 75 2" xfId="4633" xr:uid="{00000000-0005-0000-0000-0000D1160000}"/>
    <cellStyle name="40% - Akzent4 75 2 2" xfId="14051" xr:uid="{00000000-0005-0000-0000-0000D2160000}"/>
    <cellStyle name="40% - Akzent4 75 2_est. MEAT" xfId="21382" xr:uid="{00000000-0005-0000-0000-0000D3160000}"/>
    <cellStyle name="40% - Akzent4 75 3" xfId="14050" xr:uid="{00000000-0005-0000-0000-0000D4160000}"/>
    <cellStyle name="40% - Akzent4 75_2012-2019" xfId="11909" xr:uid="{00000000-0005-0000-0000-0000D5160000}"/>
    <cellStyle name="40% - Akzent4 76" xfId="4634" xr:uid="{00000000-0005-0000-0000-0000D6160000}"/>
    <cellStyle name="40% - Akzent4 76 2" xfId="4635" xr:uid="{00000000-0005-0000-0000-0000D7160000}"/>
    <cellStyle name="40% - Akzent4 76 2 2" xfId="14053" xr:uid="{00000000-0005-0000-0000-0000D8160000}"/>
    <cellStyle name="40% - Akzent4 76 2_est. MEAT" xfId="21383" xr:uid="{00000000-0005-0000-0000-0000D9160000}"/>
    <cellStyle name="40% - Akzent4 76 3" xfId="14052" xr:uid="{00000000-0005-0000-0000-0000DA160000}"/>
    <cellStyle name="40% - Akzent4 76_2012-2019" xfId="11910" xr:uid="{00000000-0005-0000-0000-0000DB160000}"/>
    <cellStyle name="40% - Akzent4 77" xfId="4636" xr:uid="{00000000-0005-0000-0000-0000DC160000}"/>
    <cellStyle name="40% - Akzent4 77 2" xfId="4637" xr:uid="{00000000-0005-0000-0000-0000DD160000}"/>
    <cellStyle name="40% - Akzent4 77 2 2" xfId="14055" xr:uid="{00000000-0005-0000-0000-0000DE160000}"/>
    <cellStyle name="40% - Akzent4 77 2_est. MEAT" xfId="21384" xr:uid="{00000000-0005-0000-0000-0000DF160000}"/>
    <cellStyle name="40% - Akzent4 77 3" xfId="14054" xr:uid="{00000000-0005-0000-0000-0000E0160000}"/>
    <cellStyle name="40% - Akzent4 77_2012-2019" xfId="11911" xr:uid="{00000000-0005-0000-0000-0000E1160000}"/>
    <cellStyle name="40% - Akzent4 78" xfId="4638" xr:uid="{00000000-0005-0000-0000-0000E2160000}"/>
    <cellStyle name="40% - Akzent4 78 2" xfId="4639" xr:uid="{00000000-0005-0000-0000-0000E3160000}"/>
    <cellStyle name="40% - Akzent4 78 2 2" xfId="14057" xr:uid="{00000000-0005-0000-0000-0000E4160000}"/>
    <cellStyle name="40% - Akzent4 78 2_est. MEAT" xfId="21385" xr:uid="{00000000-0005-0000-0000-0000E5160000}"/>
    <cellStyle name="40% - Akzent4 78 3" xfId="14056" xr:uid="{00000000-0005-0000-0000-0000E6160000}"/>
    <cellStyle name="40% - Akzent4 78_2012-2019" xfId="11912" xr:uid="{00000000-0005-0000-0000-0000E7160000}"/>
    <cellStyle name="40% - Akzent4 79" xfId="4640" xr:uid="{00000000-0005-0000-0000-0000E8160000}"/>
    <cellStyle name="40% - Akzent4 79 2" xfId="4641" xr:uid="{00000000-0005-0000-0000-0000E9160000}"/>
    <cellStyle name="40% - Akzent4 79 2 2" xfId="14059" xr:uid="{00000000-0005-0000-0000-0000EA160000}"/>
    <cellStyle name="40% - Akzent4 79 2_est. MEAT" xfId="21386" xr:uid="{00000000-0005-0000-0000-0000EB160000}"/>
    <cellStyle name="40% - Akzent4 79 3" xfId="14058" xr:uid="{00000000-0005-0000-0000-0000EC160000}"/>
    <cellStyle name="40% - Akzent4 79_2012-2019" xfId="11913" xr:uid="{00000000-0005-0000-0000-0000ED160000}"/>
    <cellStyle name="40% - Akzent4 8" xfId="4642" xr:uid="{00000000-0005-0000-0000-0000EE160000}"/>
    <cellStyle name="40% - Akzent4 8 2" xfId="4643" xr:uid="{00000000-0005-0000-0000-0000EF160000}"/>
    <cellStyle name="40% - Akzent4 8 2 2" xfId="14061" xr:uid="{00000000-0005-0000-0000-0000F0160000}"/>
    <cellStyle name="40% - Akzent4 8 2_est. MEAT" xfId="21387" xr:uid="{00000000-0005-0000-0000-0000F1160000}"/>
    <cellStyle name="40% - Akzent4 8 3" xfId="14060" xr:uid="{00000000-0005-0000-0000-0000F2160000}"/>
    <cellStyle name="40% - Akzent4 8_2012-2019" xfId="11914" xr:uid="{00000000-0005-0000-0000-0000F3160000}"/>
    <cellStyle name="40% - Akzent4 80" xfId="4644" xr:uid="{00000000-0005-0000-0000-0000F4160000}"/>
    <cellStyle name="40% - Akzent4 80 2" xfId="4645" xr:uid="{00000000-0005-0000-0000-0000F5160000}"/>
    <cellStyle name="40% - Akzent4 80 2 2" xfId="14063" xr:uid="{00000000-0005-0000-0000-0000F6160000}"/>
    <cellStyle name="40% - Akzent4 80 2_est. MEAT" xfId="21388" xr:uid="{00000000-0005-0000-0000-0000F7160000}"/>
    <cellStyle name="40% - Akzent4 80 3" xfId="14062" xr:uid="{00000000-0005-0000-0000-0000F8160000}"/>
    <cellStyle name="40% - Akzent4 80_2012-2019" xfId="11915" xr:uid="{00000000-0005-0000-0000-0000F9160000}"/>
    <cellStyle name="40% - Akzent4 81" xfId="4646" xr:uid="{00000000-0005-0000-0000-0000FA160000}"/>
    <cellStyle name="40% - Akzent4 81 2" xfId="4647" xr:uid="{00000000-0005-0000-0000-0000FB160000}"/>
    <cellStyle name="40% - Akzent4 81 2 2" xfId="14065" xr:uid="{00000000-0005-0000-0000-0000FC160000}"/>
    <cellStyle name="40% - Akzent4 81 2_est. MEAT" xfId="21389" xr:uid="{00000000-0005-0000-0000-0000FD160000}"/>
    <cellStyle name="40% - Akzent4 81 3" xfId="14064" xr:uid="{00000000-0005-0000-0000-0000FE160000}"/>
    <cellStyle name="40% - Akzent4 81_2012-2019" xfId="11916" xr:uid="{00000000-0005-0000-0000-0000FF160000}"/>
    <cellStyle name="40% - Akzent4 82" xfId="4648" xr:uid="{00000000-0005-0000-0000-000000170000}"/>
    <cellStyle name="40% - Akzent4 82 2" xfId="4649" xr:uid="{00000000-0005-0000-0000-000001170000}"/>
    <cellStyle name="40% - Akzent4 82 2 2" xfId="14067" xr:uid="{00000000-0005-0000-0000-000002170000}"/>
    <cellStyle name="40% - Akzent4 82 2_est. MEAT" xfId="21390" xr:uid="{00000000-0005-0000-0000-000003170000}"/>
    <cellStyle name="40% - Akzent4 82 3" xfId="14066" xr:uid="{00000000-0005-0000-0000-000004170000}"/>
    <cellStyle name="40% - Akzent4 82_2012-2019" xfId="11917" xr:uid="{00000000-0005-0000-0000-000005170000}"/>
    <cellStyle name="40% - Akzent4 83" xfId="4650" xr:uid="{00000000-0005-0000-0000-000006170000}"/>
    <cellStyle name="40% - Akzent4 83 2" xfId="4651" xr:uid="{00000000-0005-0000-0000-000007170000}"/>
    <cellStyle name="40% - Akzent4 83 2 2" xfId="14069" xr:uid="{00000000-0005-0000-0000-000008170000}"/>
    <cellStyle name="40% - Akzent4 83 2_est. MEAT" xfId="21391" xr:uid="{00000000-0005-0000-0000-000009170000}"/>
    <cellStyle name="40% - Akzent4 83 3" xfId="14068" xr:uid="{00000000-0005-0000-0000-00000A170000}"/>
    <cellStyle name="40% - Akzent4 83_2012-2019" xfId="11918" xr:uid="{00000000-0005-0000-0000-00000B170000}"/>
    <cellStyle name="40% - Akzent4 84" xfId="4652" xr:uid="{00000000-0005-0000-0000-00000C170000}"/>
    <cellStyle name="40% - Akzent4 84 2" xfId="4653" xr:uid="{00000000-0005-0000-0000-00000D170000}"/>
    <cellStyle name="40% - Akzent4 84 2 2" xfId="14071" xr:uid="{00000000-0005-0000-0000-00000E170000}"/>
    <cellStyle name="40% - Akzent4 84 2_est. MEAT" xfId="21392" xr:uid="{00000000-0005-0000-0000-00000F170000}"/>
    <cellStyle name="40% - Akzent4 84 3" xfId="14070" xr:uid="{00000000-0005-0000-0000-000010170000}"/>
    <cellStyle name="40% - Akzent4 84_2012-2019" xfId="11919" xr:uid="{00000000-0005-0000-0000-000011170000}"/>
    <cellStyle name="40% - Akzent4 85" xfId="4654" xr:uid="{00000000-0005-0000-0000-000012170000}"/>
    <cellStyle name="40% - Akzent4 85 2" xfId="4655" xr:uid="{00000000-0005-0000-0000-000013170000}"/>
    <cellStyle name="40% - Akzent4 85 2 2" xfId="14073" xr:uid="{00000000-0005-0000-0000-000014170000}"/>
    <cellStyle name="40% - Akzent4 85 2_est. MEAT" xfId="21393" xr:uid="{00000000-0005-0000-0000-000015170000}"/>
    <cellStyle name="40% - Akzent4 85 3" xfId="14072" xr:uid="{00000000-0005-0000-0000-000016170000}"/>
    <cellStyle name="40% - Akzent4 85_2012-2019" xfId="11920" xr:uid="{00000000-0005-0000-0000-000017170000}"/>
    <cellStyle name="40% - Akzent4 86" xfId="4656" xr:uid="{00000000-0005-0000-0000-000018170000}"/>
    <cellStyle name="40% - Akzent4 86 2" xfId="4657" xr:uid="{00000000-0005-0000-0000-000019170000}"/>
    <cellStyle name="40% - Akzent4 86 2 2" xfId="14075" xr:uid="{00000000-0005-0000-0000-00001A170000}"/>
    <cellStyle name="40% - Akzent4 86 2_est. MEAT" xfId="21394" xr:uid="{00000000-0005-0000-0000-00001B170000}"/>
    <cellStyle name="40% - Akzent4 86 3" xfId="14074" xr:uid="{00000000-0005-0000-0000-00001C170000}"/>
    <cellStyle name="40% - Akzent4 86_2012-2019" xfId="11921" xr:uid="{00000000-0005-0000-0000-00001D170000}"/>
    <cellStyle name="40% - Akzent4 87" xfId="4658" xr:uid="{00000000-0005-0000-0000-00001E170000}"/>
    <cellStyle name="40% - Akzent4 87 2" xfId="4659" xr:uid="{00000000-0005-0000-0000-00001F170000}"/>
    <cellStyle name="40% - Akzent4 87 2 2" xfId="14077" xr:uid="{00000000-0005-0000-0000-000020170000}"/>
    <cellStyle name="40% - Akzent4 87 2_est. MEAT" xfId="21395" xr:uid="{00000000-0005-0000-0000-000021170000}"/>
    <cellStyle name="40% - Akzent4 87 3" xfId="14076" xr:uid="{00000000-0005-0000-0000-000022170000}"/>
    <cellStyle name="40% - Akzent4 87_2012-2019" xfId="11922" xr:uid="{00000000-0005-0000-0000-000023170000}"/>
    <cellStyle name="40% - Akzent4 88" xfId="4660" xr:uid="{00000000-0005-0000-0000-000024170000}"/>
    <cellStyle name="40% - Akzent4 88 2" xfId="4661" xr:uid="{00000000-0005-0000-0000-000025170000}"/>
    <cellStyle name="40% - Akzent4 88 2 2" xfId="14079" xr:uid="{00000000-0005-0000-0000-000026170000}"/>
    <cellStyle name="40% - Akzent4 88 2_est. MEAT" xfId="21396" xr:uid="{00000000-0005-0000-0000-000027170000}"/>
    <cellStyle name="40% - Akzent4 88 3" xfId="14078" xr:uid="{00000000-0005-0000-0000-000028170000}"/>
    <cellStyle name="40% - Akzent4 88_2012-2019" xfId="11923" xr:uid="{00000000-0005-0000-0000-000029170000}"/>
    <cellStyle name="40% - Akzent4 89" xfId="4662" xr:uid="{00000000-0005-0000-0000-00002A170000}"/>
    <cellStyle name="40% - Akzent4 89 2" xfId="4663" xr:uid="{00000000-0005-0000-0000-00002B170000}"/>
    <cellStyle name="40% - Akzent4 89 2 2" xfId="14081" xr:uid="{00000000-0005-0000-0000-00002C170000}"/>
    <cellStyle name="40% - Akzent4 89 2_est. MEAT" xfId="21397" xr:uid="{00000000-0005-0000-0000-00002D170000}"/>
    <cellStyle name="40% - Akzent4 89 3" xfId="14080" xr:uid="{00000000-0005-0000-0000-00002E170000}"/>
    <cellStyle name="40% - Akzent4 89_2012-2019" xfId="11924" xr:uid="{00000000-0005-0000-0000-00002F170000}"/>
    <cellStyle name="40% - Akzent4 9" xfId="4664" xr:uid="{00000000-0005-0000-0000-000030170000}"/>
    <cellStyle name="40% - Akzent4 9 2" xfId="4665" xr:uid="{00000000-0005-0000-0000-000031170000}"/>
    <cellStyle name="40% - Akzent4 9 2 2" xfId="14083" xr:uid="{00000000-0005-0000-0000-000032170000}"/>
    <cellStyle name="40% - Akzent4 9 2_est. MEAT" xfId="21398" xr:uid="{00000000-0005-0000-0000-000033170000}"/>
    <cellStyle name="40% - Akzent4 9 3" xfId="14082" xr:uid="{00000000-0005-0000-0000-000034170000}"/>
    <cellStyle name="40% - Akzent4 9_2012-2019" xfId="11925" xr:uid="{00000000-0005-0000-0000-000035170000}"/>
    <cellStyle name="40% - Akzent4 90" xfId="4666" xr:uid="{00000000-0005-0000-0000-000036170000}"/>
    <cellStyle name="40% - Akzent4 90 2" xfId="4667" xr:uid="{00000000-0005-0000-0000-000037170000}"/>
    <cellStyle name="40% - Akzent4 90 2 2" xfId="14085" xr:uid="{00000000-0005-0000-0000-000038170000}"/>
    <cellStyle name="40% - Akzent4 90 2_est. MEAT" xfId="21399" xr:uid="{00000000-0005-0000-0000-000039170000}"/>
    <cellStyle name="40% - Akzent4 90 3" xfId="14084" xr:uid="{00000000-0005-0000-0000-00003A170000}"/>
    <cellStyle name="40% - Akzent4 90_2012-2019" xfId="11926" xr:uid="{00000000-0005-0000-0000-00003B170000}"/>
    <cellStyle name="40% - Akzent4 91" xfId="4668" xr:uid="{00000000-0005-0000-0000-00003C170000}"/>
    <cellStyle name="40% - Akzent4 91 2" xfId="4669" xr:uid="{00000000-0005-0000-0000-00003D170000}"/>
    <cellStyle name="40% - Akzent4 91 2 2" xfId="14087" xr:uid="{00000000-0005-0000-0000-00003E170000}"/>
    <cellStyle name="40% - Akzent4 91 2_est. MEAT" xfId="21400" xr:uid="{00000000-0005-0000-0000-00003F170000}"/>
    <cellStyle name="40% - Akzent4 91 3" xfId="14086" xr:uid="{00000000-0005-0000-0000-000040170000}"/>
    <cellStyle name="40% - Akzent4 91_2012-2019" xfId="11927" xr:uid="{00000000-0005-0000-0000-000041170000}"/>
    <cellStyle name="40% - Akzent4 92" xfId="4670" xr:uid="{00000000-0005-0000-0000-000042170000}"/>
    <cellStyle name="40% - Akzent4 92 2" xfId="4671" xr:uid="{00000000-0005-0000-0000-000043170000}"/>
    <cellStyle name="40% - Akzent4 92 2 2" xfId="14089" xr:uid="{00000000-0005-0000-0000-000044170000}"/>
    <cellStyle name="40% - Akzent4 92 2_est. MEAT" xfId="21401" xr:uid="{00000000-0005-0000-0000-000045170000}"/>
    <cellStyle name="40% - Akzent4 92 3" xfId="14088" xr:uid="{00000000-0005-0000-0000-000046170000}"/>
    <cellStyle name="40% - Akzent4 92_2012-2019" xfId="11928" xr:uid="{00000000-0005-0000-0000-000047170000}"/>
    <cellStyle name="40% - Akzent4 93" xfId="4672" xr:uid="{00000000-0005-0000-0000-000048170000}"/>
    <cellStyle name="40% - Akzent4 93 2" xfId="4673" xr:uid="{00000000-0005-0000-0000-000049170000}"/>
    <cellStyle name="40% - Akzent4 93 2 2" xfId="14091" xr:uid="{00000000-0005-0000-0000-00004A170000}"/>
    <cellStyle name="40% - Akzent4 93 2_est. MEAT" xfId="21402" xr:uid="{00000000-0005-0000-0000-00004B170000}"/>
    <cellStyle name="40% - Akzent4 93 3" xfId="14090" xr:uid="{00000000-0005-0000-0000-00004C170000}"/>
    <cellStyle name="40% - Akzent4 93_2012-2019" xfId="11929" xr:uid="{00000000-0005-0000-0000-00004D170000}"/>
    <cellStyle name="40% - Akzent4 94" xfId="4674" xr:uid="{00000000-0005-0000-0000-00004E170000}"/>
    <cellStyle name="40% - Akzent4 94 2" xfId="4675" xr:uid="{00000000-0005-0000-0000-00004F170000}"/>
    <cellStyle name="40% - Akzent4 94 2 2" xfId="14093" xr:uid="{00000000-0005-0000-0000-000050170000}"/>
    <cellStyle name="40% - Akzent4 94 2_est. MEAT" xfId="21403" xr:uid="{00000000-0005-0000-0000-000051170000}"/>
    <cellStyle name="40% - Akzent4 94 3" xfId="14092" xr:uid="{00000000-0005-0000-0000-000052170000}"/>
    <cellStyle name="40% - Akzent4 94_2012-2019" xfId="11930" xr:uid="{00000000-0005-0000-0000-000053170000}"/>
    <cellStyle name="40% - Akzent4 95" xfId="4676" xr:uid="{00000000-0005-0000-0000-000054170000}"/>
    <cellStyle name="40% - Akzent4 95 2" xfId="4677" xr:uid="{00000000-0005-0000-0000-000055170000}"/>
    <cellStyle name="40% - Akzent4 95 2 2" xfId="14095" xr:uid="{00000000-0005-0000-0000-000056170000}"/>
    <cellStyle name="40% - Akzent4 95 2_est. MEAT" xfId="21404" xr:uid="{00000000-0005-0000-0000-000057170000}"/>
    <cellStyle name="40% - Akzent4 95 3" xfId="14094" xr:uid="{00000000-0005-0000-0000-000058170000}"/>
    <cellStyle name="40% - Akzent4 95_2012-2019" xfId="11931" xr:uid="{00000000-0005-0000-0000-000059170000}"/>
    <cellStyle name="40% - Akzent4 96" xfId="4678" xr:uid="{00000000-0005-0000-0000-00005A170000}"/>
    <cellStyle name="40% - Akzent4 96 2" xfId="4679" xr:uid="{00000000-0005-0000-0000-00005B170000}"/>
    <cellStyle name="40% - Akzent4 96 2 2" xfId="14097" xr:uid="{00000000-0005-0000-0000-00005C170000}"/>
    <cellStyle name="40% - Akzent4 96 2_est. MEAT" xfId="21405" xr:uid="{00000000-0005-0000-0000-00005D170000}"/>
    <cellStyle name="40% - Akzent4 96 3" xfId="14096" xr:uid="{00000000-0005-0000-0000-00005E170000}"/>
    <cellStyle name="40% - Akzent4 96_2012-2019" xfId="11932" xr:uid="{00000000-0005-0000-0000-00005F170000}"/>
    <cellStyle name="40% - Akzent4 97" xfId="4680" xr:uid="{00000000-0005-0000-0000-000060170000}"/>
    <cellStyle name="40% - Akzent4 97 2" xfId="4681" xr:uid="{00000000-0005-0000-0000-000061170000}"/>
    <cellStyle name="40% - Akzent4 97 2 2" xfId="14099" xr:uid="{00000000-0005-0000-0000-000062170000}"/>
    <cellStyle name="40% - Akzent4 97 2_est. MEAT" xfId="21406" xr:uid="{00000000-0005-0000-0000-000063170000}"/>
    <cellStyle name="40% - Akzent4 97 3" xfId="14098" xr:uid="{00000000-0005-0000-0000-000064170000}"/>
    <cellStyle name="40% - Akzent4 97_2012-2019" xfId="11933" xr:uid="{00000000-0005-0000-0000-000065170000}"/>
    <cellStyle name="40% - Akzent4 98" xfId="4682" xr:uid="{00000000-0005-0000-0000-000066170000}"/>
    <cellStyle name="40% - Akzent4 98 2" xfId="4683" xr:uid="{00000000-0005-0000-0000-000067170000}"/>
    <cellStyle name="40% - Akzent4 98 2 2" xfId="14101" xr:uid="{00000000-0005-0000-0000-000068170000}"/>
    <cellStyle name="40% - Akzent4 98 2_est. MEAT" xfId="21407" xr:uid="{00000000-0005-0000-0000-000069170000}"/>
    <cellStyle name="40% - Akzent4 98 3" xfId="14100" xr:uid="{00000000-0005-0000-0000-00006A170000}"/>
    <cellStyle name="40% - Akzent4 98_2012-2019" xfId="11934" xr:uid="{00000000-0005-0000-0000-00006B170000}"/>
    <cellStyle name="40% - Akzent4 99" xfId="4684" xr:uid="{00000000-0005-0000-0000-00006C170000}"/>
    <cellStyle name="40% - Akzent4 99 2" xfId="4685" xr:uid="{00000000-0005-0000-0000-00006D170000}"/>
    <cellStyle name="40% - Akzent4 99 2 2" xfId="14103" xr:uid="{00000000-0005-0000-0000-00006E170000}"/>
    <cellStyle name="40% - Akzent4 99 2_est. MEAT" xfId="21408" xr:uid="{00000000-0005-0000-0000-00006F170000}"/>
    <cellStyle name="40% - Akzent4 99 3" xfId="14102" xr:uid="{00000000-0005-0000-0000-000070170000}"/>
    <cellStyle name="40% - Akzent4 99_2012-2019" xfId="11935" xr:uid="{00000000-0005-0000-0000-000071170000}"/>
    <cellStyle name="40% - Akzent5 10" xfId="4686" xr:uid="{00000000-0005-0000-0000-000072170000}"/>
    <cellStyle name="40% - Akzent5 10 2" xfId="4687" xr:uid="{00000000-0005-0000-0000-000073170000}"/>
    <cellStyle name="40% - Akzent5 10 2 2" xfId="14105" xr:uid="{00000000-0005-0000-0000-000074170000}"/>
    <cellStyle name="40% - Akzent5 10 2_est. MEAT" xfId="21409" xr:uid="{00000000-0005-0000-0000-000075170000}"/>
    <cellStyle name="40% - Akzent5 10 3" xfId="14104" xr:uid="{00000000-0005-0000-0000-000076170000}"/>
    <cellStyle name="40% - Akzent5 10_2012-2019" xfId="11936" xr:uid="{00000000-0005-0000-0000-000077170000}"/>
    <cellStyle name="40% - Akzent5 100" xfId="4688" xr:uid="{00000000-0005-0000-0000-000078170000}"/>
    <cellStyle name="40% - Akzent5 100 2" xfId="4689" xr:uid="{00000000-0005-0000-0000-000079170000}"/>
    <cellStyle name="40% - Akzent5 100 2 2" xfId="14107" xr:uid="{00000000-0005-0000-0000-00007A170000}"/>
    <cellStyle name="40% - Akzent5 100 2_est. MEAT" xfId="21410" xr:uid="{00000000-0005-0000-0000-00007B170000}"/>
    <cellStyle name="40% - Akzent5 100 3" xfId="14106" xr:uid="{00000000-0005-0000-0000-00007C170000}"/>
    <cellStyle name="40% - Akzent5 100_2012-2019" xfId="11937" xr:uid="{00000000-0005-0000-0000-00007D170000}"/>
    <cellStyle name="40% - Akzent5 101" xfId="4690" xr:uid="{00000000-0005-0000-0000-00007E170000}"/>
    <cellStyle name="40% - Akzent5 101 2" xfId="4691" xr:uid="{00000000-0005-0000-0000-00007F170000}"/>
    <cellStyle name="40% - Akzent5 101 2 2" xfId="14109" xr:uid="{00000000-0005-0000-0000-000080170000}"/>
    <cellStyle name="40% - Akzent5 101 2_est. MEAT" xfId="21411" xr:uid="{00000000-0005-0000-0000-000081170000}"/>
    <cellStyle name="40% - Akzent5 101 3" xfId="14108" xr:uid="{00000000-0005-0000-0000-000082170000}"/>
    <cellStyle name="40% - Akzent5 101_2012-2019" xfId="11938" xr:uid="{00000000-0005-0000-0000-000083170000}"/>
    <cellStyle name="40% - Akzent5 102" xfId="4692" xr:uid="{00000000-0005-0000-0000-000084170000}"/>
    <cellStyle name="40% - Akzent5 102 2" xfId="4693" xr:uid="{00000000-0005-0000-0000-000085170000}"/>
    <cellStyle name="40% - Akzent5 102 2 2" xfId="14111" xr:uid="{00000000-0005-0000-0000-000086170000}"/>
    <cellStyle name="40% - Akzent5 102 2_est. MEAT" xfId="21412" xr:uid="{00000000-0005-0000-0000-000087170000}"/>
    <cellStyle name="40% - Akzent5 102 3" xfId="14110" xr:uid="{00000000-0005-0000-0000-000088170000}"/>
    <cellStyle name="40% - Akzent5 102_2012-2019" xfId="11939" xr:uid="{00000000-0005-0000-0000-000089170000}"/>
    <cellStyle name="40% - Akzent5 103" xfId="4694" xr:uid="{00000000-0005-0000-0000-00008A170000}"/>
    <cellStyle name="40% - Akzent5 103 2" xfId="4695" xr:uid="{00000000-0005-0000-0000-00008B170000}"/>
    <cellStyle name="40% - Akzent5 103 2 2" xfId="14113" xr:uid="{00000000-0005-0000-0000-00008C170000}"/>
    <cellStyle name="40% - Akzent5 103 2_est. MEAT" xfId="21413" xr:uid="{00000000-0005-0000-0000-00008D170000}"/>
    <cellStyle name="40% - Akzent5 103 3" xfId="14112" xr:uid="{00000000-0005-0000-0000-00008E170000}"/>
    <cellStyle name="40% - Akzent5 103_2012-2019" xfId="11940" xr:uid="{00000000-0005-0000-0000-00008F170000}"/>
    <cellStyle name="40% - Akzent5 104" xfId="4696" xr:uid="{00000000-0005-0000-0000-000090170000}"/>
    <cellStyle name="40% - Akzent5 104 2" xfId="4697" xr:uid="{00000000-0005-0000-0000-000091170000}"/>
    <cellStyle name="40% - Akzent5 104 2 2" xfId="14115" xr:uid="{00000000-0005-0000-0000-000092170000}"/>
    <cellStyle name="40% - Akzent5 104 2_est. MEAT" xfId="21414" xr:uid="{00000000-0005-0000-0000-000093170000}"/>
    <cellStyle name="40% - Akzent5 104 3" xfId="14114" xr:uid="{00000000-0005-0000-0000-000094170000}"/>
    <cellStyle name="40% - Akzent5 104_2012-2019" xfId="11941" xr:uid="{00000000-0005-0000-0000-000095170000}"/>
    <cellStyle name="40% - Akzent5 105" xfId="4698" xr:uid="{00000000-0005-0000-0000-000096170000}"/>
    <cellStyle name="40% - Akzent5 105 2" xfId="4699" xr:uid="{00000000-0005-0000-0000-000097170000}"/>
    <cellStyle name="40% - Akzent5 105 2 2" xfId="14117" xr:uid="{00000000-0005-0000-0000-000098170000}"/>
    <cellStyle name="40% - Akzent5 105 2_est. MEAT" xfId="21415" xr:uid="{00000000-0005-0000-0000-000099170000}"/>
    <cellStyle name="40% - Akzent5 105 3" xfId="14116" xr:uid="{00000000-0005-0000-0000-00009A170000}"/>
    <cellStyle name="40% - Akzent5 105_2012-2019" xfId="11942" xr:uid="{00000000-0005-0000-0000-00009B170000}"/>
    <cellStyle name="40% - Akzent5 106" xfId="4700" xr:uid="{00000000-0005-0000-0000-00009C170000}"/>
    <cellStyle name="40% - Akzent5 106 2" xfId="4701" xr:uid="{00000000-0005-0000-0000-00009D170000}"/>
    <cellStyle name="40% - Akzent5 106 2 2" xfId="14119" xr:uid="{00000000-0005-0000-0000-00009E170000}"/>
    <cellStyle name="40% - Akzent5 106 2_est. MEAT" xfId="21416" xr:uid="{00000000-0005-0000-0000-00009F170000}"/>
    <cellStyle name="40% - Akzent5 106 3" xfId="14118" xr:uid="{00000000-0005-0000-0000-0000A0170000}"/>
    <cellStyle name="40% - Akzent5 106_2012-2019" xfId="11943" xr:uid="{00000000-0005-0000-0000-0000A1170000}"/>
    <cellStyle name="40% - Akzent5 107" xfId="4702" xr:uid="{00000000-0005-0000-0000-0000A2170000}"/>
    <cellStyle name="40% - Akzent5 107 2" xfId="4703" xr:uid="{00000000-0005-0000-0000-0000A3170000}"/>
    <cellStyle name="40% - Akzent5 107 2 2" xfId="14121" xr:uid="{00000000-0005-0000-0000-0000A4170000}"/>
    <cellStyle name="40% - Akzent5 107 2_est. MEAT" xfId="21417" xr:uid="{00000000-0005-0000-0000-0000A5170000}"/>
    <cellStyle name="40% - Akzent5 107 3" xfId="14120" xr:uid="{00000000-0005-0000-0000-0000A6170000}"/>
    <cellStyle name="40% - Akzent5 107_2012-2019" xfId="11944" xr:uid="{00000000-0005-0000-0000-0000A7170000}"/>
    <cellStyle name="40% - Akzent5 108" xfId="4704" xr:uid="{00000000-0005-0000-0000-0000A8170000}"/>
    <cellStyle name="40% - Akzent5 108 2" xfId="4705" xr:uid="{00000000-0005-0000-0000-0000A9170000}"/>
    <cellStyle name="40% - Akzent5 108 2 2" xfId="14123" xr:uid="{00000000-0005-0000-0000-0000AA170000}"/>
    <cellStyle name="40% - Akzent5 108 2_est. MEAT" xfId="21418" xr:uid="{00000000-0005-0000-0000-0000AB170000}"/>
    <cellStyle name="40% - Akzent5 108 3" xfId="14122" xr:uid="{00000000-0005-0000-0000-0000AC170000}"/>
    <cellStyle name="40% - Akzent5 108_2012-2019" xfId="11945" xr:uid="{00000000-0005-0000-0000-0000AD170000}"/>
    <cellStyle name="40% - Akzent5 109" xfId="4706" xr:uid="{00000000-0005-0000-0000-0000AE170000}"/>
    <cellStyle name="40% - Akzent5 109 2" xfId="4707" xr:uid="{00000000-0005-0000-0000-0000AF170000}"/>
    <cellStyle name="40% - Akzent5 109 2 2" xfId="14125" xr:uid="{00000000-0005-0000-0000-0000B0170000}"/>
    <cellStyle name="40% - Akzent5 109 2_est. MEAT" xfId="21419" xr:uid="{00000000-0005-0000-0000-0000B1170000}"/>
    <cellStyle name="40% - Akzent5 109 3" xfId="14124" xr:uid="{00000000-0005-0000-0000-0000B2170000}"/>
    <cellStyle name="40% - Akzent5 109_2012-2019" xfId="11946" xr:uid="{00000000-0005-0000-0000-0000B3170000}"/>
    <cellStyle name="40% - Akzent5 11" xfId="4708" xr:uid="{00000000-0005-0000-0000-0000B4170000}"/>
    <cellStyle name="40% - Akzent5 11 2" xfId="4709" xr:uid="{00000000-0005-0000-0000-0000B5170000}"/>
    <cellStyle name="40% - Akzent5 11 2 2" xfId="14127" xr:uid="{00000000-0005-0000-0000-0000B6170000}"/>
    <cellStyle name="40% - Akzent5 11 2_est. MEAT" xfId="21420" xr:uid="{00000000-0005-0000-0000-0000B7170000}"/>
    <cellStyle name="40% - Akzent5 11 3" xfId="14126" xr:uid="{00000000-0005-0000-0000-0000B8170000}"/>
    <cellStyle name="40% - Akzent5 11_2012-2019" xfId="11947" xr:uid="{00000000-0005-0000-0000-0000B9170000}"/>
    <cellStyle name="40% - Akzent5 110" xfId="4710" xr:uid="{00000000-0005-0000-0000-0000BA170000}"/>
    <cellStyle name="40% - Akzent5 110 2" xfId="4711" xr:uid="{00000000-0005-0000-0000-0000BB170000}"/>
    <cellStyle name="40% - Akzent5 110 2 2" xfId="14129" xr:uid="{00000000-0005-0000-0000-0000BC170000}"/>
    <cellStyle name="40% - Akzent5 110 2_est. MEAT" xfId="21421" xr:uid="{00000000-0005-0000-0000-0000BD170000}"/>
    <cellStyle name="40% - Akzent5 110 3" xfId="14128" xr:uid="{00000000-0005-0000-0000-0000BE170000}"/>
    <cellStyle name="40% - Akzent5 110_2012-2019" xfId="11948" xr:uid="{00000000-0005-0000-0000-0000BF170000}"/>
    <cellStyle name="40% - Akzent5 111" xfId="4712" xr:uid="{00000000-0005-0000-0000-0000C0170000}"/>
    <cellStyle name="40% - Akzent5 111 2" xfId="4713" xr:uid="{00000000-0005-0000-0000-0000C1170000}"/>
    <cellStyle name="40% - Akzent5 111 2 2" xfId="14131" xr:uid="{00000000-0005-0000-0000-0000C2170000}"/>
    <cellStyle name="40% - Akzent5 111 2_est. MEAT" xfId="21422" xr:uid="{00000000-0005-0000-0000-0000C3170000}"/>
    <cellStyle name="40% - Akzent5 111 3" xfId="14130" xr:uid="{00000000-0005-0000-0000-0000C4170000}"/>
    <cellStyle name="40% - Akzent5 111_2012-2019" xfId="11949" xr:uid="{00000000-0005-0000-0000-0000C5170000}"/>
    <cellStyle name="40% - Akzent5 112" xfId="4714" xr:uid="{00000000-0005-0000-0000-0000C6170000}"/>
    <cellStyle name="40% - Akzent5 112 2" xfId="4715" xr:uid="{00000000-0005-0000-0000-0000C7170000}"/>
    <cellStyle name="40% - Akzent5 112 2 2" xfId="14133" xr:uid="{00000000-0005-0000-0000-0000C8170000}"/>
    <cellStyle name="40% - Akzent5 112 2_est. MEAT" xfId="21423" xr:uid="{00000000-0005-0000-0000-0000C9170000}"/>
    <cellStyle name="40% - Akzent5 112 3" xfId="14132" xr:uid="{00000000-0005-0000-0000-0000CA170000}"/>
    <cellStyle name="40% - Akzent5 112_2012-2019" xfId="11950" xr:uid="{00000000-0005-0000-0000-0000CB170000}"/>
    <cellStyle name="40% - Akzent5 113" xfId="4716" xr:uid="{00000000-0005-0000-0000-0000CC170000}"/>
    <cellStyle name="40% - Akzent5 113 2" xfId="4717" xr:uid="{00000000-0005-0000-0000-0000CD170000}"/>
    <cellStyle name="40% - Akzent5 113 2 2" xfId="14135" xr:uid="{00000000-0005-0000-0000-0000CE170000}"/>
    <cellStyle name="40% - Akzent5 113 2_est. MEAT" xfId="21424" xr:uid="{00000000-0005-0000-0000-0000CF170000}"/>
    <cellStyle name="40% - Akzent5 113 3" xfId="14134" xr:uid="{00000000-0005-0000-0000-0000D0170000}"/>
    <cellStyle name="40% - Akzent5 113_2012-2019" xfId="11951" xr:uid="{00000000-0005-0000-0000-0000D1170000}"/>
    <cellStyle name="40% - Akzent5 114" xfId="4718" xr:uid="{00000000-0005-0000-0000-0000D2170000}"/>
    <cellStyle name="40% - Akzent5 114 2" xfId="4719" xr:uid="{00000000-0005-0000-0000-0000D3170000}"/>
    <cellStyle name="40% - Akzent5 114 2 2" xfId="14137" xr:uid="{00000000-0005-0000-0000-0000D4170000}"/>
    <cellStyle name="40% - Akzent5 114 2_est. MEAT" xfId="21425" xr:uid="{00000000-0005-0000-0000-0000D5170000}"/>
    <cellStyle name="40% - Akzent5 114 3" xfId="14136" xr:uid="{00000000-0005-0000-0000-0000D6170000}"/>
    <cellStyle name="40% - Akzent5 114_2012-2019" xfId="11952" xr:uid="{00000000-0005-0000-0000-0000D7170000}"/>
    <cellStyle name="40% - Akzent5 115" xfId="4720" xr:uid="{00000000-0005-0000-0000-0000D8170000}"/>
    <cellStyle name="40% - Akzent5 115 2" xfId="4721" xr:uid="{00000000-0005-0000-0000-0000D9170000}"/>
    <cellStyle name="40% - Akzent5 115 2 2" xfId="14139" xr:uid="{00000000-0005-0000-0000-0000DA170000}"/>
    <cellStyle name="40% - Akzent5 115 2_est. MEAT" xfId="21426" xr:uid="{00000000-0005-0000-0000-0000DB170000}"/>
    <cellStyle name="40% - Akzent5 115 3" xfId="14138" xr:uid="{00000000-0005-0000-0000-0000DC170000}"/>
    <cellStyle name="40% - Akzent5 115_2012-2019" xfId="11953" xr:uid="{00000000-0005-0000-0000-0000DD170000}"/>
    <cellStyle name="40% - Akzent5 116" xfId="4722" xr:uid="{00000000-0005-0000-0000-0000DE170000}"/>
    <cellStyle name="40% - Akzent5 116 2" xfId="4723" xr:uid="{00000000-0005-0000-0000-0000DF170000}"/>
    <cellStyle name="40% - Akzent5 116 2 2" xfId="14141" xr:uid="{00000000-0005-0000-0000-0000E0170000}"/>
    <cellStyle name="40% - Akzent5 116 2_est. MEAT" xfId="21427" xr:uid="{00000000-0005-0000-0000-0000E1170000}"/>
    <cellStyle name="40% - Akzent5 116 3" xfId="14140" xr:uid="{00000000-0005-0000-0000-0000E2170000}"/>
    <cellStyle name="40% - Akzent5 116_2012-2019" xfId="11954" xr:uid="{00000000-0005-0000-0000-0000E3170000}"/>
    <cellStyle name="40% - Akzent5 117" xfId="4724" xr:uid="{00000000-0005-0000-0000-0000E4170000}"/>
    <cellStyle name="40% - Akzent5 117 2" xfId="4725" xr:uid="{00000000-0005-0000-0000-0000E5170000}"/>
    <cellStyle name="40% - Akzent5 117 2 2" xfId="14143" xr:uid="{00000000-0005-0000-0000-0000E6170000}"/>
    <cellStyle name="40% - Akzent5 117 2_est. MEAT" xfId="21428" xr:uid="{00000000-0005-0000-0000-0000E7170000}"/>
    <cellStyle name="40% - Akzent5 117 3" xfId="14142" xr:uid="{00000000-0005-0000-0000-0000E8170000}"/>
    <cellStyle name="40% - Akzent5 117_2012-2019" xfId="11955" xr:uid="{00000000-0005-0000-0000-0000E9170000}"/>
    <cellStyle name="40% - Akzent5 118" xfId="4726" xr:uid="{00000000-0005-0000-0000-0000EA170000}"/>
    <cellStyle name="40% - Akzent5 118 2" xfId="4727" xr:uid="{00000000-0005-0000-0000-0000EB170000}"/>
    <cellStyle name="40% - Akzent5 118 2 2" xfId="14145" xr:uid="{00000000-0005-0000-0000-0000EC170000}"/>
    <cellStyle name="40% - Akzent5 118 2_est. MEAT" xfId="21429" xr:uid="{00000000-0005-0000-0000-0000ED170000}"/>
    <cellStyle name="40% - Akzent5 118 3" xfId="14144" xr:uid="{00000000-0005-0000-0000-0000EE170000}"/>
    <cellStyle name="40% - Akzent5 118_2012-2019" xfId="11956" xr:uid="{00000000-0005-0000-0000-0000EF170000}"/>
    <cellStyle name="40% - Akzent5 119" xfId="4728" xr:uid="{00000000-0005-0000-0000-0000F0170000}"/>
    <cellStyle name="40% - Akzent5 119 2" xfId="4729" xr:uid="{00000000-0005-0000-0000-0000F1170000}"/>
    <cellStyle name="40% - Akzent5 119 2 2" xfId="14147" xr:uid="{00000000-0005-0000-0000-0000F2170000}"/>
    <cellStyle name="40% - Akzent5 119 2_est. MEAT" xfId="21430" xr:uid="{00000000-0005-0000-0000-0000F3170000}"/>
    <cellStyle name="40% - Akzent5 119 3" xfId="14146" xr:uid="{00000000-0005-0000-0000-0000F4170000}"/>
    <cellStyle name="40% - Akzent5 119_2012-2019" xfId="11957" xr:uid="{00000000-0005-0000-0000-0000F5170000}"/>
    <cellStyle name="40% - Akzent5 12" xfId="4730" xr:uid="{00000000-0005-0000-0000-0000F6170000}"/>
    <cellStyle name="40% - Akzent5 12 2" xfId="4731" xr:uid="{00000000-0005-0000-0000-0000F7170000}"/>
    <cellStyle name="40% - Akzent5 12 2 2" xfId="14149" xr:uid="{00000000-0005-0000-0000-0000F8170000}"/>
    <cellStyle name="40% - Akzent5 12 2_est. MEAT" xfId="21431" xr:uid="{00000000-0005-0000-0000-0000F9170000}"/>
    <cellStyle name="40% - Akzent5 12 3" xfId="14148" xr:uid="{00000000-0005-0000-0000-0000FA170000}"/>
    <cellStyle name="40% - Akzent5 12_2012-2019" xfId="11958" xr:uid="{00000000-0005-0000-0000-0000FB170000}"/>
    <cellStyle name="40% - Akzent5 120" xfId="4732" xr:uid="{00000000-0005-0000-0000-0000FC170000}"/>
    <cellStyle name="40% - Akzent5 120 2" xfId="4733" xr:uid="{00000000-0005-0000-0000-0000FD170000}"/>
    <cellStyle name="40% - Akzent5 120 2 2" xfId="14151" xr:uid="{00000000-0005-0000-0000-0000FE170000}"/>
    <cellStyle name="40% - Akzent5 120 2_est. MEAT" xfId="21432" xr:uid="{00000000-0005-0000-0000-0000FF170000}"/>
    <cellStyle name="40% - Akzent5 120 3" xfId="14150" xr:uid="{00000000-0005-0000-0000-000000180000}"/>
    <cellStyle name="40% - Akzent5 120_2012-2019" xfId="11959" xr:uid="{00000000-0005-0000-0000-000001180000}"/>
    <cellStyle name="40% - Akzent5 121" xfId="4734" xr:uid="{00000000-0005-0000-0000-000002180000}"/>
    <cellStyle name="40% - Akzent5 121 2" xfId="4735" xr:uid="{00000000-0005-0000-0000-000003180000}"/>
    <cellStyle name="40% - Akzent5 121 2 2" xfId="14153" xr:uid="{00000000-0005-0000-0000-000004180000}"/>
    <cellStyle name="40% - Akzent5 121 2_est. MEAT" xfId="21433" xr:uid="{00000000-0005-0000-0000-000005180000}"/>
    <cellStyle name="40% - Akzent5 121 3" xfId="14152" xr:uid="{00000000-0005-0000-0000-000006180000}"/>
    <cellStyle name="40% - Akzent5 121_2012-2019" xfId="11960" xr:uid="{00000000-0005-0000-0000-000007180000}"/>
    <cellStyle name="40% - Akzent5 122" xfId="4736" xr:uid="{00000000-0005-0000-0000-000008180000}"/>
    <cellStyle name="40% - Akzent5 122 2" xfId="4737" xr:uid="{00000000-0005-0000-0000-000009180000}"/>
    <cellStyle name="40% - Akzent5 122 2 2" xfId="14155" xr:uid="{00000000-0005-0000-0000-00000A180000}"/>
    <cellStyle name="40% - Akzent5 122 2_est. MEAT" xfId="21434" xr:uid="{00000000-0005-0000-0000-00000B180000}"/>
    <cellStyle name="40% - Akzent5 122 3" xfId="14154" xr:uid="{00000000-0005-0000-0000-00000C180000}"/>
    <cellStyle name="40% - Akzent5 122_2012-2019" xfId="11961" xr:uid="{00000000-0005-0000-0000-00000D180000}"/>
    <cellStyle name="40% - Akzent5 123" xfId="4738" xr:uid="{00000000-0005-0000-0000-00000E180000}"/>
    <cellStyle name="40% - Akzent5 123 2" xfId="4739" xr:uid="{00000000-0005-0000-0000-00000F180000}"/>
    <cellStyle name="40% - Akzent5 123 2 2" xfId="14157" xr:uid="{00000000-0005-0000-0000-000010180000}"/>
    <cellStyle name="40% - Akzent5 123 2_est. MEAT" xfId="21435" xr:uid="{00000000-0005-0000-0000-000011180000}"/>
    <cellStyle name="40% - Akzent5 123 3" xfId="14156" xr:uid="{00000000-0005-0000-0000-000012180000}"/>
    <cellStyle name="40% - Akzent5 123_2012-2019" xfId="11962" xr:uid="{00000000-0005-0000-0000-000013180000}"/>
    <cellStyle name="40% - Akzent5 124" xfId="4740" xr:uid="{00000000-0005-0000-0000-000014180000}"/>
    <cellStyle name="40% - Akzent5 124 2" xfId="4741" xr:uid="{00000000-0005-0000-0000-000015180000}"/>
    <cellStyle name="40% - Akzent5 124 2 2" xfId="14159" xr:uid="{00000000-0005-0000-0000-000016180000}"/>
    <cellStyle name="40% - Akzent5 124 2_est. MEAT" xfId="21436" xr:uid="{00000000-0005-0000-0000-000017180000}"/>
    <cellStyle name="40% - Akzent5 124 3" xfId="14158" xr:uid="{00000000-0005-0000-0000-000018180000}"/>
    <cellStyle name="40% - Akzent5 124_2012-2019" xfId="11963" xr:uid="{00000000-0005-0000-0000-000019180000}"/>
    <cellStyle name="40% - Akzent5 125" xfId="4742" xr:uid="{00000000-0005-0000-0000-00001A180000}"/>
    <cellStyle name="40% - Akzent5 125 2" xfId="4743" xr:uid="{00000000-0005-0000-0000-00001B180000}"/>
    <cellStyle name="40% - Akzent5 125 2 2" xfId="14161" xr:uid="{00000000-0005-0000-0000-00001C180000}"/>
    <cellStyle name="40% - Akzent5 125 2_est. MEAT" xfId="21437" xr:uid="{00000000-0005-0000-0000-00001D180000}"/>
    <cellStyle name="40% - Akzent5 125 3" xfId="14160" xr:uid="{00000000-0005-0000-0000-00001E180000}"/>
    <cellStyle name="40% - Akzent5 125_2012-2019" xfId="11964" xr:uid="{00000000-0005-0000-0000-00001F180000}"/>
    <cellStyle name="40% - Akzent5 126" xfId="4744" xr:uid="{00000000-0005-0000-0000-000020180000}"/>
    <cellStyle name="40% - Akzent5 126 2" xfId="4745" xr:uid="{00000000-0005-0000-0000-000021180000}"/>
    <cellStyle name="40% - Akzent5 126 2 2" xfId="14163" xr:uid="{00000000-0005-0000-0000-000022180000}"/>
    <cellStyle name="40% - Akzent5 126 2_est. MEAT" xfId="21438" xr:uid="{00000000-0005-0000-0000-000023180000}"/>
    <cellStyle name="40% - Akzent5 126 3" xfId="14162" xr:uid="{00000000-0005-0000-0000-000024180000}"/>
    <cellStyle name="40% - Akzent5 126_2012-2019" xfId="11965" xr:uid="{00000000-0005-0000-0000-000025180000}"/>
    <cellStyle name="40% - Akzent5 127" xfId="4746" xr:uid="{00000000-0005-0000-0000-000026180000}"/>
    <cellStyle name="40% - Akzent5 127 2" xfId="4747" xr:uid="{00000000-0005-0000-0000-000027180000}"/>
    <cellStyle name="40% - Akzent5 127 2 2" xfId="14165" xr:uid="{00000000-0005-0000-0000-000028180000}"/>
    <cellStyle name="40% - Akzent5 127 2_est. MEAT" xfId="21439" xr:uid="{00000000-0005-0000-0000-000029180000}"/>
    <cellStyle name="40% - Akzent5 127 3" xfId="14164" xr:uid="{00000000-0005-0000-0000-00002A180000}"/>
    <cellStyle name="40% - Akzent5 127_2012-2019" xfId="11966" xr:uid="{00000000-0005-0000-0000-00002B180000}"/>
    <cellStyle name="40% - Akzent5 128" xfId="4748" xr:uid="{00000000-0005-0000-0000-00002C180000}"/>
    <cellStyle name="40% - Akzent5 128 2" xfId="4749" xr:uid="{00000000-0005-0000-0000-00002D180000}"/>
    <cellStyle name="40% - Akzent5 128 2 2" xfId="14167" xr:uid="{00000000-0005-0000-0000-00002E180000}"/>
    <cellStyle name="40% - Akzent5 128 2_est. MEAT" xfId="21440" xr:uid="{00000000-0005-0000-0000-00002F180000}"/>
    <cellStyle name="40% - Akzent5 128 3" xfId="14166" xr:uid="{00000000-0005-0000-0000-000030180000}"/>
    <cellStyle name="40% - Akzent5 128_2012-2019" xfId="11967" xr:uid="{00000000-0005-0000-0000-000031180000}"/>
    <cellStyle name="40% - Akzent5 129" xfId="4750" xr:uid="{00000000-0005-0000-0000-000032180000}"/>
    <cellStyle name="40% - Akzent5 129 2" xfId="4751" xr:uid="{00000000-0005-0000-0000-000033180000}"/>
    <cellStyle name="40% - Akzent5 129 2 2" xfId="14169" xr:uid="{00000000-0005-0000-0000-000034180000}"/>
    <cellStyle name="40% - Akzent5 129 2_est. MEAT" xfId="21441" xr:uid="{00000000-0005-0000-0000-000035180000}"/>
    <cellStyle name="40% - Akzent5 129 3" xfId="14168" xr:uid="{00000000-0005-0000-0000-000036180000}"/>
    <cellStyle name="40% - Akzent5 129_2012-2019" xfId="11968" xr:uid="{00000000-0005-0000-0000-000037180000}"/>
    <cellStyle name="40% - Akzent5 13" xfId="4752" xr:uid="{00000000-0005-0000-0000-000038180000}"/>
    <cellStyle name="40% - Akzent5 13 2" xfId="4753" xr:uid="{00000000-0005-0000-0000-000039180000}"/>
    <cellStyle name="40% - Akzent5 13 2 2" xfId="14171" xr:uid="{00000000-0005-0000-0000-00003A180000}"/>
    <cellStyle name="40% - Akzent5 13 2_est. MEAT" xfId="21442" xr:uid="{00000000-0005-0000-0000-00003B180000}"/>
    <cellStyle name="40% - Akzent5 13 3" xfId="14170" xr:uid="{00000000-0005-0000-0000-00003C180000}"/>
    <cellStyle name="40% - Akzent5 13_2012-2019" xfId="11969" xr:uid="{00000000-0005-0000-0000-00003D180000}"/>
    <cellStyle name="40% - Akzent5 130" xfId="4754" xr:uid="{00000000-0005-0000-0000-00003E180000}"/>
    <cellStyle name="40% - Akzent5 130 2" xfId="4755" xr:uid="{00000000-0005-0000-0000-00003F180000}"/>
    <cellStyle name="40% - Akzent5 130 2 2" xfId="14173" xr:uid="{00000000-0005-0000-0000-000040180000}"/>
    <cellStyle name="40% - Akzent5 130 2_est. MEAT" xfId="21443" xr:uid="{00000000-0005-0000-0000-000041180000}"/>
    <cellStyle name="40% - Akzent5 130 3" xfId="14172" xr:uid="{00000000-0005-0000-0000-000042180000}"/>
    <cellStyle name="40% - Akzent5 130_2012-2019" xfId="11970" xr:uid="{00000000-0005-0000-0000-000043180000}"/>
    <cellStyle name="40% - Akzent5 131" xfId="4756" xr:uid="{00000000-0005-0000-0000-000044180000}"/>
    <cellStyle name="40% - Akzent5 131 2" xfId="4757" xr:uid="{00000000-0005-0000-0000-000045180000}"/>
    <cellStyle name="40% - Akzent5 131 2 2" xfId="14175" xr:uid="{00000000-0005-0000-0000-000046180000}"/>
    <cellStyle name="40% - Akzent5 131 2_est. MEAT" xfId="21444" xr:uid="{00000000-0005-0000-0000-000047180000}"/>
    <cellStyle name="40% - Akzent5 131 3" xfId="14174" xr:uid="{00000000-0005-0000-0000-000048180000}"/>
    <cellStyle name="40% - Akzent5 131_2012-2019" xfId="11971" xr:uid="{00000000-0005-0000-0000-000049180000}"/>
    <cellStyle name="40% - Akzent5 132" xfId="4758" xr:uid="{00000000-0005-0000-0000-00004A180000}"/>
    <cellStyle name="40% - Akzent5 132 2" xfId="4759" xr:uid="{00000000-0005-0000-0000-00004B180000}"/>
    <cellStyle name="40% - Akzent5 132 2 2" xfId="14177" xr:uid="{00000000-0005-0000-0000-00004C180000}"/>
    <cellStyle name="40% - Akzent5 132 2_est. MEAT" xfId="21445" xr:uid="{00000000-0005-0000-0000-00004D180000}"/>
    <cellStyle name="40% - Akzent5 132 3" xfId="14176" xr:uid="{00000000-0005-0000-0000-00004E180000}"/>
    <cellStyle name="40% - Akzent5 132_2012-2019" xfId="11972" xr:uid="{00000000-0005-0000-0000-00004F180000}"/>
    <cellStyle name="40% - Akzent5 133" xfId="4760" xr:uid="{00000000-0005-0000-0000-000050180000}"/>
    <cellStyle name="40% - Akzent5 133 2" xfId="4761" xr:uid="{00000000-0005-0000-0000-000051180000}"/>
    <cellStyle name="40% - Akzent5 133 2 2" xfId="14179" xr:uid="{00000000-0005-0000-0000-000052180000}"/>
    <cellStyle name="40% - Akzent5 133 2_est. MEAT" xfId="21446" xr:uid="{00000000-0005-0000-0000-000053180000}"/>
    <cellStyle name="40% - Akzent5 133 3" xfId="14178" xr:uid="{00000000-0005-0000-0000-000054180000}"/>
    <cellStyle name="40% - Akzent5 133_2012-2019" xfId="11973" xr:uid="{00000000-0005-0000-0000-000055180000}"/>
    <cellStyle name="40% - Akzent5 134" xfId="4762" xr:uid="{00000000-0005-0000-0000-000056180000}"/>
    <cellStyle name="40% - Akzent5 134 2" xfId="4763" xr:uid="{00000000-0005-0000-0000-000057180000}"/>
    <cellStyle name="40% - Akzent5 134 2 2" xfId="14181" xr:uid="{00000000-0005-0000-0000-000058180000}"/>
    <cellStyle name="40% - Akzent5 134 2_est. MEAT" xfId="21447" xr:uid="{00000000-0005-0000-0000-000059180000}"/>
    <cellStyle name="40% - Akzent5 134 3" xfId="14180" xr:uid="{00000000-0005-0000-0000-00005A180000}"/>
    <cellStyle name="40% - Akzent5 134_2012-2019" xfId="11974" xr:uid="{00000000-0005-0000-0000-00005B180000}"/>
    <cellStyle name="40% - Akzent5 135" xfId="4764" xr:uid="{00000000-0005-0000-0000-00005C180000}"/>
    <cellStyle name="40% - Akzent5 135 2" xfId="4765" xr:uid="{00000000-0005-0000-0000-00005D180000}"/>
    <cellStyle name="40% - Akzent5 135 2 2" xfId="14183" xr:uid="{00000000-0005-0000-0000-00005E180000}"/>
    <cellStyle name="40% - Akzent5 135 2_est. MEAT" xfId="21448" xr:uid="{00000000-0005-0000-0000-00005F180000}"/>
    <cellStyle name="40% - Akzent5 135 3" xfId="14182" xr:uid="{00000000-0005-0000-0000-000060180000}"/>
    <cellStyle name="40% - Akzent5 135_2012-2019" xfId="11975" xr:uid="{00000000-0005-0000-0000-000061180000}"/>
    <cellStyle name="40% - Akzent5 136" xfId="4766" xr:uid="{00000000-0005-0000-0000-000062180000}"/>
    <cellStyle name="40% - Akzent5 136 2" xfId="4767" xr:uid="{00000000-0005-0000-0000-000063180000}"/>
    <cellStyle name="40% - Akzent5 136 2 2" xfId="14185" xr:uid="{00000000-0005-0000-0000-000064180000}"/>
    <cellStyle name="40% - Akzent5 136 2_est. MEAT" xfId="21449" xr:uid="{00000000-0005-0000-0000-000065180000}"/>
    <cellStyle name="40% - Akzent5 136 3" xfId="14184" xr:uid="{00000000-0005-0000-0000-000066180000}"/>
    <cellStyle name="40% - Akzent5 136_2012-2019" xfId="11976" xr:uid="{00000000-0005-0000-0000-000067180000}"/>
    <cellStyle name="40% - Akzent5 137" xfId="4768" xr:uid="{00000000-0005-0000-0000-000068180000}"/>
    <cellStyle name="40% - Akzent5 137 2" xfId="4769" xr:uid="{00000000-0005-0000-0000-000069180000}"/>
    <cellStyle name="40% - Akzent5 137 2 2" xfId="14187" xr:uid="{00000000-0005-0000-0000-00006A180000}"/>
    <cellStyle name="40% - Akzent5 137 2_est. MEAT" xfId="21450" xr:uid="{00000000-0005-0000-0000-00006B180000}"/>
    <cellStyle name="40% - Akzent5 137 3" xfId="14186" xr:uid="{00000000-0005-0000-0000-00006C180000}"/>
    <cellStyle name="40% - Akzent5 137_2012-2019" xfId="11977" xr:uid="{00000000-0005-0000-0000-00006D180000}"/>
    <cellStyle name="40% - Akzent5 138" xfId="4770" xr:uid="{00000000-0005-0000-0000-00006E180000}"/>
    <cellStyle name="40% - Akzent5 138 2" xfId="4771" xr:uid="{00000000-0005-0000-0000-00006F180000}"/>
    <cellStyle name="40% - Akzent5 138 2 2" xfId="14189" xr:uid="{00000000-0005-0000-0000-000070180000}"/>
    <cellStyle name="40% - Akzent5 138 2_est. MEAT" xfId="21451" xr:uid="{00000000-0005-0000-0000-000071180000}"/>
    <cellStyle name="40% - Akzent5 138 3" xfId="14188" xr:uid="{00000000-0005-0000-0000-000072180000}"/>
    <cellStyle name="40% - Akzent5 138_2012-2019" xfId="11978" xr:uid="{00000000-0005-0000-0000-000073180000}"/>
    <cellStyle name="40% - Akzent5 139" xfId="4772" xr:uid="{00000000-0005-0000-0000-000074180000}"/>
    <cellStyle name="40% - Akzent5 139 2" xfId="4773" xr:uid="{00000000-0005-0000-0000-000075180000}"/>
    <cellStyle name="40% - Akzent5 139 2 2" xfId="14191" xr:uid="{00000000-0005-0000-0000-000076180000}"/>
    <cellStyle name="40% - Akzent5 139 2_est. MEAT" xfId="21452" xr:uid="{00000000-0005-0000-0000-000077180000}"/>
    <cellStyle name="40% - Akzent5 139 3" xfId="14190" xr:uid="{00000000-0005-0000-0000-000078180000}"/>
    <cellStyle name="40% - Akzent5 139_2012-2019" xfId="11979" xr:uid="{00000000-0005-0000-0000-000079180000}"/>
    <cellStyle name="40% - Akzent5 14" xfId="4774" xr:uid="{00000000-0005-0000-0000-00007A180000}"/>
    <cellStyle name="40% - Akzent5 14 2" xfId="4775" xr:uid="{00000000-0005-0000-0000-00007B180000}"/>
    <cellStyle name="40% - Akzent5 14 2 2" xfId="14193" xr:uid="{00000000-0005-0000-0000-00007C180000}"/>
    <cellStyle name="40% - Akzent5 14 2_est. MEAT" xfId="21453" xr:uid="{00000000-0005-0000-0000-00007D180000}"/>
    <cellStyle name="40% - Akzent5 14 3" xfId="14192" xr:uid="{00000000-0005-0000-0000-00007E180000}"/>
    <cellStyle name="40% - Akzent5 14_2012-2019" xfId="11980" xr:uid="{00000000-0005-0000-0000-00007F180000}"/>
    <cellStyle name="40% - Akzent5 140" xfId="4776" xr:uid="{00000000-0005-0000-0000-000080180000}"/>
    <cellStyle name="40% - Akzent5 140 2" xfId="4777" xr:uid="{00000000-0005-0000-0000-000081180000}"/>
    <cellStyle name="40% - Akzent5 140 2 2" xfId="14195" xr:uid="{00000000-0005-0000-0000-000082180000}"/>
    <cellStyle name="40% - Akzent5 140 2_est. MEAT" xfId="21454" xr:uid="{00000000-0005-0000-0000-000083180000}"/>
    <cellStyle name="40% - Akzent5 140 3" xfId="14194" xr:uid="{00000000-0005-0000-0000-000084180000}"/>
    <cellStyle name="40% - Akzent5 140_2012-2019" xfId="11981" xr:uid="{00000000-0005-0000-0000-000085180000}"/>
    <cellStyle name="40% - Akzent5 141" xfId="4778" xr:uid="{00000000-0005-0000-0000-000086180000}"/>
    <cellStyle name="40% - Akzent5 141 2" xfId="4779" xr:uid="{00000000-0005-0000-0000-000087180000}"/>
    <cellStyle name="40% - Akzent5 141 2 2" xfId="14197" xr:uid="{00000000-0005-0000-0000-000088180000}"/>
    <cellStyle name="40% - Akzent5 141 2_est. MEAT" xfId="21455" xr:uid="{00000000-0005-0000-0000-000089180000}"/>
    <cellStyle name="40% - Akzent5 141 3" xfId="14196" xr:uid="{00000000-0005-0000-0000-00008A180000}"/>
    <cellStyle name="40% - Akzent5 141_2012-2019" xfId="11982" xr:uid="{00000000-0005-0000-0000-00008B180000}"/>
    <cellStyle name="40% - Akzent5 142" xfId="4780" xr:uid="{00000000-0005-0000-0000-00008C180000}"/>
    <cellStyle name="40% - Akzent5 142 2" xfId="4781" xr:uid="{00000000-0005-0000-0000-00008D180000}"/>
    <cellStyle name="40% - Akzent5 142 2 2" xfId="14199" xr:uid="{00000000-0005-0000-0000-00008E180000}"/>
    <cellStyle name="40% - Akzent5 142 2_est. MEAT" xfId="21456" xr:uid="{00000000-0005-0000-0000-00008F180000}"/>
    <cellStyle name="40% - Akzent5 142 3" xfId="14198" xr:uid="{00000000-0005-0000-0000-000090180000}"/>
    <cellStyle name="40% - Akzent5 142_2012-2019" xfId="11983" xr:uid="{00000000-0005-0000-0000-000091180000}"/>
    <cellStyle name="40% - Akzent5 143" xfId="4782" xr:uid="{00000000-0005-0000-0000-000092180000}"/>
    <cellStyle name="40% - Akzent5 143 2" xfId="4783" xr:uid="{00000000-0005-0000-0000-000093180000}"/>
    <cellStyle name="40% - Akzent5 143 2 2" xfId="14201" xr:uid="{00000000-0005-0000-0000-000094180000}"/>
    <cellStyle name="40% - Akzent5 143 2_est. MEAT" xfId="21457" xr:uid="{00000000-0005-0000-0000-000095180000}"/>
    <cellStyle name="40% - Akzent5 143 3" xfId="14200" xr:uid="{00000000-0005-0000-0000-000096180000}"/>
    <cellStyle name="40% - Akzent5 143_2012-2019" xfId="11984" xr:uid="{00000000-0005-0000-0000-000097180000}"/>
    <cellStyle name="40% - Akzent5 144" xfId="4784" xr:uid="{00000000-0005-0000-0000-000098180000}"/>
    <cellStyle name="40% - Akzent5 144 2" xfId="4785" xr:uid="{00000000-0005-0000-0000-000099180000}"/>
    <cellStyle name="40% - Akzent5 144 2 2" xfId="14203" xr:uid="{00000000-0005-0000-0000-00009A180000}"/>
    <cellStyle name="40% - Akzent5 144 2_est. MEAT" xfId="21458" xr:uid="{00000000-0005-0000-0000-00009B180000}"/>
    <cellStyle name="40% - Akzent5 144 3" xfId="14202" xr:uid="{00000000-0005-0000-0000-00009C180000}"/>
    <cellStyle name="40% - Akzent5 144_2012-2019" xfId="11985" xr:uid="{00000000-0005-0000-0000-00009D180000}"/>
    <cellStyle name="40% - Akzent5 145" xfId="4786" xr:uid="{00000000-0005-0000-0000-00009E180000}"/>
    <cellStyle name="40% - Akzent5 145 2" xfId="4787" xr:uid="{00000000-0005-0000-0000-00009F180000}"/>
    <cellStyle name="40% - Akzent5 145 2 2" xfId="14205" xr:uid="{00000000-0005-0000-0000-0000A0180000}"/>
    <cellStyle name="40% - Akzent5 145 2_est. MEAT" xfId="21459" xr:uid="{00000000-0005-0000-0000-0000A1180000}"/>
    <cellStyle name="40% - Akzent5 145 3" xfId="14204" xr:uid="{00000000-0005-0000-0000-0000A2180000}"/>
    <cellStyle name="40% - Akzent5 145_2012-2019" xfId="11986" xr:uid="{00000000-0005-0000-0000-0000A3180000}"/>
    <cellStyle name="40% - Akzent5 146" xfId="4788" xr:uid="{00000000-0005-0000-0000-0000A4180000}"/>
    <cellStyle name="40% - Akzent5 146 2" xfId="4789" xr:uid="{00000000-0005-0000-0000-0000A5180000}"/>
    <cellStyle name="40% - Akzent5 146 2 2" xfId="14207" xr:uid="{00000000-0005-0000-0000-0000A6180000}"/>
    <cellStyle name="40% - Akzent5 146 2_est. MEAT" xfId="21460" xr:uid="{00000000-0005-0000-0000-0000A7180000}"/>
    <cellStyle name="40% - Akzent5 146 3" xfId="14206" xr:uid="{00000000-0005-0000-0000-0000A8180000}"/>
    <cellStyle name="40% - Akzent5 146_2012-2019" xfId="11987" xr:uid="{00000000-0005-0000-0000-0000A9180000}"/>
    <cellStyle name="40% - Akzent5 147" xfId="4790" xr:uid="{00000000-0005-0000-0000-0000AA180000}"/>
    <cellStyle name="40% - Akzent5 147 2" xfId="4791" xr:uid="{00000000-0005-0000-0000-0000AB180000}"/>
    <cellStyle name="40% - Akzent5 147 2 2" xfId="14209" xr:uid="{00000000-0005-0000-0000-0000AC180000}"/>
    <cellStyle name="40% - Akzent5 147 2_est. MEAT" xfId="21461" xr:uid="{00000000-0005-0000-0000-0000AD180000}"/>
    <cellStyle name="40% - Akzent5 147 3" xfId="14208" xr:uid="{00000000-0005-0000-0000-0000AE180000}"/>
    <cellStyle name="40% - Akzent5 147_2012-2019" xfId="11988" xr:uid="{00000000-0005-0000-0000-0000AF180000}"/>
    <cellStyle name="40% - Akzent5 148" xfId="4792" xr:uid="{00000000-0005-0000-0000-0000B0180000}"/>
    <cellStyle name="40% - Akzent5 148 2" xfId="4793" xr:uid="{00000000-0005-0000-0000-0000B1180000}"/>
    <cellStyle name="40% - Akzent5 148 2 2" xfId="14211" xr:uid="{00000000-0005-0000-0000-0000B2180000}"/>
    <cellStyle name="40% - Akzent5 148 2_est. MEAT" xfId="21462" xr:uid="{00000000-0005-0000-0000-0000B3180000}"/>
    <cellStyle name="40% - Akzent5 148 3" xfId="14210" xr:uid="{00000000-0005-0000-0000-0000B4180000}"/>
    <cellStyle name="40% - Akzent5 148_2012-2019" xfId="11989" xr:uid="{00000000-0005-0000-0000-0000B5180000}"/>
    <cellStyle name="40% - Akzent5 149" xfId="4794" xr:uid="{00000000-0005-0000-0000-0000B6180000}"/>
    <cellStyle name="40% - Akzent5 149 2" xfId="4795" xr:uid="{00000000-0005-0000-0000-0000B7180000}"/>
    <cellStyle name="40% - Akzent5 149 2 2" xfId="14213" xr:uid="{00000000-0005-0000-0000-0000B8180000}"/>
    <cellStyle name="40% - Akzent5 149 2_est. MEAT" xfId="21463" xr:uid="{00000000-0005-0000-0000-0000B9180000}"/>
    <cellStyle name="40% - Akzent5 149 3" xfId="14212" xr:uid="{00000000-0005-0000-0000-0000BA180000}"/>
    <cellStyle name="40% - Akzent5 149_2012-2019" xfId="11990" xr:uid="{00000000-0005-0000-0000-0000BB180000}"/>
    <cellStyle name="40% - Akzent5 15" xfId="4796" xr:uid="{00000000-0005-0000-0000-0000BC180000}"/>
    <cellStyle name="40% - Akzent5 15 2" xfId="4797" xr:uid="{00000000-0005-0000-0000-0000BD180000}"/>
    <cellStyle name="40% - Akzent5 15 2 2" xfId="14215" xr:uid="{00000000-0005-0000-0000-0000BE180000}"/>
    <cellStyle name="40% - Akzent5 15 2_est. MEAT" xfId="21464" xr:uid="{00000000-0005-0000-0000-0000BF180000}"/>
    <cellStyle name="40% - Akzent5 15 3" xfId="14214" xr:uid="{00000000-0005-0000-0000-0000C0180000}"/>
    <cellStyle name="40% - Akzent5 15_2012-2019" xfId="11991" xr:uid="{00000000-0005-0000-0000-0000C1180000}"/>
    <cellStyle name="40% - Akzent5 150" xfId="4798" xr:uid="{00000000-0005-0000-0000-0000C2180000}"/>
    <cellStyle name="40% - Akzent5 150 2" xfId="4799" xr:uid="{00000000-0005-0000-0000-0000C3180000}"/>
    <cellStyle name="40% - Akzent5 150 2 2" xfId="14217" xr:uid="{00000000-0005-0000-0000-0000C4180000}"/>
    <cellStyle name="40% - Akzent5 150 2_est. MEAT" xfId="21465" xr:uid="{00000000-0005-0000-0000-0000C5180000}"/>
    <cellStyle name="40% - Akzent5 150 3" xfId="14216" xr:uid="{00000000-0005-0000-0000-0000C6180000}"/>
    <cellStyle name="40% - Akzent5 150_2012-2019" xfId="11992" xr:uid="{00000000-0005-0000-0000-0000C7180000}"/>
    <cellStyle name="40% - Akzent5 151" xfId="4800" xr:uid="{00000000-0005-0000-0000-0000C8180000}"/>
    <cellStyle name="40% - Akzent5 151 2" xfId="4801" xr:uid="{00000000-0005-0000-0000-0000C9180000}"/>
    <cellStyle name="40% - Akzent5 151 2 2" xfId="14219" xr:uid="{00000000-0005-0000-0000-0000CA180000}"/>
    <cellStyle name="40% - Akzent5 151 2_est. MEAT" xfId="21466" xr:uid="{00000000-0005-0000-0000-0000CB180000}"/>
    <cellStyle name="40% - Akzent5 151 3" xfId="14218" xr:uid="{00000000-0005-0000-0000-0000CC180000}"/>
    <cellStyle name="40% - Akzent5 151_2012-2019" xfId="11993" xr:uid="{00000000-0005-0000-0000-0000CD180000}"/>
    <cellStyle name="40% - Akzent5 16" xfId="4802" xr:uid="{00000000-0005-0000-0000-0000CE180000}"/>
    <cellStyle name="40% - Akzent5 16 2" xfId="4803" xr:uid="{00000000-0005-0000-0000-0000CF180000}"/>
    <cellStyle name="40% - Akzent5 16 2 2" xfId="14221" xr:uid="{00000000-0005-0000-0000-0000D0180000}"/>
    <cellStyle name="40% - Akzent5 16 2_est. MEAT" xfId="21467" xr:uid="{00000000-0005-0000-0000-0000D1180000}"/>
    <cellStyle name="40% - Akzent5 16 3" xfId="14220" xr:uid="{00000000-0005-0000-0000-0000D2180000}"/>
    <cellStyle name="40% - Akzent5 16_2012-2019" xfId="11994" xr:uid="{00000000-0005-0000-0000-0000D3180000}"/>
    <cellStyle name="40% - Akzent5 17" xfId="4804" xr:uid="{00000000-0005-0000-0000-0000D4180000}"/>
    <cellStyle name="40% - Akzent5 17 2" xfId="4805" xr:uid="{00000000-0005-0000-0000-0000D5180000}"/>
    <cellStyle name="40% - Akzent5 17 2 2" xfId="14223" xr:uid="{00000000-0005-0000-0000-0000D6180000}"/>
    <cellStyle name="40% - Akzent5 17 2_est. MEAT" xfId="21468" xr:uid="{00000000-0005-0000-0000-0000D7180000}"/>
    <cellStyle name="40% - Akzent5 17 3" xfId="14222" xr:uid="{00000000-0005-0000-0000-0000D8180000}"/>
    <cellStyle name="40% - Akzent5 17_2012-2019" xfId="11995" xr:uid="{00000000-0005-0000-0000-0000D9180000}"/>
    <cellStyle name="40% - Akzent5 18" xfId="4806" xr:uid="{00000000-0005-0000-0000-0000DA180000}"/>
    <cellStyle name="40% - Akzent5 18 2" xfId="4807" xr:uid="{00000000-0005-0000-0000-0000DB180000}"/>
    <cellStyle name="40% - Akzent5 18 2 2" xfId="14225" xr:uid="{00000000-0005-0000-0000-0000DC180000}"/>
    <cellStyle name="40% - Akzent5 18 2_est. MEAT" xfId="21469" xr:uid="{00000000-0005-0000-0000-0000DD180000}"/>
    <cellStyle name="40% - Akzent5 18 3" xfId="14224" xr:uid="{00000000-0005-0000-0000-0000DE180000}"/>
    <cellStyle name="40% - Akzent5 18_2012-2019" xfId="11996" xr:uid="{00000000-0005-0000-0000-0000DF180000}"/>
    <cellStyle name="40% - Akzent5 19" xfId="4808" xr:uid="{00000000-0005-0000-0000-0000E0180000}"/>
    <cellStyle name="40% - Akzent5 19 2" xfId="4809" xr:uid="{00000000-0005-0000-0000-0000E1180000}"/>
    <cellStyle name="40% - Akzent5 19 2 2" xfId="14227" xr:uid="{00000000-0005-0000-0000-0000E2180000}"/>
    <cellStyle name="40% - Akzent5 19 2_est. MEAT" xfId="21470" xr:uid="{00000000-0005-0000-0000-0000E3180000}"/>
    <cellStyle name="40% - Akzent5 19 3" xfId="14226" xr:uid="{00000000-0005-0000-0000-0000E4180000}"/>
    <cellStyle name="40% - Akzent5 19_2012-2019" xfId="11997" xr:uid="{00000000-0005-0000-0000-0000E5180000}"/>
    <cellStyle name="40% - Akzent5 2" xfId="4810" xr:uid="{00000000-0005-0000-0000-0000E6180000}"/>
    <cellStyle name="40% - Akzent5 2 2" xfId="4811" xr:uid="{00000000-0005-0000-0000-0000E7180000}"/>
    <cellStyle name="40% - Akzent5 2 2 2" xfId="14229" xr:uid="{00000000-0005-0000-0000-0000E8180000}"/>
    <cellStyle name="40% - Akzent5 2 2_est. MEAT" xfId="21471" xr:uid="{00000000-0005-0000-0000-0000E9180000}"/>
    <cellStyle name="40% - Akzent5 2 3" xfId="4812" xr:uid="{00000000-0005-0000-0000-0000EA180000}"/>
    <cellStyle name="40% - Akzent5 2 3 2" xfId="14230" xr:uid="{00000000-0005-0000-0000-0000EB180000}"/>
    <cellStyle name="40% - Akzent5 2 3_est. MEAT" xfId="21472" xr:uid="{00000000-0005-0000-0000-0000EC180000}"/>
    <cellStyle name="40% - Akzent5 2 4" xfId="4813" xr:uid="{00000000-0005-0000-0000-0000ED180000}"/>
    <cellStyle name="40% - Akzent5 2 4 2" xfId="4814" xr:uid="{00000000-0005-0000-0000-0000EE180000}"/>
    <cellStyle name="40% - Akzent5 2 4 2 2" xfId="14232" xr:uid="{00000000-0005-0000-0000-0000EF180000}"/>
    <cellStyle name="40% - Akzent5 2 4 2_est. MEAT" xfId="21473" xr:uid="{00000000-0005-0000-0000-0000F0180000}"/>
    <cellStyle name="40% - Akzent5 2 4 3" xfId="14231" xr:uid="{00000000-0005-0000-0000-0000F1180000}"/>
    <cellStyle name="40% - Akzent5 2 4_2012-2019" xfId="11999" xr:uid="{00000000-0005-0000-0000-0000F2180000}"/>
    <cellStyle name="40% - Akzent5 2 5" xfId="4815" xr:uid="{00000000-0005-0000-0000-0000F3180000}"/>
    <cellStyle name="40% - Akzent5 2 5 2" xfId="14233" xr:uid="{00000000-0005-0000-0000-0000F4180000}"/>
    <cellStyle name="40% - Akzent5 2 5_est. MEAT" xfId="21474" xr:uid="{00000000-0005-0000-0000-0000F5180000}"/>
    <cellStyle name="40% - Akzent5 2 6" xfId="14228" xr:uid="{00000000-0005-0000-0000-0000F6180000}"/>
    <cellStyle name="40% - Akzent5 2_2012-2019" xfId="11998" xr:uid="{00000000-0005-0000-0000-0000F7180000}"/>
    <cellStyle name="40% - Akzent5 20" xfId="4816" xr:uid="{00000000-0005-0000-0000-0000F8180000}"/>
    <cellStyle name="40% - Akzent5 20 2" xfId="4817" xr:uid="{00000000-0005-0000-0000-0000F9180000}"/>
    <cellStyle name="40% - Akzent5 20 2 2" xfId="14235" xr:uid="{00000000-0005-0000-0000-0000FA180000}"/>
    <cellStyle name="40% - Akzent5 20 2_est. MEAT" xfId="21475" xr:uid="{00000000-0005-0000-0000-0000FB180000}"/>
    <cellStyle name="40% - Akzent5 20 3" xfId="14234" xr:uid="{00000000-0005-0000-0000-0000FC180000}"/>
    <cellStyle name="40% - Akzent5 20_2012-2019" xfId="12000" xr:uid="{00000000-0005-0000-0000-0000FD180000}"/>
    <cellStyle name="40% - Akzent5 21" xfId="4818" xr:uid="{00000000-0005-0000-0000-0000FE180000}"/>
    <cellStyle name="40% - Akzent5 21 2" xfId="4819" xr:uid="{00000000-0005-0000-0000-0000FF180000}"/>
    <cellStyle name="40% - Akzent5 21 2 2" xfId="14237" xr:uid="{00000000-0005-0000-0000-000000190000}"/>
    <cellStyle name="40% - Akzent5 21 2_est. MEAT" xfId="21476" xr:uid="{00000000-0005-0000-0000-000001190000}"/>
    <cellStyle name="40% - Akzent5 21 3" xfId="14236" xr:uid="{00000000-0005-0000-0000-000002190000}"/>
    <cellStyle name="40% - Akzent5 21_2012-2019" xfId="12001" xr:uid="{00000000-0005-0000-0000-000003190000}"/>
    <cellStyle name="40% - Akzent5 22" xfId="4820" xr:uid="{00000000-0005-0000-0000-000004190000}"/>
    <cellStyle name="40% - Akzent5 22 2" xfId="4821" xr:uid="{00000000-0005-0000-0000-000005190000}"/>
    <cellStyle name="40% - Akzent5 22 2 2" xfId="14239" xr:uid="{00000000-0005-0000-0000-000006190000}"/>
    <cellStyle name="40% - Akzent5 22 2_est. MEAT" xfId="21477" xr:uid="{00000000-0005-0000-0000-000007190000}"/>
    <cellStyle name="40% - Akzent5 22 3" xfId="14238" xr:uid="{00000000-0005-0000-0000-000008190000}"/>
    <cellStyle name="40% - Akzent5 22_2012-2019" xfId="12002" xr:uid="{00000000-0005-0000-0000-000009190000}"/>
    <cellStyle name="40% - Akzent5 23" xfId="4822" xr:uid="{00000000-0005-0000-0000-00000A190000}"/>
    <cellStyle name="40% - Akzent5 23 2" xfId="4823" xr:uid="{00000000-0005-0000-0000-00000B190000}"/>
    <cellStyle name="40% - Akzent5 23 2 2" xfId="14241" xr:uid="{00000000-0005-0000-0000-00000C190000}"/>
    <cellStyle name="40% - Akzent5 23 2_est. MEAT" xfId="21478" xr:uid="{00000000-0005-0000-0000-00000D190000}"/>
    <cellStyle name="40% - Akzent5 23 3" xfId="14240" xr:uid="{00000000-0005-0000-0000-00000E190000}"/>
    <cellStyle name="40% - Akzent5 23_2012-2019" xfId="12003" xr:uid="{00000000-0005-0000-0000-00000F190000}"/>
    <cellStyle name="40% - Akzent5 24" xfId="4824" xr:uid="{00000000-0005-0000-0000-000010190000}"/>
    <cellStyle name="40% - Akzent5 24 2" xfId="4825" xr:uid="{00000000-0005-0000-0000-000011190000}"/>
    <cellStyle name="40% - Akzent5 24 2 2" xfId="14243" xr:uid="{00000000-0005-0000-0000-000012190000}"/>
    <cellStyle name="40% - Akzent5 24 2_est. MEAT" xfId="21479" xr:uid="{00000000-0005-0000-0000-000013190000}"/>
    <cellStyle name="40% - Akzent5 24 3" xfId="14242" xr:uid="{00000000-0005-0000-0000-000014190000}"/>
    <cellStyle name="40% - Akzent5 24_2012-2019" xfId="12004" xr:uid="{00000000-0005-0000-0000-000015190000}"/>
    <cellStyle name="40% - Akzent5 25" xfId="4826" xr:uid="{00000000-0005-0000-0000-000016190000}"/>
    <cellStyle name="40% - Akzent5 25 2" xfId="4827" xr:uid="{00000000-0005-0000-0000-000017190000}"/>
    <cellStyle name="40% - Akzent5 25 2 2" xfId="14245" xr:uid="{00000000-0005-0000-0000-000018190000}"/>
    <cellStyle name="40% - Akzent5 25 2_est. MEAT" xfId="21480" xr:uid="{00000000-0005-0000-0000-000019190000}"/>
    <cellStyle name="40% - Akzent5 25 3" xfId="14244" xr:uid="{00000000-0005-0000-0000-00001A190000}"/>
    <cellStyle name="40% - Akzent5 25_2012-2019" xfId="12005" xr:uid="{00000000-0005-0000-0000-00001B190000}"/>
    <cellStyle name="40% - Akzent5 26" xfId="4828" xr:uid="{00000000-0005-0000-0000-00001C190000}"/>
    <cellStyle name="40% - Akzent5 26 2" xfId="4829" xr:uid="{00000000-0005-0000-0000-00001D190000}"/>
    <cellStyle name="40% - Akzent5 26 2 2" xfId="14247" xr:uid="{00000000-0005-0000-0000-00001E190000}"/>
    <cellStyle name="40% - Akzent5 26 2_est. MEAT" xfId="21481" xr:uid="{00000000-0005-0000-0000-00001F190000}"/>
    <cellStyle name="40% - Akzent5 26 3" xfId="14246" xr:uid="{00000000-0005-0000-0000-000020190000}"/>
    <cellStyle name="40% - Akzent5 26_2012-2019" xfId="12006" xr:uid="{00000000-0005-0000-0000-000021190000}"/>
    <cellStyle name="40% - Akzent5 27" xfId="4830" xr:uid="{00000000-0005-0000-0000-000022190000}"/>
    <cellStyle name="40% - Akzent5 27 2" xfId="4831" xr:uid="{00000000-0005-0000-0000-000023190000}"/>
    <cellStyle name="40% - Akzent5 27 2 2" xfId="14249" xr:uid="{00000000-0005-0000-0000-000024190000}"/>
    <cellStyle name="40% - Akzent5 27 2_est. MEAT" xfId="21482" xr:uid="{00000000-0005-0000-0000-000025190000}"/>
    <cellStyle name="40% - Akzent5 27 3" xfId="14248" xr:uid="{00000000-0005-0000-0000-000026190000}"/>
    <cellStyle name="40% - Akzent5 27_2012-2019" xfId="12007" xr:uid="{00000000-0005-0000-0000-000027190000}"/>
    <cellStyle name="40% - Akzent5 28" xfId="4832" xr:uid="{00000000-0005-0000-0000-000028190000}"/>
    <cellStyle name="40% - Akzent5 28 2" xfId="4833" xr:uid="{00000000-0005-0000-0000-000029190000}"/>
    <cellStyle name="40% - Akzent5 28 2 2" xfId="14251" xr:uid="{00000000-0005-0000-0000-00002A190000}"/>
    <cellStyle name="40% - Akzent5 28 2_est. MEAT" xfId="21483" xr:uid="{00000000-0005-0000-0000-00002B190000}"/>
    <cellStyle name="40% - Akzent5 28 3" xfId="14250" xr:uid="{00000000-0005-0000-0000-00002C190000}"/>
    <cellStyle name="40% - Akzent5 28_2012-2019" xfId="12008" xr:uid="{00000000-0005-0000-0000-00002D190000}"/>
    <cellStyle name="40% - Akzent5 29" xfId="4834" xr:uid="{00000000-0005-0000-0000-00002E190000}"/>
    <cellStyle name="40% - Akzent5 29 2" xfId="4835" xr:uid="{00000000-0005-0000-0000-00002F190000}"/>
    <cellStyle name="40% - Akzent5 29 2 2" xfId="14253" xr:uid="{00000000-0005-0000-0000-000030190000}"/>
    <cellStyle name="40% - Akzent5 29 2_est. MEAT" xfId="21484" xr:uid="{00000000-0005-0000-0000-000031190000}"/>
    <cellStyle name="40% - Akzent5 29 3" xfId="14252" xr:uid="{00000000-0005-0000-0000-000032190000}"/>
    <cellStyle name="40% - Akzent5 29_2012-2019" xfId="12009" xr:uid="{00000000-0005-0000-0000-000033190000}"/>
    <cellStyle name="40% - Akzent5 3" xfId="4836" xr:uid="{00000000-0005-0000-0000-000034190000}"/>
    <cellStyle name="40% - Akzent5 3 2" xfId="4837" xr:uid="{00000000-0005-0000-0000-000035190000}"/>
    <cellStyle name="40% - Akzent5 3 2 2" xfId="14255" xr:uid="{00000000-0005-0000-0000-000036190000}"/>
    <cellStyle name="40% - Akzent5 3 2_est. MEAT" xfId="21485" xr:uid="{00000000-0005-0000-0000-000037190000}"/>
    <cellStyle name="40% - Akzent5 3 3" xfId="4838" xr:uid="{00000000-0005-0000-0000-000038190000}"/>
    <cellStyle name="40% - Akzent5 3 3 2" xfId="14256" xr:uid="{00000000-0005-0000-0000-000039190000}"/>
    <cellStyle name="40% - Akzent5 3 3_est. MEAT" xfId="21486" xr:uid="{00000000-0005-0000-0000-00003A190000}"/>
    <cellStyle name="40% - Akzent5 3 4" xfId="4839" xr:uid="{00000000-0005-0000-0000-00003B190000}"/>
    <cellStyle name="40% - Akzent5 3 4 2" xfId="4840" xr:uid="{00000000-0005-0000-0000-00003C190000}"/>
    <cellStyle name="40% - Akzent5 3 4 2 2" xfId="14258" xr:uid="{00000000-0005-0000-0000-00003D190000}"/>
    <cellStyle name="40% - Akzent5 3 4 2_est. MEAT" xfId="21487" xr:uid="{00000000-0005-0000-0000-00003E190000}"/>
    <cellStyle name="40% - Akzent5 3 4 3" xfId="14257" xr:uid="{00000000-0005-0000-0000-00003F190000}"/>
    <cellStyle name="40% - Akzent5 3 4_2012-2019" xfId="12011" xr:uid="{00000000-0005-0000-0000-000040190000}"/>
    <cellStyle name="40% - Akzent5 3 5" xfId="4841" xr:uid="{00000000-0005-0000-0000-000041190000}"/>
    <cellStyle name="40% - Akzent5 3 5 2" xfId="14259" xr:uid="{00000000-0005-0000-0000-000042190000}"/>
    <cellStyle name="40% - Akzent5 3 5_est. MEAT" xfId="21488" xr:uid="{00000000-0005-0000-0000-000043190000}"/>
    <cellStyle name="40% - Akzent5 3 6" xfId="14254" xr:uid="{00000000-0005-0000-0000-000044190000}"/>
    <cellStyle name="40% - Akzent5 3_2012-2019" xfId="12010" xr:uid="{00000000-0005-0000-0000-000045190000}"/>
    <cellStyle name="40% - Akzent5 30" xfId="4842" xr:uid="{00000000-0005-0000-0000-000046190000}"/>
    <cellStyle name="40% - Akzent5 30 2" xfId="4843" xr:uid="{00000000-0005-0000-0000-000047190000}"/>
    <cellStyle name="40% - Akzent5 30 2 2" xfId="14261" xr:uid="{00000000-0005-0000-0000-000048190000}"/>
    <cellStyle name="40% - Akzent5 30 2_est. MEAT" xfId="21489" xr:uid="{00000000-0005-0000-0000-000049190000}"/>
    <cellStyle name="40% - Akzent5 30 3" xfId="14260" xr:uid="{00000000-0005-0000-0000-00004A190000}"/>
    <cellStyle name="40% - Akzent5 30_2012-2019" xfId="12012" xr:uid="{00000000-0005-0000-0000-00004B190000}"/>
    <cellStyle name="40% - Akzent5 31" xfId="4844" xr:uid="{00000000-0005-0000-0000-00004C190000}"/>
    <cellStyle name="40% - Akzent5 31 2" xfId="4845" xr:uid="{00000000-0005-0000-0000-00004D190000}"/>
    <cellStyle name="40% - Akzent5 31 2 2" xfId="14263" xr:uid="{00000000-0005-0000-0000-00004E190000}"/>
    <cellStyle name="40% - Akzent5 31 2_est. MEAT" xfId="21490" xr:uid="{00000000-0005-0000-0000-00004F190000}"/>
    <cellStyle name="40% - Akzent5 31 3" xfId="14262" xr:uid="{00000000-0005-0000-0000-000050190000}"/>
    <cellStyle name="40% - Akzent5 31_2012-2019" xfId="12013" xr:uid="{00000000-0005-0000-0000-000051190000}"/>
    <cellStyle name="40% - Akzent5 32" xfId="4846" xr:uid="{00000000-0005-0000-0000-000052190000}"/>
    <cellStyle name="40% - Akzent5 32 2" xfId="4847" xr:uid="{00000000-0005-0000-0000-000053190000}"/>
    <cellStyle name="40% - Akzent5 32 2 2" xfId="14265" xr:uid="{00000000-0005-0000-0000-000054190000}"/>
    <cellStyle name="40% - Akzent5 32 2_est. MEAT" xfId="21491" xr:uid="{00000000-0005-0000-0000-000055190000}"/>
    <cellStyle name="40% - Akzent5 32 3" xfId="14264" xr:uid="{00000000-0005-0000-0000-000056190000}"/>
    <cellStyle name="40% - Akzent5 32_2012-2019" xfId="12014" xr:uid="{00000000-0005-0000-0000-000057190000}"/>
    <cellStyle name="40% - Akzent5 33" xfId="4848" xr:uid="{00000000-0005-0000-0000-000058190000}"/>
    <cellStyle name="40% - Akzent5 33 2" xfId="4849" xr:uid="{00000000-0005-0000-0000-000059190000}"/>
    <cellStyle name="40% - Akzent5 33 2 2" xfId="14267" xr:uid="{00000000-0005-0000-0000-00005A190000}"/>
    <cellStyle name="40% - Akzent5 33 2_est. MEAT" xfId="21492" xr:uid="{00000000-0005-0000-0000-00005B190000}"/>
    <cellStyle name="40% - Akzent5 33 3" xfId="14266" xr:uid="{00000000-0005-0000-0000-00005C190000}"/>
    <cellStyle name="40% - Akzent5 33_2012-2019" xfId="12015" xr:uid="{00000000-0005-0000-0000-00005D190000}"/>
    <cellStyle name="40% - Akzent5 34" xfId="4850" xr:uid="{00000000-0005-0000-0000-00005E190000}"/>
    <cellStyle name="40% - Akzent5 34 2" xfId="4851" xr:uid="{00000000-0005-0000-0000-00005F190000}"/>
    <cellStyle name="40% - Akzent5 34 2 2" xfId="14269" xr:uid="{00000000-0005-0000-0000-000060190000}"/>
    <cellStyle name="40% - Akzent5 34 2_est. MEAT" xfId="21493" xr:uid="{00000000-0005-0000-0000-000061190000}"/>
    <cellStyle name="40% - Akzent5 34 3" xfId="14268" xr:uid="{00000000-0005-0000-0000-000062190000}"/>
    <cellStyle name="40% - Akzent5 34_2012-2019" xfId="12016" xr:uid="{00000000-0005-0000-0000-000063190000}"/>
    <cellStyle name="40% - Akzent5 35" xfId="4852" xr:uid="{00000000-0005-0000-0000-000064190000}"/>
    <cellStyle name="40% - Akzent5 35 2" xfId="4853" xr:uid="{00000000-0005-0000-0000-000065190000}"/>
    <cellStyle name="40% - Akzent5 35 2 2" xfId="14271" xr:uid="{00000000-0005-0000-0000-000066190000}"/>
    <cellStyle name="40% - Akzent5 35 2_est. MEAT" xfId="21494" xr:uid="{00000000-0005-0000-0000-000067190000}"/>
    <cellStyle name="40% - Akzent5 35 3" xfId="14270" xr:uid="{00000000-0005-0000-0000-000068190000}"/>
    <cellStyle name="40% - Akzent5 35_2012-2019" xfId="12017" xr:uid="{00000000-0005-0000-0000-000069190000}"/>
    <cellStyle name="40% - Akzent5 36" xfId="4854" xr:uid="{00000000-0005-0000-0000-00006A190000}"/>
    <cellStyle name="40% - Akzent5 36 2" xfId="4855" xr:uid="{00000000-0005-0000-0000-00006B190000}"/>
    <cellStyle name="40% - Akzent5 36 2 2" xfId="14273" xr:uid="{00000000-0005-0000-0000-00006C190000}"/>
    <cellStyle name="40% - Akzent5 36 2_est. MEAT" xfId="21495" xr:uid="{00000000-0005-0000-0000-00006D190000}"/>
    <cellStyle name="40% - Akzent5 36 3" xfId="14272" xr:uid="{00000000-0005-0000-0000-00006E190000}"/>
    <cellStyle name="40% - Akzent5 36_2012-2019" xfId="12018" xr:uid="{00000000-0005-0000-0000-00006F190000}"/>
    <cellStyle name="40% - Akzent5 37" xfId="4856" xr:uid="{00000000-0005-0000-0000-000070190000}"/>
    <cellStyle name="40% - Akzent5 37 2" xfId="4857" xr:uid="{00000000-0005-0000-0000-000071190000}"/>
    <cellStyle name="40% - Akzent5 37 2 2" xfId="14275" xr:uid="{00000000-0005-0000-0000-000072190000}"/>
    <cellStyle name="40% - Akzent5 37 2_est. MEAT" xfId="21496" xr:uid="{00000000-0005-0000-0000-000073190000}"/>
    <cellStyle name="40% - Akzent5 37 3" xfId="14274" xr:uid="{00000000-0005-0000-0000-000074190000}"/>
    <cellStyle name="40% - Akzent5 37_2012-2019" xfId="12019" xr:uid="{00000000-0005-0000-0000-000075190000}"/>
    <cellStyle name="40% - Akzent5 38" xfId="4858" xr:uid="{00000000-0005-0000-0000-000076190000}"/>
    <cellStyle name="40% - Akzent5 38 2" xfId="4859" xr:uid="{00000000-0005-0000-0000-000077190000}"/>
    <cellStyle name="40% - Akzent5 38 2 2" xfId="14277" xr:uid="{00000000-0005-0000-0000-000078190000}"/>
    <cellStyle name="40% - Akzent5 38 2_est. MEAT" xfId="21497" xr:uid="{00000000-0005-0000-0000-000079190000}"/>
    <cellStyle name="40% - Akzent5 38 3" xfId="14276" xr:uid="{00000000-0005-0000-0000-00007A190000}"/>
    <cellStyle name="40% - Akzent5 38_2012-2019" xfId="12020" xr:uid="{00000000-0005-0000-0000-00007B190000}"/>
    <cellStyle name="40% - Akzent5 39" xfId="4860" xr:uid="{00000000-0005-0000-0000-00007C190000}"/>
    <cellStyle name="40% - Akzent5 39 2" xfId="4861" xr:uid="{00000000-0005-0000-0000-00007D190000}"/>
    <cellStyle name="40% - Akzent5 39 2 2" xfId="14279" xr:uid="{00000000-0005-0000-0000-00007E190000}"/>
    <cellStyle name="40% - Akzent5 39 2_est. MEAT" xfId="21498" xr:uid="{00000000-0005-0000-0000-00007F190000}"/>
    <cellStyle name="40% - Akzent5 39 3" xfId="14278" xr:uid="{00000000-0005-0000-0000-000080190000}"/>
    <cellStyle name="40% - Akzent5 39_2012-2019" xfId="12021" xr:uid="{00000000-0005-0000-0000-000081190000}"/>
    <cellStyle name="40% - Akzent5 4" xfId="4862" xr:uid="{00000000-0005-0000-0000-000082190000}"/>
    <cellStyle name="40% - Akzent5 4 2" xfId="4863" xr:uid="{00000000-0005-0000-0000-000083190000}"/>
    <cellStyle name="40% - Akzent5 4 2 2" xfId="14281" xr:uid="{00000000-0005-0000-0000-000084190000}"/>
    <cellStyle name="40% - Akzent5 4 2_est. MEAT" xfId="21499" xr:uid="{00000000-0005-0000-0000-000085190000}"/>
    <cellStyle name="40% - Akzent5 4 3" xfId="4864" xr:uid="{00000000-0005-0000-0000-000086190000}"/>
    <cellStyle name="40% - Akzent5 4 3 2" xfId="14282" xr:uid="{00000000-0005-0000-0000-000087190000}"/>
    <cellStyle name="40% - Akzent5 4 3_est. MEAT" xfId="21500" xr:uid="{00000000-0005-0000-0000-000088190000}"/>
    <cellStyle name="40% - Akzent5 4 4" xfId="4865" xr:uid="{00000000-0005-0000-0000-000089190000}"/>
    <cellStyle name="40% - Akzent5 4 4 2" xfId="4866" xr:uid="{00000000-0005-0000-0000-00008A190000}"/>
    <cellStyle name="40% - Akzent5 4 4 2 2" xfId="14284" xr:uid="{00000000-0005-0000-0000-00008B190000}"/>
    <cellStyle name="40% - Akzent5 4 4 2_est. MEAT" xfId="21501" xr:uid="{00000000-0005-0000-0000-00008C190000}"/>
    <cellStyle name="40% - Akzent5 4 4 3" xfId="14283" xr:uid="{00000000-0005-0000-0000-00008D190000}"/>
    <cellStyle name="40% - Akzent5 4 4_2012-2019" xfId="12023" xr:uid="{00000000-0005-0000-0000-00008E190000}"/>
    <cellStyle name="40% - Akzent5 4 5" xfId="4867" xr:uid="{00000000-0005-0000-0000-00008F190000}"/>
    <cellStyle name="40% - Akzent5 4 5 2" xfId="14285" xr:uid="{00000000-0005-0000-0000-000090190000}"/>
    <cellStyle name="40% - Akzent5 4 5_est. MEAT" xfId="21502" xr:uid="{00000000-0005-0000-0000-000091190000}"/>
    <cellStyle name="40% - Akzent5 4 6" xfId="14280" xr:uid="{00000000-0005-0000-0000-000092190000}"/>
    <cellStyle name="40% - Akzent5 4_2012-2019" xfId="12022" xr:uid="{00000000-0005-0000-0000-000093190000}"/>
    <cellStyle name="40% - Akzent5 40" xfId="4868" xr:uid="{00000000-0005-0000-0000-000094190000}"/>
    <cellStyle name="40% - Akzent5 40 2" xfId="4869" xr:uid="{00000000-0005-0000-0000-000095190000}"/>
    <cellStyle name="40% - Akzent5 40 2 2" xfId="14287" xr:uid="{00000000-0005-0000-0000-000096190000}"/>
    <cellStyle name="40% - Akzent5 40 2_est. MEAT" xfId="21503" xr:uid="{00000000-0005-0000-0000-000097190000}"/>
    <cellStyle name="40% - Akzent5 40 3" xfId="14286" xr:uid="{00000000-0005-0000-0000-000098190000}"/>
    <cellStyle name="40% - Akzent5 40_2012-2019" xfId="12024" xr:uid="{00000000-0005-0000-0000-000099190000}"/>
    <cellStyle name="40% - Akzent5 41" xfId="4870" xr:uid="{00000000-0005-0000-0000-00009A190000}"/>
    <cellStyle name="40% - Akzent5 41 2" xfId="4871" xr:uid="{00000000-0005-0000-0000-00009B190000}"/>
    <cellStyle name="40% - Akzent5 41 2 2" xfId="14289" xr:uid="{00000000-0005-0000-0000-00009C190000}"/>
    <cellStyle name="40% - Akzent5 41 2_est. MEAT" xfId="21504" xr:uid="{00000000-0005-0000-0000-00009D190000}"/>
    <cellStyle name="40% - Akzent5 41 3" xfId="14288" xr:uid="{00000000-0005-0000-0000-00009E190000}"/>
    <cellStyle name="40% - Akzent5 41_2012-2019" xfId="12025" xr:uid="{00000000-0005-0000-0000-00009F190000}"/>
    <cellStyle name="40% - Akzent5 42" xfId="4872" xr:uid="{00000000-0005-0000-0000-0000A0190000}"/>
    <cellStyle name="40% - Akzent5 42 2" xfId="4873" xr:uid="{00000000-0005-0000-0000-0000A1190000}"/>
    <cellStyle name="40% - Akzent5 42 2 2" xfId="14291" xr:uid="{00000000-0005-0000-0000-0000A2190000}"/>
    <cellStyle name="40% - Akzent5 42 2_est. MEAT" xfId="21505" xr:uid="{00000000-0005-0000-0000-0000A3190000}"/>
    <cellStyle name="40% - Akzent5 42 3" xfId="14290" xr:uid="{00000000-0005-0000-0000-0000A4190000}"/>
    <cellStyle name="40% - Akzent5 42_2012-2019" xfId="12026" xr:uid="{00000000-0005-0000-0000-0000A5190000}"/>
    <cellStyle name="40% - Akzent5 43" xfId="4874" xr:uid="{00000000-0005-0000-0000-0000A6190000}"/>
    <cellStyle name="40% - Akzent5 43 2" xfId="4875" xr:uid="{00000000-0005-0000-0000-0000A7190000}"/>
    <cellStyle name="40% - Akzent5 43 2 2" xfId="14293" xr:uid="{00000000-0005-0000-0000-0000A8190000}"/>
    <cellStyle name="40% - Akzent5 43 2_est. MEAT" xfId="21506" xr:uid="{00000000-0005-0000-0000-0000A9190000}"/>
    <cellStyle name="40% - Akzent5 43 3" xfId="14292" xr:uid="{00000000-0005-0000-0000-0000AA190000}"/>
    <cellStyle name="40% - Akzent5 43_2012-2019" xfId="12027" xr:uid="{00000000-0005-0000-0000-0000AB190000}"/>
    <cellStyle name="40% - Akzent5 44" xfId="4876" xr:uid="{00000000-0005-0000-0000-0000AC190000}"/>
    <cellStyle name="40% - Akzent5 44 2" xfId="4877" xr:uid="{00000000-0005-0000-0000-0000AD190000}"/>
    <cellStyle name="40% - Akzent5 44 2 2" xfId="14295" xr:uid="{00000000-0005-0000-0000-0000AE190000}"/>
    <cellStyle name="40% - Akzent5 44 2_est. MEAT" xfId="21507" xr:uid="{00000000-0005-0000-0000-0000AF190000}"/>
    <cellStyle name="40% - Akzent5 44 3" xfId="14294" xr:uid="{00000000-0005-0000-0000-0000B0190000}"/>
    <cellStyle name="40% - Akzent5 44_2012-2019" xfId="12028" xr:uid="{00000000-0005-0000-0000-0000B1190000}"/>
    <cellStyle name="40% - Akzent5 45" xfId="4878" xr:uid="{00000000-0005-0000-0000-0000B2190000}"/>
    <cellStyle name="40% - Akzent5 45 2" xfId="4879" xr:uid="{00000000-0005-0000-0000-0000B3190000}"/>
    <cellStyle name="40% - Akzent5 45 2 2" xfId="14297" xr:uid="{00000000-0005-0000-0000-0000B4190000}"/>
    <cellStyle name="40% - Akzent5 45 2_est. MEAT" xfId="21508" xr:uid="{00000000-0005-0000-0000-0000B5190000}"/>
    <cellStyle name="40% - Akzent5 45 3" xfId="14296" xr:uid="{00000000-0005-0000-0000-0000B6190000}"/>
    <cellStyle name="40% - Akzent5 45_2012-2019" xfId="12029" xr:uid="{00000000-0005-0000-0000-0000B7190000}"/>
    <cellStyle name="40% - Akzent5 46" xfId="4880" xr:uid="{00000000-0005-0000-0000-0000B8190000}"/>
    <cellStyle name="40% - Akzent5 46 2" xfId="4881" xr:uid="{00000000-0005-0000-0000-0000B9190000}"/>
    <cellStyle name="40% - Akzent5 46 2 2" xfId="14299" xr:uid="{00000000-0005-0000-0000-0000BA190000}"/>
    <cellStyle name="40% - Akzent5 46 2_est. MEAT" xfId="21509" xr:uid="{00000000-0005-0000-0000-0000BB190000}"/>
    <cellStyle name="40% - Akzent5 46 3" xfId="14298" xr:uid="{00000000-0005-0000-0000-0000BC190000}"/>
    <cellStyle name="40% - Akzent5 46_2012-2019" xfId="12030" xr:uid="{00000000-0005-0000-0000-0000BD190000}"/>
    <cellStyle name="40% - Akzent5 47" xfId="4882" xr:uid="{00000000-0005-0000-0000-0000BE190000}"/>
    <cellStyle name="40% - Akzent5 47 2" xfId="4883" xr:uid="{00000000-0005-0000-0000-0000BF190000}"/>
    <cellStyle name="40% - Akzent5 47 2 2" xfId="14301" xr:uid="{00000000-0005-0000-0000-0000C0190000}"/>
    <cellStyle name="40% - Akzent5 47 2_est. MEAT" xfId="21510" xr:uid="{00000000-0005-0000-0000-0000C1190000}"/>
    <cellStyle name="40% - Akzent5 47 3" xfId="14300" xr:uid="{00000000-0005-0000-0000-0000C2190000}"/>
    <cellStyle name="40% - Akzent5 47_2012-2019" xfId="12031" xr:uid="{00000000-0005-0000-0000-0000C3190000}"/>
    <cellStyle name="40% - Akzent5 48" xfId="4884" xr:uid="{00000000-0005-0000-0000-0000C4190000}"/>
    <cellStyle name="40% - Akzent5 48 2" xfId="4885" xr:uid="{00000000-0005-0000-0000-0000C5190000}"/>
    <cellStyle name="40% - Akzent5 48 2 2" xfId="14303" xr:uid="{00000000-0005-0000-0000-0000C6190000}"/>
    <cellStyle name="40% - Akzent5 48 2_est. MEAT" xfId="21511" xr:uid="{00000000-0005-0000-0000-0000C7190000}"/>
    <cellStyle name="40% - Akzent5 48 3" xfId="14302" xr:uid="{00000000-0005-0000-0000-0000C8190000}"/>
    <cellStyle name="40% - Akzent5 48_2012-2019" xfId="12032" xr:uid="{00000000-0005-0000-0000-0000C9190000}"/>
    <cellStyle name="40% - Akzent5 49" xfId="4886" xr:uid="{00000000-0005-0000-0000-0000CA190000}"/>
    <cellStyle name="40% - Akzent5 49 2" xfId="4887" xr:uid="{00000000-0005-0000-0000-0000CB190000}"/>
    <cellStyle name="40% - Akzent5 49 2 2" xfId="14305" xr:uid="{00000000-0005-0000-0000-0000CC190000}"/>
    <cellStyle name="40% - Akzent5 49 2_est. MEAT" xfId="21512" xr:uid="{00000000-0005-0000-0000-0000CD190000}"/>
    <cellStyle name="40% - Akzent5 49 3" xfId="14304" xr:uid="{00000000-0005-0000-0000-0000CE190000}"/>
    <cellStyle name="40% - Akzent5 49_2012-2019" xfId="12033" xr:uid="{00000000-0005-0000-0000-0000CF190000}"/>
    <cellStyle name="40% - Akzent5 5" xfId="4888" xr:uid="{00000000-0005-0000-0000-0000D0190000}"/>
    <cellStyle name="40% - Akzent5 5 2" xfId="4889" xr:uid="{00000000-0005-0000-0000-0000D1190000}"/>
    <cellStyle name="40% - Akzent5 5 2 2" xfId="14307" xr:uid="{00000000-0005-0000-0000-0000D2190000}"/>
    <cellStyle name="40% - Akzent5 5 2_est. MEAT" xfId="21513" xr:uid="{00000000-0005-0000-0000-0000D3190000}"/>
    <cellStyle name="40% - Akzent5 5 3" xfId="14306" xr:uid="{00000000-0005-0000-0000-0000D4190000}"/>
    <cellStyle name="40% - Akzent5 5_2012-2019" xfId="12034" xr:uid="{00000000-0005-0000-0000-0000D5190000}"/>
    <cellStyle name="40% - Akzent5 50" xfId="4890" xr:uid="{00000000-0005-0000-0000-0000D6190000}"/>
    <cellStyle name="40% - Akzent5 50 2" xfId="4891" xr:uid="{00000000-0005-0000-0000-0000D7190000}"/>
    <cellStyle name="40% - Akzent5 50 2 2" xfId="14309" xr:uid="{00000000-0005-0000-0000-0000D8190000}"/>
    <cellStyle name="40% - Akzent5 50 2_est. MEAT" xfId="21514" xr:uid="{00000000-0005-0000-0000-0000D9190000}"/>
    <cellStyle name="40% - Akzent5 50 3" xfId="14308" xr:uid="{00000000-0005-0000-0000-0000DA190000}"/>
    <cellStyle name="40% - Akzent5 50_2012-2019" xfId="12035" xr:uid="{00000000-0005-0000-0000-0000DB190000}"/>
    <cellStyle name="40% - Akzent5 51" xfId="4892" xr:uid="{00000000-0005-0000-0000-0000DC190000}"/>
    <cellStyle name="40% - Akzent5 51 2" xfId="4893" xr:uid="{00000000-0005-0000-0000-0000DD190000}"/>
    <cellStyle name="40% - Akzent5 51 2 2" xfId="14311" xr:uid="{00000000-0005-0000-0000-0000DE190000}"/>
    <cellStyle name="40% - Akzent5 51 2_est. MEAT" xfId="21515" xr:uid="{00000000-0005-0000-0000-0000DF190000}"/>
    <cellStyle name="40% - Akzent5 51 3" xfId="14310" xr:uid="{00000000-0005-0000-0000-0000E0190000}"/>
    <cellStyle name="40% - Akzent5 51_2012-2019" xfId="12036" xr:uid="{00000000-0005-0000-0000-0000E1190000}"/>
    <cellStyle name="40% - Akzent5 52" xfId="4894" xr:uid="{00000000-0005-0000-0000-0000E2190000}"/>
    <cellStyle name="40% - Akzent5 52 2" xfId="4895" xr:uid="{00000000-0005-0000-0000-0000E3190000}"/>
    <cellStyle name="40% - Akzent5 52 2 2" xfId="14313" xr:uid="{00000000-0005-0000-0000-0000E4190000}"/>
    <cellStyle name="40% - Akzent5 52 2_est. MEAT" xfId="21516" xr:uid="{00000000-0005-0000-0000-0000E5190000}"/>
    <cellStyle name="40% - Akzent5 52 3" xfId="14312" xr:uid="{00000000-0005-0000-0000-0000E6190000}"/>
    <cellStyle name="40% - Akzent5 52_2012-2019" xfId="12037" xr:uid="{00000000-0005-0000-0000-0000E7190000}"/>
    <cellStyle name="40% - Akzent5 53" xfId="4896" xr:uid="{00000000-0005-0000-0000-0000E8190000}"/>
    <cellStyle name="40% - Akzent5 53 2" xfId="4897" xr:uid="{00000000-0005-0000-0000-0000E9190000}"/>
    <cellStyle name="40% - Akzent5 53 2 2" xfId="14315" xr:uid="{00000000-0005-0000-0000-0000EA190000}"/>
    <cellStyle name="40% - Akzent5 53 2_est. MEAT" xfId="21517" xr:uid="{00000000-0005-0000-0000-0000EB190000}"/>
    <cellStyle name="40% - Akzent5 53 3" xfId="14314" xr:uid="{00000000-0005-0000-0000-0000EC190000}"/>
    <cellStyle name="40% - Akzent5 53_2012-2019" xfId="12038" xr:uid="{00000000-0005-0000-0000-0000ED190000}"/>
    <cellStyle name="40% - Akzent5 54" xfId="4898" xr:uid="{00000000-0005-0000-0000-0000EE190000}"/>
    <cellStyle name="40% - Akzent5 54 2" xfId="4899" xr:uid="{00000000-0005-0000-0000-0000EF190000}"/>
    <cellStyle name="40% - Akzent5 54 2 2" xfId="14317" xr:uid="{00000000-0005-0000-0000-0000F0190000}"/>
    <cellStyle name="40% - Akzent5 54 2_est. MEAT" xfId="21518" xr:uid="{00000000-0005-0000-0000-0000F1190000}"/>
    <cellStyle name="40% - Akzent5 54 3" xfId="14316" xr:uid="{00000000-0005-0000-0000-0000F2190000}"/>
    <cellStyle name="40% - Akzent5 54_2012-2019" xfId="12039" xr:uid="{00000000-0005-0000-0000-0000F3190000}"/>
    <cellStyle name="40% - Akzent5 55" xfId="4900" xr:uid="{00000000-0005-0000-0000-0000F4190000}"/>
    <cellStyle name="40% - Akzent5 55 2" xfId="4901" xr:uid="{00000000-0005-0000-0000-0000F5190000}"/>
    <cellStyle name="40% - Akzent5 55 2 2" xfId="14319" xr:uid="{00000000-0005-0000-0000-0000F6190000}"/>
    <cellStyle name="40% - Akzent5 55 2_est. MEAT" xfId="21519" xr:uid="{00000000-0005-0000-0000-0000F7190000}"/>
    <cellStyle name="40% - Akzent5 55 3" xfId="14318" xr:uid="{00000000-0005-0000-0000-0000F8190000}"/>
    <cellStyle name="40% - Akzent5 55_2012-2019" xfId="12040" xr:uid="{00000000-0005-0000-0000-0000F9190000}"/>
    <cellStyle name="40% - Akzent5 56" xfId="4902" xr:uid="{00000000-0005-0000-0000-0000FA190000}"/>
    <cellStyle name="40% - Akzent5 56 2" xfId="4903" xr:uid="{00000000-0005-0000-0000-0000FB190000}"/>
    <cellStyle name="40% - Akzent5 56 2 2" xfId="14321" xr:uid="{00000000-0005-0000-0000-0000FC190000}"/>
    <cellStyle name="40% - Akzent5 56 2_est. MEAT" xfId="21520" xr:uid="{00000000-0005-0000-0000-0000FD190000}"/>
    <cellStyle name="40% - Akzent5 56 3" xfId="14320" xr:uid="{00000000-0005-0000-0000-0000FE190000}"/>
    <cellStyle name="40% - Akzent5 56_2012-2019" xfId="12041" xr:uid="{00000000-0005-0000-0000-0000FF190000}"/>
    <cellStyle name="40% - Akzent5 57" xfId="4904" xr:uid="{00000000-0005-0000-0000-0000001A0000}"/>
    <cellStyle name="40% - Akzent5 57 2" xfId="4905" xr:uid="{00000000-0005-0000-0000-0000011A0000}"/>
    <cellStyle name="40% - Akzent5 57 2 2" xfId="14323" xr:uid="{00000000-0005-0000-0000-0000021A0000}"/>
    <cellStyle name="40% - Akzent5 57 2_est. MEAT" xfId="21521" xr:uid="{00000000-0005-0000-0000-0000031A0000}"/>
    <cellStyle name="40% - Akzent5 57 3" xfId="14322" xr:uid="{00000000-0005-0000-0000-0000041A0000}"/>
    <cellStyle name="40% - Akzent5 57_2012-2019" xfId="12042" xr:uid="{00000000-0005-0000-0000-0000051A0000}"/>
    <cellStyle name="40% - Akzent5 58" xfId="4906" xr:uid="{00000000-0005-0000-0000-0000061A0000}"/>
    <cellStyle name="40% - Akzent5 58 2" xfId="4907" xr:uid="{00000000-0005-0000-0000-0000071A0000}"/>
    <cellStyle name="40% - Akzent5 58 2 2" xfId="14325" xr:uid="{00000000-0005-0000-0000-0000081A0000}"/>
    <cellStyle name="40% - Akzent5 58 2_est. MEAT" xfId="21522" xr:uid="{00000000-0005-0000-0000-0000091A0000}"/>
    <cellStyle name="40% - Akzent5 58 3" xfId="14324" xr:uid="{00000000-0005-0000-0000-00000A1A0000}"/>
    <cellStyle name="40% - Akzent5 58_2012-2019" xfId="12043" xr:uid="{00000000-0005-0000-0000-00000B1A0000}"/>
    <cellStyle name="40% - Akzent5 59" xfId="4908" xr:uid="{00000000-0005-0000-0000-00000C1A0000}"/>
    <cellStyle name="40% - Akzent5 59 2" xfId="4909" xr:uid="{00000000-0005-0000-0000-00000D1A0000}"/>
    <cellStyle name="40% - Akzent5 59 2 2" xfId="14327" xr:uid="{00000000-0005-0000-0000-00000E1A0000}"/>
    <cellStyle name="40% - Akzent5 59 2_est. MEAT" xfId="21523" xr:uid="{00000000-0005-0000-0000-00000F1A0000}"/>
    <cellStyle name="40% - Akzent5 59 3" xfId="14326" xr:uid="{00000000-0005-0000-0000-0000101A0000}"/>
    <cellStyle name="40% - Akzent5 59_2012-2019" xfId="12044" xr:uid="{00000000-0005-0000-0000-0000111A0000}"/>
    <cellStyle name="40% - Akzent5 6" xfId="4910" xr:uid="{00000000-0005-0000-0000-0000121A0000}"/>
    <cellStyle name="40% - Akzent5 6 2" xfId="4911" xr:uid="{00000000-0005-0000-0000-0000131A0000}"/>
    <cellStyle name="40% - Akzent5 6 2 2" xfId="14329" xr:uid="{00000000-0005-0000-0000-0000141A0000}"/>
    <cellStyle name="40% - Akzent5 6 2_est. MEAT" xfId="21524" xr:uid="{00000000-0005-0000-0000-0000151A0000}"/>
    <cellStyle name="40% - Akzent5 6 3" xfId="14328" xr:uid="{00000000-0005-0000-0000-0000161A0000}"/>
    <cellStyle name="40% - Akzent5 6_2012-2019" xfId="12045" xr:uid="{00000000-0005-0000-0000-0000171A0000}"/>
    <cellStyle name="40% - Akzent5 60" xfId="4912" xr:uid="{00000000-0005-0000-0000-0000181A0000}"/>
    <cellStyle name="40% - Akzent5 60 2" xfId="4913" xr:uid="{00000000-0005-0000-0000-0000191A0000}"/>
    <cellStyle name="40% - Akzent5 60 2 2" xfId="14331" xr:uid="{00000000-0005-0000-0000-00001A1A0000}"/>
    <cellStyle name="40% - Akzent5 60 2_est. MEAT" xfId="21525" xr:uid="{00000000-0005-0000-0000-00001B1A0000}"/>
    <cellStyle name="40% - Akzent5 60 3" xfId="14330" xr:uid="{00000000-0005-0000-0000-00001C1A0000}"/>
    <cellStyle name="40% - Akzent5 60_2012-2019" xfId="12046" xr:uid="{00000000-0005-0000-0000-00001D1A0000}"/>
    <cellStyle name="40% - Akzent5 61" xfId="4914" xr:uid="{00000000-0005-0000-0000-00001E1A0000}"/>
    <cellStyle name="40% - Akzent5 61 2" xfId="4915" xr:uid="{00000000-0005-0000-0000-00001F1A0000}"/>
    <cellStyle name="40% - Akzent5 61 2 2" xfId="14333" xr:uid="{00000000-0005-0000-0000-0000201A0000}"/>
    <cellStyle name="40% - Akzent5 61 2_est. MEAT" xfId="21526" xr:uid="{00000000-0005-0000-0000-0000211A0000}"/>
    <cellStyle name="40% - Akzent5 61 3" xfId="14332" xr:uid="{00000000-0005-0000-0000-0000221A0000}"/>
    <cellStyle name="40% - Akzent5 61_2012-2019" xfId="12047" xr:uid="{00000000-0005-0000-0000-0000231A0000}"/>
    <cellStyle name="40% - Akzent5 62" xfId="4916" xr:uid="{00000000-0005-0000-0000-0000241A0000}"/>
    <cellStyle name="40% - Akzent5 62 2" xfId="4917" xr:uid="{00000000-0005-0000-0000-0000251A0000}"/>
    <cellStyle name="40% - Akzent5 62 2 2" xfId="14335" xr:uid="{00000000-0005-0000-0000-0000261A0000}"/>
    <cellStyle name="40% - Akzent5 62 2_est. MEAT" xfId="21527" xr:uid="{00000000-0005-0000-0000-0000271A0000}"/>
    <cellStyle name="40% - Akzent5 62 3" xfId="14334" xr:uid="{00000000-0005-0000-0000-0000281A0000}"/>
    <cellStyle name="40% - Akzent5 62_2012-2019" xfId="12048" xr:uid="{00000000-0005-0000-0000-0000291A0000}"/>
    <cellStyle name="40% - Akzent5 63" xfId="4918" xr:uid="{00000000-0005-0000-0000-00002A1A0000}"/>
    <cellStyle name="40% - Akzent5 63 2" xfId="4919" xr:uid="{00000000-0005-0000-0000-00002B1A0000}"/>
    <cellStyle name="40% - Akzent5 63 2 2" xfId="14337" xr:uid="{00000000-0005-0000-0000-00002C1A0000}"/>
    <cellStyle name="40% - Akzent5 63 2_est. MEAT" xfId="21528" xr:uid="{00000000-0005-0000-0000-00002D1A0000}"/>
    <cellStyle name="40% - Akzent5 63 3" xfId="14336" xr:uid="{00000000-0005-0000-0000-00002E1A0000}"/>
    <cellStyle name="40% - Akzent5 63_2012-2019" xfId="12049" xr:uid="{00000000-0005-0000-0000-00002F1A0000}"/>
    <cellStyle name="40% - Akzent5 64" xfId="4920" xr:uid="{00000000-0005-0000-0000-0000301A0000}"/>
    <cellStyle name="40% - Akzent5 64 2" xfId="4921" xr:uid="{00000000-0005-0000-0000-0000311A0000}"/>
    <cellStyle name="40% - Akzent5 64 2 2" xfId="14339" xr:uid="{00000000-0005-0000-0000-0000321A0000}"/>
    <cellStyle name="40% - Akzent5 64 2_est. MEAT" xfId="21529" xr:uid="{00000000-0005-0000-0000-0000331A0000}"/>
    <cellStyle name="40% - Akzent5 64 3" xfId="14338" xr:uid="{00000000-0005-0000-0000-0000341A0000}"/>
    <cellStyle name="40% - Akzent5 64_2012-2019" xfId="12050" xr:uid="{00000000-0005-0000-0000-0000351A0000}"/>
    <cellStyle name="40% - Akzent5 65" xfId="4922" xr:uid="{00000000-0005-0000-0000-0000361A0000}"/>
    <cellStyle name="40% - Akzent5 65 2" xfId="4923" xr:uid="{00000000-0005-0000-0000-0000371A0000}"/>
    <cellStyle name="40% - Akzent5 65 2 2" xfId="14341" xr:uid="{00000000-0005-0000-0000-0000381A0000}"/>
    <cellStyle name="40% - Akzent5 65 2_est. MEAT" xfId="21530" xr:uid="{00000000-0005-0000-0000-0000391A0000}"/>
    <cellStyle name="40% - Akzent5 65 3" xfId="14340" xr:uid="{00000000-0005-0000-0000-00003A1A0000}"/>
    <cellStyle name="40% - Akzent5 65_2012-2019" xfId="12051" xr:uid="{00000000-0005-0000-0000-00003B1A0000}"/>
    <cellStyle name="40% - Akzent5 66" xfId="4924" xr:uid="{00000000-0005-0000-0000-00003C1A0000}"/>
    <cellStyle name="40% - Akzent5 66 2" xfId="4925" xr:uid="{00000000-0005-0000-0000-00003D1A0000}"/>
    <cellStyle name="40% - Akzent5 66 2 2" xfId="14343" xr:uid="{00000000-0005-0000-0000-00003E1A0000}"/>
    <cellStyle name="40% - Akzent5 66 2_est. MEAT" xfId="21531" xr:uid="{00000000-0005-0000-0000-00003F1A0000}"/>
    <cellStyle name="40% - Akzent5 66 3" xfId="14342" xr:uid="{00000000-0005-0000-0000-0000401A0000}"/>
    <cellStyle name="40% - Akzent5 66_2012-2019" xfId="12052" xr:uid="{00000000-0005-0000-0000-0000411A0000}"/>
    <cellStyle name="40% - Akzent5 67" xfId="4926" xr:uid="{00000000-0005-0000-0000-0000421A0000}"/>
    <cellStyle name="40% - Akzent5 67 2" xfId="4927" xr:uid="{00000000-0005-0000-0000-0000431A0000}"/>
    <cellStyle name="40% - Akzent5 67 2 2" xfId="14345" xr:uid="{00000000-0005-0000-0000-0000441A0000}"/>
    <cellStyle name="40% - Akzent5 67 2_est. MEAT" xfId="21532" xr:uid="{00000000-0005-0000-0000-0000451A0000}"/>
    <cellStyle name="40% - Akzent5 67 3" xfId="14344" xr:uid="{00000000-0005-0000-0000-0000461A0000}"/>
    <cellStyle name="40% - Akzent5 67_2012-2019" xfId="12053" xr:uid="{00000000-0005-0000-0000-0000471A0000}"/>
    <cellStyle name="40% - Akzent5 68" xfId="4928" xr:uid="{00000000-0005-0000-0000-0000481A0000}"/>
    <cellStyle name="40% - Akzent5 68 2" xfId="4929" xr:uid="{00000000-0005-0000-0000-0000491A0000}"/>
    <cellStyle name="40% - Akzent5 68 2 2" xfId="14347" xr:uid="{00000000-0005-0000-0000-00004A1A0000}"/>
    <cellStyle name="40% - Akzent5 68 2_est. MEAT" xfId="21533" xr:uid="{00000000-0005-0000-0000-00004B1A0000}"/>
    <cellStyle name="40% - Akzent5 68 3" xfId="14346" xr:uid="{00000000-0005-0000-0000-00004C1A0000}"/>
    <cellStyle name="40% - Akzent5 68_2012-2019" xfId="12054" xr:uid="{00000000-0005-0000-0000-00004D1A0000}"/>
    <cellStyle name="40% - Akzent5 69" xfId="4930" xr:uid="{00000000-0005-0000-0000-00004E1A0000}"/>
    <cellStyle name="40% - Akzent5 69 2" xfId="4931" xr:uid="{00000000-0005-0000-0000-00004F1A0000}"/>
    <cellStyle name="40% - Akzent5 69 2 2" xfId="14349" xr:uid="{00000000-0005-0000-0000-0000501A0000}"/>
    <cellStyle name="40% - Akzent5 69 2_est. MEAT" xfId="21534" xr:uid="{00000000-0005-0000-0000-0000511A0000}"/>
    <cellStyle name="40% - Akzent5 69 3" xfId="14348" xr:uid="{00000000-0005-0000-0000-0000521A0000}"/>
    <cellStyle name="40% - Akzent5 69_2012-2019" xfId="12055" xr:uid="{00000000-0005-0000-0000-0000531A0000}"/>
    <cellStyle name="40% - Akzent5 7" xfId="4932" xr:uid="{00000000-0005-0000-0000-0000541A0000}"/>
    <cellStyle name="40% - Akzent5 7 2" xfId="4933" xr:uid="{00000000-0005-0000-0000-0000551A0000}"/>
    <cellStyle name="40% - Akzent5 7 2 2" xfId="14351" xr:uid="{00000000-0005-0000-0000-0000561A0000}"/>
    <cellStyle name="40% - Akzent5 7 2_est. MEAT" xfId="21535" xr:uid="{00000000-0005-0000-0000-0000571A0000}"/>
    <cellStyle name="40% - Akzent5 7 3" xfId="14350" xr:uid="{00000000-0005-0000-0000-0000581A0000}"/>
    <cellStyle name="40% - Akzent5 7_2012-2019" xfId="12056" xr:uid="{00000000-0005-0000-0000-0000591A0000}"/>
    <cellStyle name="40% - Akzent5 70" xfId="4934" xr:uid="{00000000-0005-0000-0000-00005A1A0000}"/>
    <cellStyle name="40% - Akzent5 70 2" xfId="4935" xr:uid="{00000000-0005-0000-0000-00005B1A0000}"/>
    <cellStyle name="40% - Akzent5 70 2 2" xfId="14353" xr:uid="{00000000-0005-0000-0000-00005C1A0000}"/>
    <cellStyle name="40% - Akzent5 70 2_est. MEAT" xfId="21536" xr:uid="{00000000-0005-0000-0000-00005D1A0000}"/>
    <cellStyle name="40% - Akzent5 70 3" xfId="14352" xr:uid="{00000000-0005-0000-0000-00005E1A0000}"/>
    <cellStyle name="40% - Akzent5 70_2012-2019" xfId="12057" xr:uid="{00000000-0005-0000-0000-00005F1A0000}"/>
    <cellStyle name="40% - Akzent5 71" xfId="4936" xr:uid="{00000000-0005-0000-0000-0000601A0000}"/>
    <cellStyle name="40% - Akzent5 71 2" xfId="4937" xr:uid="{00000000-0005-0000-0000-0000611A0000}"/>
    <cellStyle name="40% - Akzent5 71 2 2" xfId="14355" xr:uid="{00000000-0005-0000-0000-0000621A0000}"/>
    <cellStyle name="40% - Akzent5 71 2_est. MEAT" xfId="21537" xr:uid="{00000000-0005-0000-0000-0000631A0000}"/>
    <cellStyle name="40% - Akzent5 71 3" xfId="14354" xr:uid="{00000000-0005-0000-0000-0000641A0000}"/>
    <cellStyle name="40% - Akzent5 71_2012-2019" xfId="12058" xr:uid="{00000000-0005-0000-0000-0000651A0000}"/>
    <cellStyle name="40% - Akzent5 72" xfId="4938" xr:uid="{00000000-0005-0000-0000-0000661A0000}"/>
    <cellStyle name="40% - Akzent5 72 2" xfId="4939" xr:uid="{00000000-0005-0000-0000-0000671A0000}"/>
    <cellStyle name="40% - Akzent5 72 2 2" xfId="14357" xr:uid="{00000000-0005-0000-0000-0000681A0000}"/>
    <cellStyle name="40% - Akzent5 72 2_est. MEAT" xfId="21538" xr:uid="{00000000-0005-0000-0000-0000691A0000}"/>
    <cellStyle name="40% - Akzent5 72 3" xfId="14356" xr:uid="{00000000-0005-0000-0000-00006A1A0000}"/>
    <cellStyle name="40% - Akzent5 72_2012-2019" xfId="12059" xr:uid="{00000000-0005-0000-0000-00006B1A0000}"/>
    <cellStyle name="40% - Akzent5 73" xfId="4940" xr:uid="{00000000-0005-0000-0000-00006C1A0000}"/>
    <cellStyle name="40% - Akzent5 73 2" xfId="4941" xr:uid="{00000000-0005-0000-0000-00006D1A0000}"/>
    <cellStyle name="40% - Akzent5 73 2 2" xfId="14359" xr:uid="{00000000-0005-0000-0000-00006E1A0000}"/>
    <cellStyle name="40% - Akzent5 73 2_est. MEAT" xfId="21539" xr:uid="{00000000-0005-0000-0000-00006F1A0000}"/>
    <cellStyle name="40% - Akzent5 73 3" xfId="14358" xr:uid="{00000000-0005-0000-0000-0000701A0000}"/>
    <cellStyle name="40% - Akzent5 73_2012-2019" xfId="12060" xr:uid="{00000000-0005-0000-0000-0000711A0000}"/>
    <cellStyle name="40% - Akzent5 74" xfId="4942" xr:uid="{00000000-0005-0000-0000-0000721A0000}"/>
    <cellStyle name="40% - Akzent5 74 2" xfId="4943" xr:uid="{00000000-0005-0000-0000-0000731A0000}"/>
    <cellStyle name="40% - Akzent5 74 2 2" xfId="14361" xr:uid="{00000000-0005-0000-0000-0000741A0000}"/>
    <cellStyle name="40% - Akzent5 74 2_est. MEAT" xfId="21540" xr:uid="{00000000-0005-0000-0000-0000751A0000}"/>
    <cellStyle name="40% - Akzent5 74 3" xfId="14360" xr:uid="{00000000-0005-0000-0000-0000761A0000}"/>
    <cellStyle name="40% - Akzent5 74_2012-2019" xfId="12061" xr:uid="{00000000-0005-0000-0000-0000771A0000}"/>
    <cellStyle name="40% - Akzent5 75" xfId="4944" xr:uid="{00000000-0005-0000-0000-0000781A0000}"/>
    <cellStyle name="40% - Akzent5 75 2" xfId="4945" xr:uid="{00000000-0005-0000-0000-0000791A0000}"/>
    <cellStyle name="40% - Akzent5 75 2 2" xfId="14363" xr:uid="{00000000-0005-0000-0000-00007A1A0000}"/>
    <cellStyle name="40% - Akzent5 75 2_est. MEAT" xfId="21541" xr:uid="{00000000-0005-0000-0000-00007B1A0000}"/>
    <cellStyle name="40% - Akzent5 75 3" xfId="14362" xr:uid="{00000000-0005-0000-0000-00007C1A0000}"/>
    <cellStyle name="40% - Akzent5 75_2012-2019" xfId="12062" xr:uid="{00000000-0005-0000-0000-00007D1A0000}"/>
    <cellStyle name="40% - Akzent5 76" xfId="4946" xr:uid="{00000000-0005-0000-0000-00007E1A0000}"/>
    <cellStyle name="40% - Akzent5 76 2" xfId="4947" xr:uid="{00000000-0005-0000-0000-00007F1A0000}"/>
    <cellStyle name="40% - Akzent5 76 2 2" xfId="14365" xr:uid="{00000000-0005-0000-0000-0000801A0000}"/>
    <cellStyle name="40% - Akzent5 76 2_est. MEAT" xfId="21542" xr:uid="{00000000-0005-0000-0000-0000811A0000}"/>
    <cellStyle name="40% - Akzent5 76 3" xfId="14364" xr:uid="{00000000-0005-0000-0000-0000821A0000}"/>
    <cellStyle name="40% - Akzent5 76_2012-2019" xfId="12063" xr:uid="{00000000-0005-0000-0000-0000831A0000}"/>
    <cellStyle name="40% - Akzent5 77" xfId="4948" xr:uid="{00000000-0005-0000-0000-0000841A0000}"/>
    <cellStyle name="40% - Akzent5 77 2" xfId="4949" xr:uid="{00000000-0005-0000-0000-0000851A0000}"/>
    <cellStyle name="40% - Akzent5 77 2 2" xfId="14367" xr:uid="{00000000-0005-0000-0000-0000861A0000}"/>
    <cellStyle name="40% - Akzent5 77 2_est. MEAT" xfId="21543" xr:uid="{00000000-0005-0000-0000-0000871A0000}"/>
    <cellStyle name="40% - Akzent5 77 3" xfId="14366" xr:uid="{00000000-0005-0000-0000-0000881A0000}"/>
    <cellStyle name="40% - Akzent5 77_2012-2019" xfId="12064" xr:uid="{00000000-0005-0000-0000-0000891A0000}"/>
    <cellStyle name="40% - Akzent5 78" xfId="4950" xr:uid="{00000000-0005-0000-0000-00008A1A0000}"/>
    <cellStyle name="40% - Akzent5 78 2" xfId="4951" xr:uid="{00000000-0005-0000-0000-00008B1A0000}"/>
    <cellStyle name="40% - Akzent5 78 2 2" xfId="14369" xr:uid="{00000000-0005-0000-0000-00008C1A0000}"/>
    <cellStyle name="40% - Akzent5 78 2_est. MEAT" xfId="21544" xr:uid="{00000000-0005-0000-0000-00008D1A0000}"/>
    <cellStyle name="40% - Akzent5 78 3" xfId="14368" xr:uid="{00000000-0005-0000-0000-00008E1A0000}"/>
    <cellStyle name="40% - Akzent5 78_2012-2019" xfId="12065" xr:uid="{00000000-0005-0000-0000-00008F1A0000}"/>
    <cellStyle name="40% - Akzent5 79" xfId="4952" xr:uid="{00000000-0005-0000-0000-0000901A0000}"/>
    <cellStyle name="40% - Akzent5 79 2" xfId="4953" xr:uid="{00000000-0005-0000-0000-0000911A0000}"/>
    <cellStyle name="40% - Akzent5 79 2 2" xfId="14371" xr:uid="{00000000-0005-0000-0000-0000921A0000}"/>
    <cellStyle name="40% - Akzent5 79 2_est. MEAT" xfId="21545" xr:uid="{00000000-0005-0000-0000-0000931A0000}"/>
    <cellStyle name="40% - Akzent5 79 3" xfId="14370" xr:uid="{00000000-0005-0000-0000-0000941A0000}"/>
    <cellStyle name="40% - Akzent5 79_2012-2019" xfId="12066" xr:uid="{00000000-0005-0000-0000-0000951A0000}"/>
    <cellStyle name="40% - Akzent5 8" xfId="4954" xr:uid="{00000000-0005-0000-0000-0000961A0000}"/>
    <cellStyle name="40% - Akzent5 8 2" xfId="4955" xr:uid="{00000000-0005-0000-0000-0000971A0000}"/>
    <cellStyle name="40% - Akzent5 8 2 2" xfId="14373" xr:uid="{00000000-0005-0000-0000-0000981A0000}"/>
    <cellStyle name="40% - Akzent5 8 2_est. MEAT" xfId="21546" xr:uid="{00000000-0005-0000-0000-0000991A0000}"/>
    <cellStyle name="40% - Akzent5 8 3" xfId="14372" xr:uid="{00000000-0005-0000-0000-00009A1A0000}"/>
    <cellStyle name="40% - Akzent5 8_2012-2019" xfId="12067" xr:uid="{00000000-0005-0000-0000-00009B1A0000}"/>
    <cellStyle name="40% - Akzent5 80" xfId="4956" xr:uid="{00000000-0005-0000-0000-00009C1A0000}"/>
    <cellStyle name="40% - Akzent5 80 2" xfId="4957" xr:uid="{00000000-0005-0000-0000-00009D1A0000}"/>
    <cellStyle name="40% - Akzent5 80 2 2" xfId="14375" xr:uid="{00000000-0005-0000-0000-00009E1A0000}"/>
    <cellStyle name="40% - Akzent5 80 2_est. MEAT" xfId="21547" xr:uid="{00000000-0005-0000-0000-00009F1A0000}"/>
    <cellStyle name="40% - Akzent5 80 3" xfId="14374" xr:uid="{00000000-0005-0000-0000-0000A01A0000}"/>
    <cellStyle name="40% - Akzent5 80_2012-2019" xfId="12068" xr:uid="{00000000-0005-0000-0000-0000A11A0000}"/>
    <cellStyle name="40% - Akzent5 81" xfId="4958" xr:uid="{00000000-0005-0000-0000-0000A21A0000}"/>
    <cellStyle name="40% - Akzent5 81 2" xfId="4959" xr:uid="{00000000-0005-0000-0000-0000A31A0000}"/>
    <cellStyle name="40% - Akzent5 81 2 2" xfId="14377" xr:uid="{00000000-0005-0000-0000-0000A41A0000}"/>
    <cellStyle name="40% - Akzent5 81 2_est. MEAT" xfId="21548" xr:uid="{00000000-0005-0000-0000-0000A51A0000}"/>
    <cellStyle name="40% - Akzent5 81 3" xfId="14376" xr:uid="{00000000-0005-0000-0000-0000A61A0000}"/>
    <cellStyle name="40% - Akzent5 81_2012-2019" xfId="12069" xr:uid="{00000000-0005-0000-0000-0000A71A0000}"/>
    <cellStyle name="40% - Akzent5 82" xfId="4960" xr:uid="{00000000-0005-0000-0000-0000A81A0000}"/>
    <cellStyle name="40% - Akzent5 82 2" xfId="4961" xr:uid="{00000000-0005-0000-0000-0000A91A0000}"/>
    <cellStyle name="40% - Akzent5 82 2 2" xfId="14379" xr:uid="{00000000-0005-0000-0000-0000AA1A0000}"/>
    <cellStyle name="40% - Akzent5 82 2_est. MEAT" xfId="21549" xr:uid="{00000000-0005-0000-0000-0000AB1A0000}"/>
    <cellStyle name="40% - Akzent5 82 3" xfId="14378" xr:uid="{00000000-0005-0000-0000-0000AC1A0000}"/>
    <cellStyle name="40% - Akzent5 82_2012-2019" xfId="12070" xr:uid="{00000000-0005-0000-0000-0000AD1A0000}"/>
    <cellStyle name="40% - Akzent5 83" xfId="4962" xr:uid="{00000000-0005-0000-0000-0000AE1A0000}"/>
    <cellStyle name="40% - Akzent5 83 2" xfId="4963" xr:uid="{00000000-0005-0000-0000-0000AF1A0000}"/>
    <cellStyle name="40% - Akzent5 83 2 2" xfId="14381" xr:uid="{00000000-0005-0000-0000-0000B01A0000}"/>
    <cellStyle name="40% - Akzent5 83 2_est. MEAT" xfId="21550" xr:uid="{00000000-0005-0000-0000-0000B11A0000}"/>
    <cellStyle name="40% - Akzent5 83 3" xfId="14380" xr:uid="{00000000-0005-0000-0000-0000B21A0000}"/>
    <cellStyle name="40% - Akzent5 83_2012-2019" xfId="12071" xr:uid="{00000000-0005-0000-0000-0000B31A0000}"/>
    <cellStyle name="40% - Akzent5 84" xfId="4964" xr:uid="{00000000-0005-0000-0000-0000B41A0000}"/>
    <cellStyle name="40% - Akzent5 84 2" xfId="4965" xr:uid="{00000000-0005-0000-0000-0000B51A0000}"/>
    <cellStyle name="40% - Akzent5 84 2 2" xfId="14383" xr:uid="{00000000-0005-0000-0000-0000B61A0000}"/>
    <cellStyle name="40% - Akzent5 84 2_est. MEAT" xfId="21551" xr:uid="{00000000-0005-0000-0000-0000B71A0000}"/>
    <cellStyle name="40% - Akzent5 84 3" xfId="14382" xr:uid="{00000000-0005-0000-0000-0000B81A0000}"/>
    <cellStyle name="40% - Akzent5 84_2012-2019" xfId="12072" xr:uid="{00000000-0005-0000-0000-0000B91A0000}"/>
    <cellStyle name="40% - Akzent5 85" xfId="4966" xr:uid="{00000000-0005-0000-0000-0000BA1A0000}"/>
    <cellStyle name="40% - Akzent5 85 2" xfId="4967" xr:uid="{00000000-0005-0000-0000-0000BB1A0000}"/>
    <cellStyle name="40% - Akzent5 85 2 2" xfId="14385" xr:uid="{00000000-0005-0000-0000-0000BC1A0000}"/>
    <cellStyle name="40% - Akzent5 85 2_est. MEAT" xfId="21552" xr:uid="{00000000-0005-0000-0000-0000BD1A0000}"/>
    <cellStyle name="40% - Akzent5 85 3" xfId="14384" xr:uid="{00000000-0005-0000-0000-0000BE1A0000}"/>
    <cellStyle name="40% - Akzent5 85_2012-2019" xfId="12073" xr:uid="{00000000-0005-0000-0000-0000BF1A0000}"/>
    <cellStyle name="40% - Akzent5 86" xfId="4968" xr:uid="{00000000-0005-0000-0000-0000C01A0000}"/>
    <cellStyle name="40% - Akzent5 86 2" xfId="4969" xr:uid="{00000000-0005-0000-0000-0000C11A0000}"/>
    <cellStyle name="40% - Akzent5 86 2 2" xfId="14387" xr:uid="{00000000-0005-0000-0000-0000C21A0000}"/>
    <cellStyle name="40% - Akzent5 86 2_est. MEAT" xfId="21553" xr:uid="{00000000-0005-0000-0000-0000C31A0000}"/>
    <cellStyle name="40% - Akzent5 86 3" xfId="14386" xr:uid="{00000000-0005-0000-0000-0000C41A0000}"/>
    <cellStyle name="40% - Akzent5 86_2012-2019" xfId="12074" xr:uid="{00000000-0005-0000-0000-0000C51A0000}"/>
    <cellStyle name="40% - Akzent5 87" xfId="4970" xr:uid="{00000000-0005-0000-0000-0000C61A0000}"/>
    <cellStyle name="40% - Akzent5 87 2" xfId="4971" xr:uid="{00000000-0005-0000-0000-0000C71A0000}"/>
    <cellStyle name="40% - Akzent5 87 2 2" xfId="14389" xr:uid="{00000000-0005-0000-0000-0000C81A0000}"/>
    <cellStyle name="40% - Akzent5 87 2_est. MEAT" xfId="21554" xr:uid="{00000000-0005-0000-0000-0000C91A0000}"/>
    <cellStyle name="40% - Akzent5 87 3" xfId="14388" xr:uid="{00000000-0005-0000-0000-0000CA1A0000}"/>
    <cellStyle name="40% - Akzent5 87_2012-2019" xfId="12075" xr:uid="{00000000-0005-0000-0000-0000CB1A0000}"/>
    <cellStyle name="40% - Akzent5 88" xfId="4972" xr:uid="{00000000-0005-0000-0000-0000CC1A0000}"/>
    <cellStyle name="40% - Akzent5 88 2" xfId="4973" xr:uid="{00000000-0005-0000-0000-0000CD1A0000}"/>
    <cellStyle name="40% - Akzent5 88 2 2" xfId="14391" xr:uid="{00000000-0005-0000-0000-0000CE1A0000}"/>
    <cellStyle name="40% - Akzent5 88 2_est. MEAT" xfId="21555" xr:uid="{00000000-0005-0000-0000-0000CF1A0000}"/>
    <cellStyle name="40% - Akzent5 88 3" xfId="14390" xr:uid="{00000000-0005-0000-0000-0000D01A0000}"/>
    <cellStyle name="40% - Akzent5 88_2012-2019" xfId="12076" xr:uid="{00000000-0005-0000-0000-0000D11A0000}"/>
    <cellStyle name="40% - Akzent5 89" xfId="4974" xr:uid="{00000000-0005-0000-0000-0000D21A0000}"/>
    <cellStyle name="40% - Akzent5 89 2" xfId="4975" xr:uid="{00000000-0005-0000-0000-0000D31A0000}"/>
    <cellStyle name="40% - Akzent5 89 2 2" xfId="14393" xr:uid="{00000000-0005-0000-0000-0000D41A0000}"/>
    <cellStyle name="40% - Akzent5 89 2_est. MEAT" xfId="21556" xr:uid="{00000000-0005-0000-0000-0000D51A0000}"/>
    <cellStyle name="40% - Akzent5 89 3" xfId="14392" xr:uid="{00000000-0005-0000-0000-0000D61A0000}"/>
    <cellStyle name="40% - Akzent5 89_2012-2019" xfId="12077" xr:uid="{00000000-0005-0000-0000-0000D71A0000}"/>
    <cellStyle name="40% - Akzent5 9" xfId="4976" xr:uid="{00000000-0005-0000-0000-0000D81A0000}"/>
    <cellStyle name="40% - Akzent5 9 2" xfId="4977" xr:uid="{00000000-0005-0000-0000-0000D91A0000}"/>
    <cellStyle name="40% - Akzent5 9 2 2" xfId="14395" xr:uid="{00000000-0005-0000-0000-0000DA1A0000}"/>
    <cellStyle name="40% - Akzent5 9 2_est. MEAT" xfId="21557" xr:uid="{00000000-0005-0000-0000-0000DB1A0000}"/>
    <cellStyle name="40% - Akzent5 9 3" xfId="14394" xr:uid="{00000000-0005-0000-0000-0000DC1A0000}"/>
    <cellStyle name="40% - Akzent5 9_2012-2019" xfId="12078" xr:uid="{00000000-0005-0000-0000-0000DD1A0000}"/>
    <cellStyle name="40% - Akzent5 90" xfId="4978" xr:uid="{00000000-0005-0000-0000-0000DE1A0000}"/>
    <cellStyle name="40% - Akzent5 90 2" xfId="4979" xr:uid="{00000000-0005-0000-0000-0000DF1A0000}"/>
    <cellStyle name="40% - Akzent5 90 2 2" xfId="14397" xr:uid="{00000000-0005-0000-0000-0000E01A0000}"/>
    <cellStyle name="40% - Akzent5 90 2_est. MEAT" xfId="21558" xr:uid="{00000000-0005-0000-0000-0000E11A0000}"/>
    <cellStyle name="40% - Akzent5 90 3" xfId="14396" xr:uid="{00000000-0005-0000-0000-0000E21A0000}"/>
    <cellStyle name="40% - Akzent5 90_2012-2019" xfId="12079" xr:uid="{00000000-0005-0000-0000-0000E31A0000}"/>
    <cellStyle name="40% - Akzent5 91" xfId="4980" xr:uid="{00000000-0005-0000-0000-0000E41A0000}"/>
    <cellStyle name="40% - Akzent5 91 2" xfId="4981" xr:uid="{00000000-0005-0000-0000-0000E51A0000}"/>
    <cellStyle name="40% - Akzent5 91 2 2" xfId="14399" xr:uid="{00000000-0005-0000-0000-0000E61A0000}"/>
    <cellStyle name="40% - Akzent5 91 2_est. MEAT" xfId="21559" xr:uid="{00000000-0005-0000-0000-0000E71A0000}"/>
    <cellStyle name="40% - Akzent5 91 3" xfId="14398" xr:uid="{00000000-0005-0000-0000-0000E81A0000}"/>
    <cellStyle name="40% - Akzent5 91_2012-2019" xfId="12080" xr:uid="{00000000-0005-0000-0000-0000E91A0000}"/>
    <cellStyle name="40% - Akzent5 92" xfId="4982" xr:uid="{00000000-0005-0000-0000-0000EA1A0000}"/>
    <cellStyle name="40% - Akzent5 92 2" xfId="4983" xr:uid="{00000000-0005-0000-0000-0000EB1A0000}"/>
    <cellStyle name="40% - Akzent5 92 2 2" xfId="14401" xr:uid="{00000000-0005-0000-0000-0000EC1A0000}"/>
    <cellStyle name="40% - Akzent5 92 2_est. MEAT" xfId="21560" xr:uid="{00000000-0005-0000-0000-0000ED1A0000}"/>
    <cellStyle name="40% - Akzent5 92 3" xfId="14400" xr:uid="{00000000-0005-0000-0000-0000EE1A0000}"/>
    <cellStyle name="40% - Akzent5 92_2012-2019" xfId="12081" xr:uid="{00000000-0005-0000-0000-0000EF1A0000}"/>
    <cellStyle name="40% - Akzent5 93" xfId="4984" xr:uid="{00000000-0005-0000-0000-0000F01A0000}"/>
    <cellStyle name="40% - Akzent5 93 2" xfId="4985" xr:uid="{00000000-0005-0000-0000-0000F11A0000}"/>
    <cellStyle name="40% - Akzent5 93 2 2" xfId="14403" xr:uid="{00000000-0005-0000-0000-0000F21A0000}"/>
    <cellStyle name="40% - Akzent5 93 2_est. MEAT" xfId="21561" xr:uid="{00000000-0005-0000-0000-0000F31A0000}"/>
    <cellStyle name="40% - Akzent5 93 3" xfId="14402" xr:uid="{00000000-0005-0000-0000-0000F41A0000}"/>
    <cellStyle name="40% - Akzent5 93_2012-2019" xfId="12082" xr:uid="{00000000-0005-0000-0000-0000F51A0000}"/>
    <cellStyle name="40% - Akzent5 94" xfId="4986" xr:uid="{00000000-0005-0000-0000-0000F61A0000}"/>
    <cellStyle name="40% - Akzent5 94 2" xfId="4987" xr:uid="{00000000-0005-0000-0000-0000F71A0000}"/>
    <cellStyle name="40% - Akzent5 94 2 2" xfId="14405" xr:uid="{00000000-0005-0000-0000-0000F81A0000}"/>
    <cellStyle name="40% - Akzent5 94 2_est. MEAT" xfId="21562" xr:uid="{00000000-0005-0000-0000-0000F91A0000}"/>
    <cellStyle name="40% - Akzent5 94 3" xfId="14404" xr:uid="{00000000-0005-0000-0000-0000FA1A0000}"/>
    <cellStyle name="40% - Akzent5 94_2012-2019" xfId="12083" xr:uid="{00000000-0005-0000-0000-0000FB1A0000}"/>
    <cellStyle name="40% - Akzent5 95" xfId="4988" xr:uid="{00000000-0005-0000-0000-0000FC1A0000}"/>
    <cellStyle name="40% - Akzent5 95 2" xfId="4989" xr:uid="{00000000-0005-0000-0000-0000FD1A0000}"/>
    <cellStyle name="40% - Akzent5 95 2 2" xfId="14407" xr:uid="{00000000-0005-0000-0000-0000FE1A0000}"/>
    <cellStyle name="40% - Akzent5 95 2_est. MEAT" xfId="21563" xr:uid="{00000000-0005-0000-0000-0000FF1A0000}"/>
    <cellStyle name="40% - Akzent5 95 3" xfId="14406" xr:uid="{00000000-0005-0000-0000-0000001B0000}"/>
    <cellStyle name="40% - Akzent5 95_2012-2019" xfId="12084" xr:uid="{00000000-0005-0000-0000-0000011B0000}"/>
    <cellStyle name="40% - Akzent5 96" xfId="4990" xr:uid="{00000000-0005-0000-0000-0000021B0000}"/>
    <cellStyle name="40% - Akzent5 96 2" xfId="4991" xr:uid="{00000000-0005-0000-0000-0000031B0000}"/>
    <cellStyle name="40% - Akzent5 96 2 2" xfId="14409" xr:uid="{00000000-0005-0000-0000-0000041B0000}"/>
    <cellStyle name="40% - Akzent5 96 2_est. MEAT" xfId="21564" xr:uid="{00000000-0005-0000-0000-0000051B0000}"/>
    <cellStyle name="40% - Akzent5 96 3" xfId="14408" xr:uid="{00000000-0005-0000-0000-0000061B0000}"/>
    <cellStyle name="40% - Akzent5 96_2012-2019" xfId="12085" xr:uid="{00000000-0005-0000-0000-0000071B0000}"/>
    <cellStyle name="40% - Akzent5 97" xfId="4992" xr:uid="{00000000-0005-0000-0000-0000081B0000}"/>
    <cellStyle name="40% - Akzent5 97 2" xfId="4993" xr:uid="{00000000-0005-0000-0000-0000091B0000}"/>
    <cellStyle name="40% - Akzent5 97 2 2" xfId="14411" xr:uid="{00000000-0005-0000-0000-00000A1B0000}"/>
    <cellStyle name="40% - Akzent5 97 2_est. MEAT" xfId="21565" xr:uid="{00000000-0005-0000-0000-00000B1B0000}"/>
    <cellStyle name="40% - Akzent5 97 3" xfId="14410" xr:uid="{00000000-0005-0000-0000-00000C1B0000}"/>
    <cellStyle name="40% - Akzent5 97_2012-2019" xfId="12086" xr:uid="{00000000-0005-0000-0000-00000D1B0000}"/>
    <cellStyle name="40% - Akzent5 98" xfId="4994" xr:uid="{00000000-0005-0000-0000-00000E1B0000}"/>
    <cellStyle name="40% - Akzent5 98 2" xfId="4995" xr:uid="{00000000-0005-0000-0000-00000F1B0000}"/>
    <cellStyle name="40% - Akzent5 98 2 2" xfId="14413" xr:uid="{00000000-0005-0000-0000-0000101B0000}"/>
    <cellStyle name="40% - Akzent5 98 2_est. MEAT" xfId="21566" xr:uid="{00000000-0005-0000-0000-0000111B0000}"/>
    <cellStyle name="40% - Akzent5 98 3" xfId="14412" xr:uid="{00000000-0005-0000-0000-0000121B0000}"/>
    <cellStyle name="40% - Akzent5 98_2012-2019" xfId="12087" xr:uid="{00000000-0005-0000-0000-0000131B0000}"/>
    <cellStyle name="40% - Akzent5 99" xfId="4996" xr:uid="{00000000-0005-0000-0000-0000141B0000}"/>
    <cellStyle name="40% - Akzent5 99 2" xfId="4997" xr:uid="{00000000-0005-0000-0000-0000151B0000}"/>
    <cellStyle name="40% - Akzent5 99 2 2" xfId="14415" xr:uid="{00000000-0005-0000-0000-0000161B0000}"/>
    <cellStyle name="40% - Akzent5 99 2_est. MEAT" xfId="21567" xr:uid="{00000000-0005-0000-0000-0000171B0000}"/>
    <cellStyle name="40% - Akzent5 99 3" xfId="14414" xr:uid="{00000000-0005-0000-0000-0000181B0000}"/>
    <cellStyle name="40% - Akzent5 99_2012-2019" xfId="12088" xr:uid="{00000000-0005-0000-0000-0000191B0000}"/>
    <cellStyle name="40% - Akzent6 10" xfId="4998" xr:uid="{00000000-0005-0000-0000-00001A1B0000}"/>
    <cellStyle name="40% - Akzent6 10 2" xfId="4999" xr:uid="{00000000-0005-0000-0000-00001B1B0000}"/>
    <cellStyle name="40% - Akzent6 10 2 2" xfId="14417" xr:uid="{00000000-0005-0000-0000-00001C1B0000}"/>
    <cellStyle name="40% - Akzent6 10 2_est. MEAT" xfId="21568" xr:uid="{00000000-0005-0000-0000-00001D1B0000}"/>
    <cellStyle name="40% - Akzent6 10 3" xfId="14416" xr:uid="{00000000-0005-0000-0000-00001E1B0000}"/>
    <cellStyle name="40% - Akzent6 10_2012-2019" xfId="12089" xr:uid="{00000000-0005-0000-0000-00001F1B0000}"/>
    <cellStyle name="40% - Akzent6 100" xfId="5000" xr:uid="{00000000-0005-0000-0000-0000201B0000}"/>
    <cellStyle name="40% - Akzent6 100 2" xfId="5001" xr:uid="{00000000-0005-0000-0000-0000211B0000}"/>
    <cellStyle name="40% - Akzent6 100 2 2" xfId="14419" xr:uid="{00000000-0005-0000-0000-0000221B0000}"/>
    <cellStyle name="40% - Akzent6 100 2_est. MEAT" xfId="21569" xr:uid="{00000000-0005-0000-0000-0000231B0000}"/>
    <cellStyle name="40% - Akzent6 100 3" xfId="14418" xr:uid="{00000000-0005-0000-0000-0000241B0000}"/>
    <cellStyle name="40% - Akzent6 100_2012-2019" xfId="12090" xr:uid="{00000000-0005-0000-0000-0000251B0000}"/>
    <cellStyle name="40% - Akzent6 101" xfId="5002" xr:uid="{00000000-0005-0000-0000-0000261B0000}"/>
    <cellStyle name="40% - Akzent6 101 2" xfId="5003" xr:uid="{00000000-0005-0000-0000-0000271B0000}"/>
    <cellStyle name="40% - Akzent6 101 2 2" xfId="14421" xr:uid="{00000000-0005-0000-0000-0000281B0000}"/>
    <cellStyle name="40% - Akzent6 101 2_est. MEAT" xfId="21570" xr:uid="{00000000-0005-0000-0000-0000291B0000}"/>
    <cellStyle name="40% - Akzent6 101 3" xfId="14420" xr:uid="{00000000-0005-0000-0000-00002A1B0000}"/>
    <cellStyle name="40% - Akzent6 101_2012-2019" xfId="12091" xr:uid="{00000000-0005-0000-0000-00002B1B0000}"/>
    <cellStyle name="40% - Akzent6 102" xfId="5004" xr:uid="{00000000-0005-0000-0000-00002C1B0000}"/>
    <cellStyle name="40% - Akzent6 102 2" xfId="5005" xr:uid="{00000000-0005-0000-0000-00002D1B0000}"/>
    <cellStyle name="40% - Akzent6 102 2 2" xfId="14423" xr:uid="{00000000-0005-0000-0000-00002E1B0000}"/>
    <cellStyle name="40% - Akzent6 102 2_est. MEAT" xfId="21571" xr:uid="{00000000-0005-0000-0000-00002F1B0000}"/>
    <cellStyle name="40% - Akzent6 102 3" xfId="14422" xr:uid="{00000000-0005-0000-0000-0000301B0000}"/>
    <cellStyle name="40% - Akzent6 102_2012-2019" xfId="12092" xr:uid="{00000000-0005-0000-0000-0000311B0000}"/>
    <cellStyle name="40% - Akzent6 103" xfId="5006" xr:uid="{00000000-0005-0000-0000-0000321B0000}"/>
    <cellStyle name="40% - Akzent6 103 2" xfId="5007" xr:uid="{00000000-0005-0000-0000-0000331B0000}"/>
    <cellStyle name="40% - Akzent6 103 2 2" xfId="14425" xr:uid="{00000000-0005-0000-0000-0000341B0000}"/>
    <cellStyle name="40% - Akzent6 103 2_est. MEAT" xfId="21572" xr:uid="{00000000-0005-0000-0000-0000351B0000}"/>
    <cellStyle name="40% - Akzent6 103 3" xfId="14424" xr:uid="{00000000-0005-0000-0000-0000361B0000}"/>
    <cellStyle name="40% - Akzent6 103_2012-2019" xfId="12093" xr:uid="{00000000-0005-0000-0000-0000371B0000}"/>
    <cellStyle name="40% - Akzent6 104" xfId="5008" xr:uid="{00000000-0005-0000-0000-0000381B0000}"/>
    <cellStyle name="40% - Akzent6 104 2" xfId="5009" xr:uid="{00000000-0005-0000-0000-0000391B0000}"/>
    <cellStyle name="40% - Akzent6 104 2 2" xfId="14427" xr:uid="{00000000-0005-0000-0000-00003A1B0000}"/>
    <cellStyle name="40% - Akzent6 104 2_est. MEAT" xfId="21573" xr:uid="{00000000-0005-0000-0000-00003B1B0000}"/>
    <cellStyle name="40% - Akzent6 104 3" xfId="14426" xr:uid="{00000000-0005-0000-0000-00003C1B0000}"/>
    <cellStyle name="40% - Akzent6 104_2012-2019" xfId="12094" xr:uid="{00000000-0005-0000-0000-00003D1B0000}"/>
    <cellStyle name="40% - Akzent6 105" xfId="5010" xr:uid="{00000000-0005-0000-0000-00003E1B0000}"/>
    <cellStyle name="40% - Akzent6 105 2" xfId="5011" xr:uid="{00000000-0005-0000-0000-00003F1B0000}"/>
    <cellStyle name="40% - Akzent6 105 2 2" xfId="14429" xr:uid="{00000000-0005-0000-0000-0000401B0000}"/>
    <cellStyle name="40% - Akzent6 105 2_est. MEAT" xfId="21574" xr:uid="{00000000-0005-0000-0000-0000411B0000}"/>
    <cellStyle name="40% - Akzent6 105 3" xfId="14428" xr:uid="{00000000-0005-0000-0000-0000421B0000}"/>
    <cellStyle name="40% - Akzent6 105_2012-2019" xfId="12095" xr:uid="{00000000-0005-0000-0000-0000431B0000}"/>
    <cellStyle name="40% - Akzent6 106" xfId="5012" xr:uid="{00000000-0005-0000-0000-0000441B0000}"/>
    <cellStyle name="40% - Akzent6 106 2" xfId="5013" xr:uid="{00000000-0005-0000-0000-0000451B0000}"/>
    <cellStyle name="40% - Akzent6 106 2 2" xfId="14431" xr:uid="{00000000-0005-0000-0000-0000461B0000}"/>
    <cellStyle name="40% - Akzent6 106 2_est. MEAT" xfId="21575" xr:uid="{00000000-0005-0000-0000-0000471B0000}"/>
    <cellStyle name="40% - Akzent6 106 3" xfId="14430" xr:uid="{00000000-0005-0000-0000-0000481B0000}"/>
    <cellStyle name="40% - Akzent6 106_2012-2019" xfId="12096" xr:uid="{00000000-0005-0000-0000-0000491B0000}"/>
    <cellStyle name="40% - Akzent6 107" xfId="5014" xr:uid="{00000000-0005-0000-0000-00004A1B0000}"/>
    <cellStyle name="40% - Akzent6 107 2" xfId="5015" xr:uid="{00000000-0005-0000-0000-00004B1B0000}"/>
    <cellStyle name="40% - Akzent6 107 2 2" xfId="14433" xr:uid="{00000000-0005-0000-0000-00004C1B0000}"/>
    <cellStyle name="40% - Akzent6 107 2_est. MEAT" xfId="21576" xr:uid="{00000000-0005-0000-0000-00004D1B0000}"/>
    <cellStyle name="40% - Akzent6 107 3" xfId="14432" xr:uid="{00000000-0005-0000-0000-00004E1B0000}"/>
    <cellStyle name="40% - Akzent6 107_2012-2019" xfId="12097" xr:uid="{00000000-0005-0000-0000-00004F1B0000}"/>
    <cellStyle name="40% - Akzent6 108" xfId="5016" xr:uid="{00000000-0005-0000-0000-0000501B0000}"/>
    <cellStyle name="40% - Akzent6 108 2" xfId="5017" xr:uid="{00000000-0005-0000-0000-0000511B0000}"/>
    <cellStyle name="40% - Akzent6 108 2 2" xfId="14435" xr:uid="{00000000-0005-0000-0000-0000521B0000}"/>
    <cellStyle name="40% - Akzent6 108 2_est. MEAT" xfId="21577" xr:uid="{00000000-0005-0000-0000-0000531B0000}"/>
    <cellStyle name="40% - Akzent6 108 3" xfId="14434" xr:uid="{00000000-0005-0000-0000-0000541B0000}"/>
    <cellStyle name="40% - Akzent6 108_2012-2019" xfId="12098" xr:uid="{00000000-0005-0000-0000-0000551B0000}"/>
    <cellStyle name="40% - Akzent6 109" xfId="5018" xr:uid="{00000000-0005-0000-0000-0000561B0000}"/>
    <cellStyle name="40% - Akzent6 109 2" xfId="5019" xr:uid="{00000000-0005-0000-0000-0000571B0000}"/>
    <cellStyle name="40% - Akzent6 109 2 2" xfId="14437" xr:uid="{00000000-0005-0000-0000-0000581B0000}"/>
    <cellStyle name="40% - Akzent6 109 2_est. MEAT" xfId="21578" xr:uid="{00000000-0005-0000-0000-0000591B0000}"/>
    <cellStyle name="40% - Akzent6 109 3" xfId="14436" xr:uid="{00000000-0005-0000-0000-00005A1B0000}"/>
    <cellStyle name="40% - Akzent6 109_2012-2019" xfId="12099" xr:uid="{00000000-0005-0000-0000-00005B1B0000}"/>
    <cellStyle name="40% - Akzent6 11" xfId="5020" xr:uid="{00000000-0005-0000-0000-00005C1B0000}"/>
    <cellStyle name="40% - Akzent6 11 2" xfId="5021" xr:uid="{00000000-0005-0000-0000-00005D1B0000}"/>
    <cellStyle name="40% - Akzent6 11 2 2" xfId="14439" xr:uid="{00000000-0005-0000-0000-00005E1B0000}"/>
    <cellStyle name="40% - Akzent6 11 2_est. MEAT" xfId="21579" xr:uid="{00000000-0005-0000-0000-00005F1B0000}"/>
    <cellStyle name="40% - Akzent6 11 3" xfId="14438" xr:uid="{00000000-0005-0000-0000-0000601B0000}"/>
    <cellStyle name="40% - Akzent6 11_2012-2019" xfId="12100" xr:uid="{00000000-0005-0000-0000-0000611B0000}"/>
    <cellStyle name="40% - Akzent6 110" xfId="5022" xr:uid="{00000000-0005-0000-0000-0000621B0000}"/>
    <cellStyle name="40% - Akzent6 110 2" xfId="5023" xr:uid="{00000000-0005-0000-0000-0000631B0000}"/>
    <cellStyle name="40% - Akzent6 110 2 2" xfId="14441" xr:uid="{00000000-0005-0000-0000-0000641B0000}"/>
    <cellStyle name="40% - Akzent6 110 2_est. MEAT" xfId="21580" xr:uid="{00000000-0005-0000-0000-0000651B0000}"/>
    <cellStyle name="40% - Akzent6 110 3" xfId="14440" xr:uid="{00000000-0005-0000-0000-0000661B0000}"/>
    <cellStyle name="40% - Akzent6 110_2012-2019" xfId="12101" xr:uid="{00000000-0005-0000-0000-0000671B0000}"/>
    <cellStyle name="40% - Akzent6 111" xfId="5024" xr:uid="{00000000-0005-0000-0000-0000681B0000}"/>
    <cellStyle name="40% - Akzent6 111 2" xfId="5025" xr:uid="{00000000-0005-0000-0000-0000691B0000}"/>
    <cellStyle name="40% - Akzent6 111 2 2" xfId="14443" xr:uid="{00000000-0005-0000-0000-00006A1B0000}"/>
    <cellStyle name="40% - Akzent6 111 2_est. MEAT" xfId="21581" xr:uid="{00000000-0005-0000-0000-00006B1B0000}"/>
    <cellStyle name="40% - Akzent6 111 3" xfId="14442" xr:uid="{00000000-0005-0000-0000-00006C1B0000}"/>
    <cellStyle name="40% - Akzent6 111_2012-2019" xfId="12102" xr:uid="{00000000-0005-0000-0000-00006D1B0000}"/>
    <cellStyle name="40% - Akzent6 112" xfId="5026" xr:uid="{00000000-0005-0000-0000-00006E1B0000}"/>
    <cellStyle name="40% - Akzent6 112 2" xfId="5027" xr:uid="{00000000-0005-0000-0000-00006F1B0000}"/>
    <cellStyle name="40% - Akzent6 112 2 2" xfId="14445" xr:uid="{00000000-0005-0000-0000-0000701B0000}"/>
    <cellStyle name="40% - Akzent6 112 2_est. MEAT" xfId="21582" xr:uid="{00000000-0005-0000-0000-0000711B0000}"/>
    <cellStyle name="40% - Akzent6 112 3" xfId="14444" xr:uid="{00000000-0005-0000-0000-0000721B0000}"/>
    <cellStyle name="40% - Akzent6 112_2012-2019" xfId="12103" xr:uid="{00000000-0005-0000-0000-0000731B0000}"/>
    <cellStyle name="40% - Akzent6 113" xfId="5028" xr:uid="{00000000-0005-0000-0000-0000741B0000}"/>
    <cellStyle name="40% - Akzent6 113 2" xfId="5029" xr:uid="{00000000-0005-0000-0000-0000751B0000}"/>
    <cellStyle name="40% - Akzent6 113 2 2" xfId="14447" xr:uid="{00000000-0005-0000-0000-0000761B0000}"/>
    <cellStyle name="40% - Akzent6 113 2_est. MEAT" xfId="21583" xr:uid="{00000000-0005-0000-0000-0000771B0000}"/>
    <cellStyle name="40% - Akzent6 113 3" xfId="14446" xr:uid="{00000000-0005-0000-0000-0000781B0000}"/>
    <cellStyle name="40% - Akzent6 113_2012-2019" xfId="12104" xr:uid="{00000000-0005-0000-0000-0000791B0000}"/>
    <cellStyle name="40% - Akzent6 114" xfId="5030" xr:uid="{00000000-0005-0000-0000-00007A1B0000}"/>
    <cellStyle name="40% - Akzent6 114 2" xfId="5031" xr:uid="{00000000-0005-0000-0000-00007B1B0000}"/>
    <cellStyle name="40% - Akzent6 114 2 2" xfId="14449" xr:uid="{00000000-0005-0000-0000-00007C1B0000}"/>
    <cellStyle name="40% - Akzent6 114 2_est. MEAT" xfId="21584" xr:uid="{00000000-0005-0000-0000-00007D1B0000}"/>
    <cellStyle name="40% - Akzent6 114 3" xfId="14448" xr:uid="{00000000-0005-0000-0000-00007E1B0000}"/>
    <cellStyle name="40% - Akzent6 114_2012-2019" xfId="12105" xr:uid="{00000000-0005-0000-0000-00007F1B0000}"/>
    <cellStyle name="40% - Akzent6 115" xfId="5032" xr:uid="{00000000-0005-0000-0000-0000801B0000}"/>
    <cellStyle name="40% - Akzent6 115 2" xfId="5033" xr:uid="{00000000-0005-0000-0000-0000811B0000}"/>
    <cellStyle name="40% - Akzent6 115 2 2" xfId="14451" xr:uid="{00000000-0005-0000-0000-0000821B0000}"/>
    <cellStyle name="40% - Akzent6 115 2_est. MEAT" xfId="21585" xr:uid="{00000000-0005-0000-0000-0000831B0000}"/>
    <cellStyle name="40% - Akzent6 115 3" xfId="14450" xr:uid="{00000000-0005-0000-0000-0000841B0000}"/>
    <cellStyle name="40% - Akzent6 115_2012-2019" xfId="12106" xr:uid="{00000000-0005-0000-0000-0000851B0000}"/>
    <cellStyle name="40% - Akzent6 116" xfId="5034" xr:uid="{00000000-0005-0000-0000-0000861B0000}"/>
    <cellStyle name="40% - Akzent6 116 2" xfId="5035" xr:uid="{00000000-0005-0000-0000-0000871B0000}"/>
    <cellStyle name="40% - Akzent6 116 2 2" xfId="14453" xr:uid="{00000000-0005-0000-0000-0000881B0000}"/>
    <cellStyle name="40% - Akzent6 116 2_est. MEAT" xfId="21586" xr:uid="{00000000-0005-0000-0000-0000891B0000}"/>
    <cellStyle name="40% - Akzent6 116 3" xfId="14452" xr:uid="{00000000-0005-0000-0000-00008A1B0000}"/>
    <cellStyle name="40% - Akzent6 116_2012-2019" xfId="12107" xr:uid="{00000000-0005-0000-0000-00008B1B0000}"/>
    <cellStyle name="40% - Akzent6 117" xfId="5036" xr:uid="{00000000-0005-0000-0000-00008C1B0000}"/>
    <cellStyle name="40% - Akzent6 117 2" xfId="5037" xr:uid="{00000000-0005-0000-0000-00008D1B0000}"/>
    <cellStyle name="40% - Akzent6 117 2 2" xfId="14455" xr:uid="{00000000-0005-0000-0000-00008E1B0000}"/>
    <cellStyle name="40% - Akzent6 117 2_est. MEAT" xfId="21587" xr:uid="{00000000-0005-0000-0000-00008F1B0000}"/>
    <cellStyle name="40% - Akzent6 117 3" xfId="14454" xr:uid="{00000000-0005-0000-0000-0000901B0000}"/>
    <cellStyle name="40% - Akzent6 117_2012-2019" xfId="12108" xr:uid="{00000000-0005-0000-0000-0000911B0000}"/>
    <cellStyle name="40% - Akzent6 118" xfId="5038" xr:uid="{00000000-0005-0000-0000-0000921B0000}"/>
    <cellStyle name="40% - Akzent6 118 2" xfId="5039" xr:uid="{00000000-0005-0000-0000-0000931B0000}"/>
    <cellStyle name="40% - Akzent6 118 2 2" xfId="14457" xr:uid="{00000000-0005-0000-0000-0000941B0000}"/>
    <cellStyle name="40% - Akzent6 118 2_est. MEAT" xfId="21588" xr:uid="{00000000-0005-0000-0000-0000951B0000}"/>
    <cellStyle name="40% - Akzent6 118 3" xfId="14456" xr:uid="{00000000-0005-0000-0000-0000961B0000}"/>
    <cellStyle name="40% - Akzent6 118_2012-2019" xfId="12109" xr:uid="{00000000-0005-0000-0000-0000971B0000}"/>
    <cellStyle name="40% - Akzent6 119" xfId="5040" xr:uid="{00000000-0005-0000-0000-0000981B0000}"/>
    <cellStyle name="40% - Akzent6 119 2" xfId="5041" xr:uid="{00000000-0005-0000-0000-0000991B0000}"/>
    <cellStyle name="40% - Akzent6 119 2 2" xfId="14459" xr:uid="{00000000-0005-0000-0000-00009A1B0000}"/>
    <cellStyle name="40% - Akzent6 119 2_est. MEAT" xfId="21589" xr:uid="{00000000-0005-0000-0000-00009B1B0000}"/>
    <cellStyle name="40% - Akzent6 119 3" xfId="14458" xr:uid="{00000000-0005-0000-0000-00009C1B0000}"/>
    <cellStyle name="40% - Akzent6 119_2012-2019" xfId="12110" xr:uid="{00000000-0005-0000-0000-00009D1B0000}"/>
    <cellStyle name="40% - Akzent6 12" xfId="5042" xr:uid="{00000000-0005-0000-0000-00009E1B0000}"/>
    <cellStyle name="40% - Akzent6 12 2" xfId="5043" xr:uid="{00000000-0005-0000-0000-00009F1B0000}"/>
    <cellStyle name="40% - Akzent6 12 2 2" xfId="14461" xr:uid="{00000000-0005-0000-0000-0000A01B0000}"/>
    <cellStyle name="40% - Akzent6 12 2_est. MEAT" xfId="21590" xr:uid="{00000000-0005-0000-0000-0000A11B0000}"/>
    <cellStyle name="40% - Akzent6 12 3" xfId="14460" xr:uid="{00000000-0005-0000-0000-0000A21B0000}"/>
    <cellStyle name="40% - Akzent6 12_2012-2019" xfId="12111" xr:uid="{00000000-0005-0000-0000-0000A31B0000}"/>
    <cellStyle name="40% - Akzent6 120" xfId="5044" xr:uid="{00000000-0005-0000-0000-0000A41B0000}"/>
    <cellStyle name="40% - Akzent6 120 2" xfId="5045" xr:uid="{00000000-0005-0000-0000-0000A51B0000}"/>
    <cellStyle name="40% - Akzent6 120 2 2" xfId="14463" xr:uid="{00000000-0005-0000-0000-0000A61B0000}"/>
    <cellStyle name="40% - Akzent6 120 2_est. MEAT" xfId="21591" xr:uid="{00000000-0005-0000-0000-0000A71B0000}"/>
    <cellStyle name="40% - Akzent6 120 3" xfId="14462" xr:uid="{00000000-0005-0000-0000-0000A81B0000}"/>
    <cellStyle name="40% - Akzent6 120_2012-2019" xfId="12112" xr:uid="{00000000-0005-0000-0000-0000A91B0000}"/>
    <cellStyle name="40% - Akzent6 121" xfId="5046" xr:uid="{00000000-0005-0000-0000-0000AA1B0000}"/>
    <cellStyle name="40% - Akzent6 121 2" xfId="5047" xr:uid="{00000000-0005-0000-0000-0000AB1B0000}"/>
    <cellStyle name="40% - Akzent6 121 2 2" xfId="14465" xr:uid="{00000000-0005-0000-0000-0000AC1B0000}"/>
    <cellStyle name="40% - Akzent6 121 2_est. MEAT" xfId="21592" xr:uid="{00000000-0005-0000-0000-0000AD1B0000}"/>
    <cellStyle name="40% - Akzent6 121 3" xfId="14464" xr:uid="{00000000-0005-0000-0000-0000AE1B0000}"/>
    <cellStyle name="40% - Akzent6 121_2012-2019" xfId="12113" xr:uid="{00000000-0005-0000-0000-0000AF1B0000}"/>
    <cellStyle name="40% - Akzent6 122" xfId="5048" xr:uid="{00000000-0005-0000-0000-0000B01B0000}"/>
    <cellStyle name="40% - Akzent6 122 2" xfId="5049" xr:uid="{00000000-0005-0000-0000-0000B11B0000}"/>
    <cellStyle name="40% - Akzent6 122 2 2" xfId="14467" xr:uid="{00000000-0005-0000-0000-0000B21B0000}"/>
    <cellStyle name="40% - Akzent6 122 2_est. MEAT" xfId="21593" xr:uid="{00000000-0005-0000-0000-0000B31B0000}"/>
    <cellStyle name="40% - Akzent6 122 3" xfId="14466" xr:uid="{00000000-0005-0000-0000-0000B41B0000}"/>
    <cellStyle name="40% - Akzent6 122_2012-2019" xfId="12114" xr:uid="{00000000-0005-0000-0000-0000B51B0000}"/>
    <cellStyle name="40% - Akzent6 123" xfId="5050" xr:uid="{00000000-0005-0000-0000-0000B61B0000}"/>
    <cellStyle name="40% - Akzent6 123 2" xfId="5051" xr:uid="{00000000-0005-0000-0000-0000B71B0000}"/>
    <cellStyle name="40% - Akzent6 123 2 2" xfId="14469" xr:uid="{00000000-0005-0000-0000-0000B81B0000}"/>
    <cellStyle name="40% - Akzent6 123 2_est. MEAT" xfId="21594" xr:uid="{00000000-0005-0000-0000-0000B91B0000}"/>
    <cellStyle name="40% - Akzent6 123 3" xfId="14468" xr:uid="{00000000-0005-0000-0000-0000BA1B0000}"/>
    <cellStyle name="40% - Akzent6 123_2012-2019" xfId="12115" xr:uid="{00000000-0005-0000-0000-0000BB1B0000}"/>
    <cellStyle name="40% - Akzent6 124" xfId="5052" xr:uid="{00000000-0005-0000-0000-0000BC1B0000}"/>
    <cellStyle name="40% - Akzent6 124 2" xfId="5053" xr:uid="{00000000-0005-0000-0000-0000BD1B0000}"/>
    <cellStyle name="40% - Akzent6 124 2 2" xfId="14471" xr:uid="{00000000-0005-0000-0000-0000BE1B0000}"/>
    <cellStyle name="40% - Akzent6 124 2_est. MEAT" xfId="21595" xr:uid="{00000000-0005-0000-0000-0000BF1B0000}"/>
    <cellStyle name="40% - Akzent6 124 3" xfId="14470" xr:uid="{00000000-0005-0000-0000-0000C01B0000}"/>
    <cellStyle name="40% - Akzent6 124_2012-2019" xfId="12116" xr:uid="{00000000-0005-0000-0000-0000C11B0000}"/>
    <cellStyle name="40% - Akzent6 125" xfId="5054" xr:uid="{00000000-0005-0000-0000-0000C21B0000}"/>
    <cellStyle name="40% - Akzent6 125 2" xfId="5055" xr:uid="{00000000-0005-0000-0000-0000C31B0000}"/>
    <cellStyle name="40% - Akzent6 125 2 2" xfId="14473" xr:uid="{00000000-0005-0000-0000-0000C41B0000}"/>
    <cellStyle name="40% - Akzent6 125 2_est. MEAT" xfId="21596" xr:uid="{00000000-0005-0000-0000-0000C51B0000}"/>
    <cellStyle name="40% - Akzent6 125 3" xfId="14472" xr:uid="{00000000-0005-0000-0000-0000C61B0000}"/>
    <cellStyle name="40% - Akzent6 125_2012-2019" xfId="12117" xr:uid="{00000000-0005-0000-0000-0000C71B0000}"/>
    <cellStyle name="40% - Akzent6 126" xfId="5056" xr:uid="{00000000-0005-0000-0000-0000C81B0000}"/>
    <cellStyle name="40% - Akzent6 126 2" xfId="5057" xr:uid="{00000000-0005-0000-0000-0000C91B0000}"/>
    <cellStyle name="40% - Akzent6 126 2 2" xfId="14475" xr:uid="{00000000-0005-0000-0000-0000CA1B0000}"/>
    <cellStyle name="40% - Akzent6 126 2_est. MEAT" xfId="21597" xr:uid="{00000000-0005-0000-0000-0000CB1B0000}"/>
    <cellStyle name="40% - Akzent6 126 3" xfId="14474" xr:uid="{00000000-0005-0000-0000-0000CC1B0000}"/>
    <cellStyle name="40% - Akzent6 126_2012-2019" xfId="12118" xr:uid="{00000000-0005-0000-0000-0000CD1B0000}"/>
    <cellStyle name="40% - Akzent6 127" xfId="5058" xr:uid="{00000000-0005-0000-0000-0000CE1B0000}"/>
    <cellStyle name="40% - Akzent6 127 2" xfId="5059" xr:uid="{00000000-0005-0000-0000-0000CF1B0000}"/>
    <cellStyle name="40% - Akzent6 127 2 2" xfId="14477" xr:uid="{00000000-0005-0000-0000-0000D01B0000}"/>
    <cellStyle name="40% - Akzent6 127 2_est. MEAT" xfId="21598" xr:uid="{00000000-0005-0000-0000-0000D11B0000}"/>
    <cellStyle name="40% - Akzent6 127 3" xfId="14476" xr:uid="{00000000-0005-0000-0000-0000D21B0000}"/>
    <cellStyle name="40% - Akzent6 127_2012-2019" xfId="12119" xr:uid="{00000000-0005-0000-0000-0000D31B0000}"/>
    <cellStyle name="40% - Akzent6 128" xfId="5060" xr:uid="{00000000-0005-0000-0000-0000D41B0000}"/>
    <cellStyle name="40% - Akzent6 128 2" xfId="5061" xr:uid="{00000000-0005-0000-0000-0000D51B0000}"/>
    <cellStyle name="40% - Akzent6 128 2 2" xfId="14479" xr:uid="{00000000-0005-0000-0000-0000D61B0000}"/>
    <cellStyle name="40% - Akzent6 128 2_est. MEAT" xfId="21599" xr:uid="{00000000-0005-0000-0000-0000D71B0000}"/>
    <cellStyle name="40% - Akzent6 128 3" xfId="14478" xr:uid="{00000000-0005-0000-0000-0000D81B0000}"/>
    <cellStyle name="40% - Akzent6 128_2012-2019" xfId="12120" xr:uid="{00000000-0005-0000-0000-0000D91B0000}"/>
    <cellStyle name="40% - Akzent6 129" xfId="5062" xr:uid="{00000000-0005-0000-0000-0000DA1B0000}"/>
    <cellStyle name="40% - Akzent6 129 2" xfId="5063" xr:uid="{00000000-0005-0000-0000-0000DB1B0000}"/>
    <cellStyle name="40% - Akzent6 129 2 2" xfId="14481" xr:uid="{00000000-0005-0000-0000-0000DC1B0000}"/>
    <cellStyle name="40% - Akzent6 129 2_est. MEAT" xfId="21600" xr:uid="{00000000-0005-0000-0000-0000DD1B0000}"/>
    <cellStyle name="40% - Akzent6 129 3" xfId="14480" xr:uid="{00000000-0005-0000-0000-0000DE1B0000}"/>
    <cellStyle name="40% - Akzent6 129_2012-2019" xfId="12121" xr:uid="{00000000-0005-0000-0000-0000DF1B0000}"/>
    <cellStyle name="40% - Akzent6 13" xfId="5064" xr:uid="{00000000-0005-0000-0000-0000E01B0000}"/>
    <cellStyle name="40% - Akzent6 13 2" xfId="5065" xr:uid="{00000000-0005-0000-0000-0000E11B0000}"/>
    <cellStyle name="40% - Akzent6 13 2 2" xfId="14483" xr:uid="{00000000-0005-0000-0000-0000E21B0000}"/>
    <cellStyle name="40% - Akzent6 13 2_est. MEAT" xfId="21601" xr:uid="{00000000-0005-0000-0000-0000E31B0000}"/>
    <cellStyle name="40% - Akzent6 13 3" xfId="14482" xr:uid="{00000000-0005-0000-0000-0000E41B0000}"/>
    <cellStyle name="40% - Akzent6 13_2012-2019" xfId="12122" xr:uid="{00000000-0005-0000-0000-0000E51B0000}"/>
    <cellStyle name="40% - Akzent6 130" xfId="5066" xr:uid="{00000000-0005-0000-0000-0000E61B0000}"/>
    <cellStyle name="40% - Akzent6 130 2" xfId="5067" xr:uid="{00000000-0005-0000-0000-0000E71B0000}"/>
    <cellStyle name="40% - Akzent6 130 2 2" xfId="14485" xr:uid="{00000000-0005-0000-0000-0000E81B0000}"/>
    <cellStyle name="40% - Akzent6 130 2_est. MEAT" xfId="21602" xr:uid="{00000000-0005-0000-0000-0000E91B0000}"/>
    <cellStyle name="40% - Akzent6 130 3" xfId="14484" xr:uid="{00000000-0005-0000-0000-0000EA1B0000}"/>
    <cellStyle name="40% - Akzent6 130_2012-2019" xfId="12123" xr:uid="{00000000-0005-0000-0000-0000EB1B0000}"/>
    <cellStyle name="40% - Akzent6 131" xfId="5068" xr:uid="{00000000-0005-0000-0000-0000EC1B0000}"/>
    <cellStyle name="40% - Akzent6 131 2" xfId="5069" xr:uid="{00000000-0005-0000-0000-0000ED1B0000}"/>
    <cellStyle name="40% - Akzent6 131 2 2" xfId="14487" xr:uid="{00000000-0005-0000-0000-0000EE1B0000}"/>
    <cellStyle name="40% - Akzent6 131 2_est. MEAT" xfId="21603" xr:uid="{00000000-0005-0000-0000-0000EF1B0000}"/>
    <cellStyle name="40% - Akzent6 131 3" xfId="14486" xr:uid="{00000000-0005-0000-0000-0000F01B0000}"/>
    <cellStyle name="40% - Akzent6 131_2012-2019" xfId="12124" xr:uid="{00000000-0005-0000-0000-0000F11B0000}"/>
    <cellStyle name="40% - Akzent6 132" xfId="5070" xr:uid="{00000000-0005-0000-0000-0000F21B0000}"/>
    <cellStyle name="40% - Akzent6 132 2" xfId="5071" xr:uid="{00000000-0005-0000-0000-0000F31B0000}"/>
    <cellStyle name="40% - Akzent6 132 2 2" xfId="14489" xr:uid="{00000000-0005-0000-0000-0000F41B0000}"/>
    <cellStyle name="40% - Akzent6 132 2_est. MEAT" xfId="21604" xr:uid="{00000000-0005-0000-0000-0000F51B0000}"/>
    <cellStyle name="40% - Akzent6 132 3" xfId="14488" xr:uid="{00000000-0005-0000-0000-0000F61B0000}"/>
    <cellStyle name="40% - Akzent6 132_2012-2019" xfId="12125" xr:uid="{00000000-0005-0000-0000-0000F71B0000}"/>
    <cellStyle name="40% - Akzent6 133" xfId="5072" xr:uid="{00000000-0005-0000-0000-0000F81B0000}"/>
    <cellStyle name="40% - Akzent6 133 2" xfId="5073" xr:uid="{00000000-0005-0000-0000-0000F91B0000}"/>
    <cellStyle name="40% - Akzent6 133 2 2" xfId="14491" xr:uid="{00000000-0005-0000-0000-0000FA1B0000}"/>
    <cellStyle name="40% - Akzent6 133 2_est. MEAT" xfId="21605" xr:uid="{00000000-0005-0000-0000-0000FB1B0000}"/>
    <cellStyle name="40% - Akzent6 133 3" xfId="14490" xr:uid="{00000000-0005-0000-0000-0000FC1B0000}"/>
    <cellStyle name="40% - Akzent6 133_2012-2019" xfId="12126" xr:uid="{00000000-0005-0000-0000-0000FD1B0000}"/>
    <cellStyle name="40% - Akzent6 134" xfId="5074" xr:uid="{00000000-0005-0000-0000-0000FE1B0000}"/>
    <cellStyle name="40% - Akzent6 134 2" xfId="5075" xr:uid="{00000000-0005-0000-0000-0000FF1B0000}"/>
    <cellStyle name="40% - Akzent6 134 2 2" xfId="14493" xr:uid="{00000000-0005-0000-0000-0000001C0000}"/>
    <cellStyle name="40% - Akzent6 134 2_est. MEAT" xfId="21606" xr:uid="{00000000-0005-0000-0000-0000011C0000}"/>
    <cellStyle name="40% - Akzent6 134 3" xfId="14492" xr:uid="{00000000-0005-0000-0000-0000021C0000}"/>
    <cellStyle name="40% - Akzent6 134_2012-2019" xfId="12127" xr:uid="{00000000-0005-0000-0000-0000031C0000}"/>
    <cellStyle name="40% - Akzent6 135" xfId="5076" xr:uid="{00000000-0005-0000-0000-0000041C0000}"/>
    <cellStyle name="40% - Akzent6 135 2" xfId="5077" xr:uid="{00000000-0005-0000-0000-0000051C0000}"/>
    <cellStyle name="40% - Akzent6 135 2 2" xfId="14495" xr:uid="{00000000-0005-0000-0000-0000061C0000}"/>
    <cellStyle name="40% - Akzent6 135 2_est. MEAT" xfId="21607" xr:uid="{00000000-0005-0000-0000-0000071C0000}"/>
    <cellStyle name="40% - Akzent6 135 3" xfId="14494" xr:uid="{00000000-0005-0000-0000-0000081C0000}"/>
    <cellStyle name="40% - Akzent6 135_2012-2019" xfId="12128" xr:uid="{00000000-0005-0000-0000-0000091C0000}"/>
    <cellStyle name="40% - Akzent6 136" xfId="5078" xr:uid="{00000000-0005-0000-0000-00000A1C0000}"/>
    <cellStyle name="40% - Akzent6 136 2" xfId="5079" xr:uid="{00000000-0005-0000-0000-00000B1C0000}"/>
    <cellStyle name="40% - Akzent6 136 2 2" xfId="14497" xr:uid="{00000000-0005-0000-0000-00000C1C0000}"/>
    <cellStyle name="40% - Akzent6 136 2_est. MEAT" xfId="21608" xr:uid="{00000000-0005-0000-0000-00000D1C0000}"/>
    <cellStyle name="40% - Akzent6 136 3" xfId="14496" xr:uid="{00000000-0005-0000-0000-00000E1C0000}"/>
    <cellStyle name="40% - Akzent6 136_2012-2019" xfId="12129" xr:uid="{00000000-0005-0000-0000-00000F1C0000}"/>
    <cellStyle name="40% - Akzent6 137" xfId="5080" xr:uid="{00000000-0005-0000-0000-0000101C0000}"/>
    <cellStyle name="40% - Akzent6 137 2" xfId="5081" xr:uid="{00000000-0005-0000-0000-0000111C0000}"/>
    <cellStyle name="40% - Akzent6 137 2 2" xfId="14499" xr:uid="{00000000-0005-0000-0000-0000121C0000}"/>
    <cellStyle name="40% - Akzent6 137 2_est. MEAT" xfId="21609" xr:uid="{00000000-0005-0000-0000-0000131C0000}"/>
    <cellStyle name="40% - Akzent6 137 3" xfId="14498" xr:uid="{00000000-0005-0000-0000-0000141C0000}"/>
    <cellStyle name="40% - Akzent6 137_2012-2019" xfId="12130" xr:uid="{00000000-0005-0000-0000-0000151C0000}"/>
    <cellStyle name="40% - Akzent6 138" xfId="5082" xr:uid="{00000000-0005-0000-0000-0000161C0000}"/>
    <cellStyle name="40% - Akzent6 138 2" xfId="5083" xr:uid="{00000000-0005-0000-0000-0000171C0000}"/>
    <cellStyle name="40% - Akzent6 138 2 2" xfId="14501" xr:uid="{00000000-0005-0000-0000-0000181C0000}"/>
    <cellStyle name="40% - Akzent6 138 2_est. MEAT" xfId="21610" xr:uid="{00000000-0005-0000-0000-0000191C0000}"/>
    <cellStyle name="40% - Akzent6 138 3" xfId="14500" xr:uid="{00000000-0005-0000-0000-00001A1C0000}"/>
    <cellStyle name="40% - Akzent6 138_2012-2019" xfId="12131" xr:uid="{00000000-0005-0000-0000-00001B1C0000}"/>
    <cellStyle name="40% - Akzent6 139" xfId="5084" xr:uid="{00000000-0005-0000-0000-00001C1C0000}"/>
    <cellStyle name="40% - Akzent6 139 2" xfId="5085" xr:uid="{00000000-0005-0000-0000-00001D1C0000}"/>
    <cellStyle name="40% - Akzent6 139 2 2" xfId="14503" xr:uid="{00000000-0005-0000-0000-00001E1C0000}"/>
    <cellStyle name="40% - Akzent6 139 2_est. MEAT" xfId="21611" xr:uid="{00000000-0005-0000-0000-00001F1C0000}"/>
    <cellStyle name="40% - Akzent6 139 3" xfId="14502" xr:uid="{00000000-0005-0000-0000-0000201C0000}"/>
    <cellStyle name="40% - Akzent6 139_2012-2019" xfId="12132" xr:uid="{00000000-0005-0000-0000-0000211C0000}"/>
    <cellStyle name="40% - Akzent6 14" xfId="5086" xr:uid="{00000000-0005-0000-0000-0000221C0000}"/>
    <cellStyle name="40% - Akzent6 14 2" xfId="5087" xr:uid="{00000000-0005-0000-0000-0000231C0000}"/>
    <cellStyle name="40% - Akzent6 14 2 2" xfId="14505" xr:uid="{00000000-0005-0000-0000-0000241C0000}"/>
    <cellStyle name="40% - Akzent6 14 2_est. MEAT" xfId="21612" xr:uid="{00000000-0005-0000-0000-0000251C0000}"/>
    <cellStyle name="40% - Akzent6 14 3" xfId="14504" xr:uid="{00000000-0005-0000-0000-0000261C0000}"/>
    <cellStyle name="40% - Akzent6 14_2012-2019" xfId="12133" xr:uid="{00000000-0005-0000-0000-0000271C0000}"/>
    <cellStyle name="40% - Akzent6 140" xfId="5088" xr:uid="{00000000-0005-0000-0000-0000281C0000}"/>
    <cellStyle name="40% - Akzent6 140 2" xfId="5089" xr:uid="{00000000-0005-0000-0000-0000291C0000}"/>
    <cellStyle name="40% - Akzent6 140 2 2" xfId="14507" xr:uid="{00000000-0005-0000-0000-00002A1C0000}"/>
    <cellStyle name="40% - Akzent6 140 2_est. MEAT" xfId="21613" xr:uid="{00000000-0005-0000-0000-00002B1C0000}"/>
    <cellStyle name="40% - Akzent6 140 3" xfId="14506" xr:uid="{00000000-0005-0000-0000-00002C1C0000}"/>
    <cellStyle name="40% - Akzent6 140_2012-2019" xfId="12134" xr:uid="{00000000-0005-0000-0000-00002D1C0000}"/>
    <cellStyle name="40% - Akzent6 141" xfId="5090" xr:uid="{00000000-0005-0000-0000-00002E1C0000}"/>
    <cellStyle name="40% - Akzent6 141 2" xfId="5091" xr:uid="{00000000-0005-0000-0000-00002F1C0000}"/>
    <cellStyle name="40% - Akzent6 141 2 2" xfId="14509" xr:uid="{00000000-0005-0000-0000-0000301C0000}"/>
    <cellStyle name="40% - Akzent6 141 2_est. MEAT" xfId="21614" xr:uid="{00000000-0005-0000-0000-0000311C0000}"/>
    <cellStyle name="40% - Akzent6 141 3" xfId="14508" xr:uid="{00000000-0005-0000-0000-0000321C0000}"/>
    <cellStyle name="40% - Akzent6 141_2012-2019" xfId="12135" xr:uid="{00000000-0005-0000-0000-0000331C0000}"/>
    <cellStyle name="40% - Akzent6 142" xfId="5092" xr:uid="{00000000-0005-0000-0000-0000341C0000}"/>
    <cellStyle name="40% - Akzent6 142 2" xfId="5093" xr:uid="{00000000-0005-0000-0000-0000351C0000}"/>
    <cellStyle name="40% - Akzent6 142 2 2" xfId="14511" xr:uid="{00000000-0005-0000-0000-0000361C0000}"/>
    <cellStyle name="40% - Akzent6 142 2_est. MEAT" xfId="21615" xr:uid="{00000000-0005-0000-0000-0000371C0000}"/>
    <cellStyle name="40% - Akzent6 142 3" xfId="14510" xr:uid="{00000000-0005-0000-0000-0000381C0000}"/>
    <cellStyle name="40% - Akzent6 142_2012-2019" xfId="12136" xr:uid="{00000000-0005-0000-0000-0000391C0000}"/>
    <cellStyle name="40% - Akzent6 143" xfId="5094" xr:uid="{00000000-0005-0000-0000-00003A1C0000}"/>
    <cellStyle name="40% - Akzent6 143 2" xfId="5095" xr:uid="{00000000-0005-0000-0000-00003B1C0000}"/>
    <cellStyle name="40% - Akzent6 143 2 2" xfId="14513" xr:uid="{00000000-0005-0000-0000-00003C1C0000}"/>
    <cellStyle name="40% - Akzent6 143 2_est. MEAT" xfId="21616" xr:uid="{00000000-0005-0000-0000-00003D1C0000}"/>
    <cellStyle name="40% - Akzent6 143 3" xfId="14512" xr:uid="{00000000-0005-0000-0000-00003E1C0000}"/>
    <cellStyle name="40% - Akzent6 143_2012-2019" xfId="12137" xr:uid="{00000000-0005-0000-0000-00003F1C0000}"/>
    <cellStyle name="40% - Akzent6 144" xfId="5096" xr:uid="{00000000-0005-0000-0000-0000401C0000}"/>
    <cellStyle name="40% - Akzent6 144 2" xfId="5097" xr:uid="{00000000-0005-0000-0000-0000411C0000}"/>
    <cellStyle name="40% - Akzent6 144 2 2" xfId="14515" xr:uid="{00000000-0005-0000-0000-0000421C0000}"/>
    <cellStyle name="40% - Akzent6 144 2_est. MEAT" xfId="21617" xr:uid="{00000000-0005-0000-0000-0000431C0000}"/>
    <cellStyle name="40% - Akzent6 144 3" xfId="14514" xr:uid="{00000000-0005-0000-0000-0000441C0000}"/>
    <cellStyle name="40% - Akzent6 144_2012-2019" xfId="12138" xr:uid="{00000000-0005-0000-0000-0000451C0000}"/>
    <cellStyle name="40% - Akzent6 145" xfId="5098" xr:uid="{00000000-0005-0000-0000-0000461C0000}"/>
    <cellStyle name="40% - Akzent6 145 2" xfId="5099" xr:uid="{00000000-0005-0000-0000-0000471C0000}"/>
    <cellStyle name="40% - Akzent6 145 2 2" xfId="14517" xr:uid="{00000000-0005-0000-0000-0000481C0000}"/>
    <cellStyle name="40% - Akzent6 145 2_est. MEAT" xfId="21618" xr:uid="{00000000-0005-0000-0000-0000491C0000}"/>
    <cellStyle name="40% - Akzent6 145 3" xfId="14516" xr:uid="{00000000-0005-0000-0000-00004A1C0000}"/>
    <cellStyle name="40% - Akzent6 145_2012-2019" xfId="12139" xr:uid="{00000000-0005-0000-0000-00004B1C0000}"/>
    <cellStyle name="40% - Akzent6 146" xfId="5100" xr:uid="{00000000-0005-0000-0000-00004C1C0000}"/>
    <cellStyle name="40% - Akzent6 146 2" xfId="5101" xr:uid="{00000000-0005-0000-0000-00004D1C0000}"/>
    <cellStyle name="40% - Akzent6 146 2 2" xfId="14519" xr:uid="{00000000-0005-0000-0000-00004E1C0000}"/>
    <cellStyle name="40% - Akzent6 146 2_est. MEAT" xfId="21619" xr:uid="{00000000-0005-0000-0000-00004F1C0000}"/>
    <cellStyle name="40% - Akzent6 146 3" xfId="14518" xr:uid="{00000000-0005-0000-0000-0000501C0000}"/>
    <cellStyle name="40% - Akzent6 146_2012-2019" xfId="12140" xr:uid="{00000000-0005-0000-0000-0000511C0000}"/>
    <cellStyle name="40% - Akzent6 147" xfId="5102" xr:uid="{00000000-0005-0000-0000-0000521C0000}"/>
    <cellStyle name="40% - Akzent6 147 2" xfId="5103" xr:uid="{00000000-0005-0000-0000-0000531C0000}"/>
    <cellStyle name="40% - Akzent6 147 2 2" xfId="14521" xr:uid="{00000000-0005-0000-0000-0000541C0000}"/>
    <cellStyle name="40% - Akzent6 147 2_est. MEAT" xfId="21620" xr:uid="{00000000-0005-0000-0000-0000551C0000}"/>
    <cellStyle name="40% - Akzent6 147 3" xfId="14520" xr:uid="{00000000-0005-0000-0000-0000561C0000}"/>
    <cellStyle name="40% - Akzent6 147_2012-2019" xfId="12141" xr:uid="{00000000-0005-0000-0000-0000571C0000}"/>
    <cellStyle name="40% - Akzent6 148" xfId="5104" xr:uid="{00000000-0005-0000-0000-0000581C0000}"/>
    <cellStyle name="40% - Akzent6 148 2" xfId="5105" xr:uid="{00000000-0005-0000-0000-0000591C0000}"/>
    <cellStyle name="40% - Akzent6 148 2 2" xfId="14523" xr:uid="{00000000-0005-0000-0000-00005A1C0000}"/>
    <cellStyle name="40% - Akzent6 148 2_est. MEAT" xfId="21621" xr:uid="{00000000-0005-0000-0000-00005B1C0000}"/>
    <cellStyle name="40% - Akzent6 148 3" xfId="14522" xr:uid="{00000000-0005-0000-0000-00005C1C0000}"/>
    <cellStyle name="40% - Akzent6 148_2012-2019" xfId="12142" xr:uid="{00000000-0005-0000-0000-00005D1C0000}"/>
    <cellStyle name="40% - Akzent6 149" xfId="5106" xr:uid="{00000000-0005-0000-0000-00005E1C0000}"/>
    <cellStyle name="40% - Akzent6 149 2" xfId="5107" xr:uid="{00000000-0005-0000-0000-00005F1C0000}"/>
    <cellStyle name="40% - Akzent6 149 2 2" xfId="14525" xr:uid="{00000000-0005-0000-0000-0000601C0000}"/>
    <cellStyle name="40% - Akzent6 149 2_est. MEAT" xfId="21622" xr:uid="{00000000-0005-0000-0000-0000611C0000}"/>
    <cellStyle name="40% - Akzent6 149 3" xfId="14524" xr:uid="{00000000-0005-0000-0000-0000621C0000}"/>
    <cellStyle name="40% - Akzent6 149_2012-2019" xfId="12143" xr:uid="{00000000-0005-0000-0000-0000631C0000}"/>
    <cellStyle name="40% - Akzent6 15" xfId="5108" xr:uid="{00000000-0005-0000-0000-0000641C0000}"/>
    <cellStyle name="40% - Akzent6 15 2" xfId="5109" xr:uid="{00000000-0005-0000-0000-0000651C0000}"/>
    <cellStyle name="40% - Akzent6 15 2 2" xfId="14527" xr:uid="{00000000-0005-0000-0000-0000661C0000}"/>
    <cellStyle name="40% - Akzent6 15 2_est. MEAT" xfId="21623" xr:uid="{00000000-0005-0000-0000-0000671C0000}"/>
    <cellStyle name="40% - Akzent6 15 3" xfId="14526" xr:uid="{00000000-0005-0000-0000-0000681C0000}"/>
    <cellStyle name="40% - Akzent6 15_2012-2019" xfId="12144" xr:uid="{00000000-0005-0000-0000-0000691C0000}"/>
    <cellStyle name="40% - Akzent6 150" xfId="5110" xr:uid="{00000000-0005-0000-0000-00006A1C0000}"/>
    <cellStyle name="40% - Akzent6 150 2" xfId="5111" xr:uid="{00000000-0005-0000-0000-00006B1C0000}"/>
    <cellStyle name="40% - Akzent6 150 2 2" xfId="14529" xr:uid="{00000000-0005-0000-0000-00006C1C0000}"/>
    <cellStyle name="40% - Akzent6 150 2_est. MEAT" xfId="21624" xr:uid="{00000000-0005-0000-0000-00006D1C0000}"/>
    <cellStyle name="40% - Akzent6 150 3" xfId="14528" xr:uid="{00000000-0005-0000-0000-00006E1C0000}"/>
    <cellStyle name="40% - Akzent6 150_2012-2019" xfId="12145" xr:uid="{00000000-0005-0000-0000-00006F1C0000}"/>
    <cellStyle name="40% - Akzent6 151" xfId="5112" xr:uid="{00000000-0005-0000-0000-0000701C0000}"/>
    <cellStyle name="40% - Akzent6 151 2" xfId="5113" xr:uid="{00000000-0005-0000-0000-0000711C0000}"/>
    <cellStyle name="40% - Akzent6 151 2 2" xfId="14531" xr:uid="{00000000-0005-0000-0000-0000721C0000}"/>
    <cellStyle name="40% - Akzent6 151 2_est. MEAT" xfId="21625" xr:uid="{00000000-0005-0000-0000-0000731C0000}"/>
    <cellStyle name="40% - Akzent6 151 3" xfId="14530" xr:uid="{00000000-0005-0000-0000-0000741C0000}"/>
    <cellStyle name="40% - Akzent6 151_2012-2019" xfId="12146" xr:uid="{00000000-0005-0000-0000-0000751C0000}"/>
    <cellStyle name="40% - Akzent6 16" xfId="5114" xr:uid="{00000000-0005-0000-0000-0000761C0000}"/>
    <cellStyle name="40% - Akzent6 16 2" xfId="5115" xr:uid="{00000000-0005-0000-0000-0000771C0000}"/>
    <cellStyle name="40% - Akzent6 16 2 2" xfId="14533" xr:uid="{00000000-0005-0000-0000-0000781C0000}"/>
    <cellStyle name="40% - Akzent6 16 2_est. MEAT" xfId="21626" xr:uid="{00000000-0005-0000-0000-0000791C0000}"/>
    <cellStyle name="40% - Akzent6 16 3" xfId="14532" xr:uid="{00000000-0005-0000-0000-00007A1C0000}"/>
    <cellStyle name="40% - Akzent6 16_2012-2019" xfId="12147" xr:uid="{00000000-0005-0000-0000-00007B1C0000}"/>
    <cellStyle name="40% - Akzent6 17" xfId="5116" xr:uid="{00000000-0005-0000-0000-00007C1C0000}"/>
    <cellStyle name="40% - Akzent6 17 2" xfId="5117" xr:uid="{00000000-0005-0000-0000-00007D1C0000}"/>
    <cellStyle name="40% - Akzent6 17 2 2" xfId="14535" xr:uid="{00000000-0005-0000-0000-00007E1C0000}"/>
    <cellStyle name="40% - Akzent6 17 2_est. MEAT" xfId="21627" xr:uid="{00000000-0005-0000-0000-00007F1C0000}"/>
    <cellStyle name="40% - Akzent6 17 3" xfId="14534" xr:uid="{00000000-0005-0000-0000-0000801C0000}"/>
    <cellStyle name="40% - Akzent6 17_2012-2019" xfId="12148" xr:uid="{00000000-0005-0000-0000-0000811C0000}"/>
    <cellStyle name="40% - Akzent6 18" xfId="5118" xr:uid="{00000000-0005-0000-0000-0000821C0000}"/>
    <cellStyle name="40% - Akzent6 18 2" xfId="5119" xr:uid="{00000000-0005-0000-0000-0000831C0000}"/>
    <cellStyle name="40% - Akzent6 18 2 2" xfId="14537" xr:uid="{00000000-0005-0000-0000-0000841C0000}"/>
    <cellStyle name="40% - Akzent6 18 2_est. MEAT" xfId="21628" xr:uid="{00000000-0005-0000-0000-0000851C0000}"/>
    <cellStyle name="40% - Akzent6 18 3" xfId="14536" xr:uid="{00000000-0005-0000-0000-0000861C0000}"/>
    <cellStyle name="40% - Akzent6 18_2012-2019" xfId="12149" xr:uid="{00000000-0005-0000-0000-0000871C0000}"/>
    <cellStyle name="40% - Akzent6 19" xfId="5120" xr:uid="{00000000-0005-0000-0000-0000881C0000}"/>
    <cellStyle name="40% - Akzent6 19 2" xfId="5121" xr:uid="{00000000-0005-0000-0000-0000891C0000}"/>
    <cellStyle name="40% - Akzent6 19 2 2" xfId="14539" xr:uid="{00000000-0005-0000-0000-00008A1C0000}"/>
    <cellStyle name="40% - Akzent6 19 2_est. MEAT" xfId="21629" xr:uid="{00000000-0005-0000-0000-00008B1C0000}"/>
    <cellStyle name="40% - Akzent6 19 3" xfId="14538" xr:uid="{00000000-0005-0000-0000-00008C1C0000}"/>
    <cellStyle name="40% - Akzent6 19_2012-2019" xfId="12150" xr:uid="{00000000-0005-0000-0000-00008D1C0000}"/>
    <cellStyle name="40% - Akzent6 2" xfId="5122" xr:uid="{00000000-0005-0000-0000-00008E1C0000}"/>
    <cellStyle name="40% - Akzent6 2 2" xfId="5123" xr:uid="{00000000-0005-0000-0000-00008F1C0000}"/>
    <cellStyle name="40% - Akzent6 2 2 2" xfId="14541" xr:uid="{00000000-0005-0000-0000-0000901C0000}"/>
    <cellStyle name="40% - Akzent6 2 2_est. MEAT" xfId="21630" xr:uid="{00000000-0005-0000-0000-0000911C0000}"/>
    <cellStyle name="40% - Akzent6 2 3" xfId="5124" xr:uid="{00000000-0005-0000-0000-0000921C0000}"/>
    <cellStyle name="40% - Akzent6 2 3 2" xfId="14542" xr:uid="{00000000-0005-0000-0000-0000931C0000}"/>
    <cellStyle name="40% - Akzent6 2 3_est. MEAT" xfId="21631" xr:uid="{00000000-0005-0000-0000-0000941C0000}"/>
    <cellStyle name="40% - Akzent6 2 4" xfId="5125" xr:uid="{00000000-0005-0000-0000-0000951C0000}"/>
    <cellStyle name="40% - Akzent6 2 4 2" xfId="5126" xr:uid="{00000000-0005-0000-0000-0000961C0000}"/>
    <cellStyle name="40% - Akzent6 2 4 2 2" xfId="14544" xr:uid="{00000000-0005-0000-0000-0000971C0000}"/>
    <cellStyle name="40% - Akzent6 2 4 2_est. MEAT" xfId="21632" xr:uid="{00000000-0005-0000-0000-0000981C0000}"/>
    <cellStyle name="40% - Akzent6 2 4 3" xfId="14543" xr:uid="{00000000-0005-0000-0000-0000991C0000}"/>
    <cellStyle name="40% - Akzent6 2 4_2012-2019" xfId="12152" xr:uid="{00000000-0005-0000-0000-00009A1C0000}"/>
    <cellStyle name="40% - Akzent6 2 5" xfId="5127" xr:uid="{00000000-0005-0000-0000-00009B1C0000}"/>
    <cellStyle name="40% - Akzent6 2 5 2" xfId="14545" xr:uid="{00000000-0005-0000-0000-00009C1C0000}"/>
    <cellStyle name="40% - Akzent6 2 5_est. MEAT" xfId="21633" xr:uid="{00000000-0005-0000-0000-00009D1C0000}"/>
    <cellStyle name="40% - Akzent6 2 6" xfId="14540" xr:uid="{00000000-0005-0000-0000-00009E1C0000}"/>
    <cellStyle name="40% - Akzent6 2_2012-2019" xfId="12151" xr:uid="{00000000-0005-0000-0000-00009F1C0000}"/>
    <cellStyle name="40% - Akzent6 20" xfId="5128" xr:uid="{00000000-0005-0000-0000-0000A01C0000}"/>
    <cellStyle name="40% - Akzent6 20 2" xfId="5129" xr:uid="{00000000-0005-0000-0000-0000A11C0000}"/>
    <cellStyle name="40% - Akzent6 20 2 2" xfId="14547" xr:uid="{00000000-0005-0000-0000-0000A21C0000}"/>
    <cellStyle name="40% - Akzent6 20 2_est. MEAT" xfId="21634" xr:uid="{00000000-0005-0000-0000-0000A31C0000}"/>
    <cellStyle name="40% - Akzent6 20 3" xfId="14546" xr:uid="{00000000-0005-0000-0000-0000A41C0000}"/>
    <cellStyle name="40% - Akzent6 20_2012-2019" xfId="12153" xr:uid="{00000000-0005-0000-0000-0000A51C0000}"/>
    <cellStyle name="40% - Akzent6 21" xfId="5130" xr:uid="{00000000-0005-0000-0000-0000A61C0000}"/>
    <cellStyle name="40% - Akzent6 21 2" xfId="5131" xr:uid="{00000000-0005-0000-0000-0000A71C0000}"/>
    <cellStyle name="40% - Akzent6 21 2 2" xfId="14549" xr:uid="{00000000-0005-0000-0000-0000A81C0000}"/>
    <cellStyle name="40% - Akzent6 21 2_est. MEAT" xfId="21635" xr:uid="{00000000-0005-0000-0000-0000A91C0000}"/>
    <cellStyle name="40% - Akzent6 21 3" xfId="14548" xr:uid="{00000000-0005-0000-0000-0000AA1C0000}"/>
    <cellStyle name="40% - Akzent6 21_2012-2019" xfId="12154" xr:uid="{00000000-0005-0000-0000-0000AB1C0000}"/>
    <cellStyle name="40% - Akzent6 22" xfId="5132" xr:uid="{00000000-0005-0000-0000-0000AC1C0000}"/>
    <cellStyle name="40% - Akzent6 22 2" xfId="5133" xr:uid="{00000000-0005-0000-0000-0000AD1C0000}"/>
    <cellStyle name="40% - Akzent6 22 2 2" xfId="14551" xr:uid="{00000000-0005-0000-0000-0000AE1C0000}"/>
    <cellStyle name="40% - Akzent6 22 2_est. MEAT" xfId="21636" xr:uid="{00000000-0005-0000-0000-0000AF1C0000}"/>
    <cellStyle name="40% - Akzent6 22 3" xfId="14550" xr:uid="{00000000-0005-0000-0000-0000B01C0000}"/>
    <cellStyle name="40% - Akzent6 22_2012-2019" xfId="12155" xr:uid="{00000000-0005-0000-0000-0000B11C0000}"/>
    <cellStyle name="40% - Akzent6 23" xfId="5134" xr:uid="{00000000-0005-0000-0000-0000B21C0000}"/>
    <cellStyle name="40% - Akzent6 23 2" xfId="5135" xr:uid="{00000000-0005-0000-0000-0000B31C0000}"/>
    <cellStyle name="40% - Akzent6 23 2 2" xfId="14553" xr:uid="{00000000-0005-0000-0000-0000B41C0000}"/>
    <cellStyle name="40% - Akzent6 23 2_est. MEAT" xfId="21637" xr:uid="{00000000-0005-0000-0000-0000B51C0000}"/>
    <cellStyle name="40% - Akzent6 23 3" xfId="14552" xr:uid="{00000000-0005-0000-0000-0000B61C0000}"/>
    <cellStyle name="40% - Akzent6 23_2012-2019" xfId="12156" xr:uid="{00000000-0005-0000-0000-0000B71C0000}"/>
    <cellStyle name="40% - Akzent6 24" xfId="5136" xr:uid="{00000000-0005-0000-0000-0000B81C0000}"/>
    <cellStyle name="40% - Akzent6 24 2" xfId="5137" xr:uid="{00000000-0005-0000-0000-0000B91C0000}"/>
    <cellStyle name="40% - Akzent6 24 2 2" xfId="14555" xr:uid="{00000000-0005-0000-0000-0000BA1C0000}"/>
    <cellStyle name="40% - Akzent6 24 2_est. MEAT" xfId="21638" xr:uid="{00000000-0005-0000-0000-0000BB1C0000}"/>
    <cellStyle name="40% - Akzent6 24 3" xfId="14554" xr:uid="{00000000-0005-0000-0000-0000BC1C0000}"/>
    <cellStyle name="40% - Akzent6 24_2012-2019" xfId="12157" xr:uid="{00000000-0005-0000-0000-0000BD1C0000}"/>
    <cellStyle name="40% - Akzent6 25" xfId="5138" xr:uid="{00000000-0005-0000-0000-0000BE1C0000}"/>
    <cellStyle name="40% - Akzent6 25 2" xfId="5139" xr:uid="{00000000-0005-0000-0000-0000BF1C0000}"/>
    <cellStyle name="40% - Akzent6 25 2 2" xfId="14557" xr:uid="{00000000-0005-0000-0000-0000C01C0000}"/>
    <cellStyle name="40% - Akzent6 25 2_est. MEAT" xfId="21639" xr:uid="{00000000-0005-0000-0000-0000C11C0000}"/>
    <cellStyle name="40% - Akzent6 25 3" xfId="14556" xr:uid="{00000000-0005-0000-0000-0000C21C0000}"/>
    <cellStyle name="40% - Akzent6 25_2012-2019" xfId="12158" xr:uid="{00000000-0005-0000-0000-0000C31C0000}"/>
    <cellStyle name="40% - Akzent6 26" xfId="5140" xr:uid="{00000000-0005-0000-0000-0000C41C0000}"/>
    <cellStyle name="40% - Akzent6 26 2" xfId="5141" xr:uid="{00000000-0005-0000-0000-0000C51C0000}"/>
    <cellStyle name="40% - Akzent6 26 2 2" xfId="14559" xr:uid="{00000000-0005-0000-0000-0000C61C0000}"/>
    <cellStyle name="40% - Akzent6 26 2_est. MEAT" xfId="21640" xr:uid="{00000000-0005-0000-0000-0000C71C0000}"/>
    <cellStyle name="40% - Akzent6 26 3" xfId="14558" xr:uid="{00000000-0005-0000-0000-0000C81C0000}"/>
    <cellStyle name="40% - Akzent6 26_2012-2019" xfId="12159" xr:uid="{00000000-0005-0000-0000-0000C91C0000}"/>
    <cellStyle name="40% - Akzent6 27" xfId="5142" xr:uid="{00000000-0005-0000-0000-0000CA1C0000}"/>
    <cellStyle name="40% - Akzent6 27 2" xfId="5143" xr:uid="{00000000-0005-0000-0000-0000CB1C0000}"/>
    <cellStyle name="40% - Akzent6 27 2 2" xfId="14561" xr:uid="{00000000-0005-0000-0000-0000CC1C0000}"/>
    <cellStyle name="40% - Akzent6 27 2_est. MEAT" xfId="21641" xr:uid="{00000000-0005-0000-0000-0000CD1C0000}"/>
    <cellStyle name="40% - Akzent6 27 3" xfId="14560" xr:uid="{00000000-0005-0000-0000-0000CE1C0000}"/>
    <cellStyle name="40% - Akzent6 27_2012-2019" xfId="12160" xr:uid="{00000000-0005-0000-0000-0000CF1C0000}"/>
    <cellStyle name="40% - Akzent6 28" xfId="5144" xr:uid="{00000000-0005-0000-0000-0000D01C0000}"/>
    <cellStyle name="40% - Akzent6 28 2" xfId="5145" xr:uid="{00000000-0005-0000-0000-0000D11C0000}"/>
    <cellStyle name="40% - Akzent6 28 2 2" xfId="14563" xr:uid="{00000000-0005-0000-0000-0000D21C0000}"/>
    <cellStyle name="40% - Akzent6 28 2_est. MEAT" xfId="21642" xr:uid="{00000000-0005-0000-0000-0000D31C0000}"/>
    <cellStyle name="40% - Akzent6 28 3" xfId="14562" xr:uid="{00000000-0005-0000-0000-0000D41C0000}"/>
    <cellStyle name="40% - Akzent6 28_2012-2019" xfId="12161" xr:uid="{00000000-0005-0000-0000-0000D51C0000}"/>
    <cellStyle name="40% - Akzent6 29" xfId="5146" xr:uid="{00000000-0005-0000-0000-0000D61C0000}"/>
    <cellStyle name="40% - Akzent6 29 2" xfId="5147" xr:uid="{00000000-0005-0000-0000-0000D71C0000}"/>
    <cellStyle name="40% - Akzent6 29 2 2" xfId="14565" xr:uid="{00000000-0005-0000-0000-0000D81C0000}"/>
    <cellStyle name="40% - Akzent6 29 2_est. MEAT" xfId="21643" xr:uid="{00000000-0005-0000-0000-0000D91C0000}"/>
    <cellStyle name="40% - Akzent6 29 3" xfId="14564" xr:uid="{00000000-0005-0000-0000-0000DA1C0000}"/>
    <cellStyle name="40% - Akzent6 29_2012-2019" xfId="12162" xr:uid="{00000000-0005-0000-0000-0000DB1C0000}"/>
    <cellStyle name="40% - Akzent6 3" xfId="5148" xr:uid="{00000000-0005-0000-0000-0000DC1C0000}"/>
    <cellStyle name="40% - Akzent6 3 2" xfId="5149" xr:uid="{00000000-0005-0000-0000-0000DD1C0000}"/>
    <cellStyle name="40% - Akzent6 3 2 2" xfId="14567" xr:uid="{00000000-0005-0000-0000-0000DE1C0000}"/>
    <cellStyle name="40% - Akzent6 3 2_est. MEAT" xfId="21644" xr:uid="{00000000-0005-0000-0000-0000DF1C0000}"/>
    <cellStyle name="40% - Akzent6 3 3" xfId="5150" xr:uid="{00000000-0005-0000-0000-0000E01C0000}"/>
    <cellStyle name="40% - Akzent6 3 3 2" xfId="14568" xr:uid="{00000000-0005-0000-0000-0000E11C0000}"/>
    <cellStyle name="40% - Akzent6 3 3_est. MEAT" xfId="21645" xr:uid="{00000000-0005-0000-0000-0000E21C0000}"/>
    <cellStyle name="40% - Akzent6 3 4" xfId="5151" xr:uid="{00000000-0005-0000-0000-0000E31C0000}"/>
    <cellStyle name="40% - Akzent6 3 4 2" xfId="5152" xr:uid="{00000000-0005-0000-0000-0000E41C0000}"/>
    <cellStyle name="40% - Akzent6 3 4 2 2" xfId="14570" xr:uid="{00000000-0005-0000-0000-0000E51C0000}"/>
    <cellStyle name="40% - Akzent6 3 4 2_est. MEAT" xfId="21646" xr:uid="{00000000-0005-0000-0000-0000E61C0000}"/>
    <cellStyle name="40% - Akzent6 3 4 3" xfId="14569" xr:uid="{00000000-0005-0000-0000-0000E71C0000}"/>
    <cellStyle name="40% - Akzent6 3 4_2012-2019" xfId="12164" xr:uid="{00000000-0005-0000-0000-0000E81C0000}"/>
    <cellStyle name="40% - Akzent6 3 5" xfId="5153" xr:uid="{00000000-0005-0000-0000-0000E91C0000}"/>
    <cellStyle name="40% - Akzent6 3 5 2" xfId="14571" xr:uid="{00000000-0005-0000-0000-0000EA1C0000}"/>
    <cellStyle name="40% - Akzent6 3 5_est. MEAT" xfId="21647" xr:uid="{00000000-0005-0000-0000-0000EB1C0000}"/>
    <cellStyle name="40% - Akzent6 3 6" xfId="14566" xr:uid="{00000000-0005-0000-0000-0000EC1C0000}"/>
    <cellStyle name="40% - Akzent6 3_2012-2019" xfId="12163" xr:uid="{00000000-0005-0000-0000-0000ED1C0000}"/>
    <cellStyle name="40% - Akzent6 30" xfId="5154" xr:uid="{00000000-0005-0000-0000-0000EE1C0000}"/>
    <cellStyle name="40% - Akzent6 30 2" xfId="5155" xr:uid="{00000000-0005-0000-0000-0000EF1C0000}"/>
    <cellStyle name="40% - Akzent6 30 2 2" xfId="14573" xr:uid="{00000000-0005-0000-0000-0000F01C0000}"/>
    <cellStyle name="40% - Akzent6 30 2_est. MEAT" xfId="21648" xr:uid="{00000000-0005-0000-0000-0000F11C0000}"/>
    <cellStyle name="40% - Akzent6 30 3" xfId="14572" xr:uid="{00000000-0005-0000-0000-0000F21C0000}"/>
    <cellStyle name="40% - Akzent6 30_2012-2019" xfId="12165" xr:uid="{00000000-0005-0000-0000-0000F31C0000}"/>
    <cellStyle name="40% - Akzent6 31" xfId="5156" xr:uid="{00000000-0005-0000-0000-0000F41C0000}"/>
    <cellStyle name="40% - Akzent6 31 2" xfId="5157" xr:uid="{00000000-0005-0000-0000-0000F51C0000}"/>
    <cellStyle name="40% - Akzent6 31 2 2" xfId="14575" xr:uid="{00000000-0005-0000-0000-0000F61C0000}"/>
    <cellStyle name="40% - Akzent6 31 2_est. MEAT" xfId="21649" xr:uid="{00000000-0005-0000-0000-0000F71C0000}"/>
    <cellStyle name="40% - Akzent6 31 3" xfId="14574" xr:uid="{00000000-0005-0000-0000-0000F81C0000}"/>
    <cellStyle name="40% - Akzent6 31_2012-2019" xfId="12166" xr:uid="{00000000-0005-0000-0000-0000F91C0000}"/>
    <cellStyle name="40% - Akzent6 32" xfId="5158" xr:uid="{00000000-0005-0000-0000-0000FA1C0000}"/>
    <cellStyle name="40% - Akzent6 32 2" xfId="5159" xr:uid="{00000000-0005-0000-0000-0000FB1C0000}"/>
    <cellStyle name="40% - Akzent6 32 2 2" xfId="14577" xr:uid="{00000000-0005-0000-0000-0000FC1C0000}"/>
    <cellStyle name="40% - Akzent6 32 2_est. MEAT" xfId="21650" xr:uid="{00000000-0005-0000-0000-0000FD1C0000}"/>
    <cellStyle name="40% - Akzent6 32 3" xfId="14576" xr:uid="{00000000-0005-0000-0000-0000FE1C0000}"/>
    <cellStyle name="40% - Akzent6 32_2012-2019" xfId="12167" xr:uid="{00000000-0005-0000-0000-0000FF1C0000}"/>
    <cellStyle name="40% - Akzent6 33" xfId="5160" xr:uid="{00000000-0005-0000-0000-0000001D0000}"/>
    <cellStyle name="40% - Akzent6 33 2" xfId="5161" xr:uid="{00000000-0005-0000-0000-0000011D0000}"/>
    <cellStyle name="40% - Akzent6 33 2 2" xfId="14579" xr:uid="{00000000-0005-0000-0000-0000021D0000}"/>
    <cellStyle name="40% - Akzent6 33 2_est. MEAT" xfId="21651" xr:uid="{00000000-0005-0000-0000-0000031D0000}"/>
    <cellStyle name="40% - Akzent6 33 3" xfId="14578" xr:uid="{00000000-0005-0000-0000-0000041D0000}"/>
    <cellStyle name="40% - Akzent6 33_2012-2019" xfId="12168" xr:uid="{00000000-0005-0000-0000-0000051D0000}"/>
    <cellStyle name="40% - Akzent6 34" xfId="5162" xr:uid="{00000000-0005-0000-0000-0000061D0000}"/>
    <cellStyle name="40% - Akzent6 34 2" xfId="5163" xr:uid="{00000000-0005-0000-0000-0000071D0000}"/>
    <cellStyle name="40% - Akzent6 34 2 2" xfId="14581" xr:uid="{00000000-0005-0000-0000-0000081D0000}"/>
    <cellStyle name="40% - Akzent6 34 2_est. MEAT" xfId="21652" xr:uid="{00000000-0005-0000-0000-0000091D0000}"/>
    <cellStyle name="40% - Akzent6 34 3" xfId="14580" xr:uid="{00000000-0005-0000-0000-00000A1D0000}"/>
    <cellStyle name="40% - Akzent6 34_2012-2019" xfId="12169" xr:uid="{00000000-0005-0000-0000-00000B1D0000}"/>
    <cellStyle name="40% - Akzent6 35" xfId="5164" xr:uid="{00000000-0005-0000-0000-00000C1D0000}"/>
    <cellStyle name="40% - Akzent6 35 2" xfId="5165" xr:uid="{00000000-0005-0000-0000-00000D1D0000}"/>
    <cellStyle name="40% - Akzent6 35 2 2" xfId="14583" xr:uid="{00000000-0005-0000-0000-00000E1D0000}"/>
    <cellStyle name="40% - Akzent6 35 2_est. MEAT" xfId="21653" xr:uid="{00000000-0005-0000-0000-00000F1D0000}"/>
    <cellStyle name="40% - Akzent6 35 3" xfId="14582" xr:uid="{00000000-0005-0000-0000-0000101D0000}"/>
    <cellStyle name="40% - Akzent6 35_2012-2019" xfId="12170" xr:uid="{00000000-0005-0000-0000-0000111D0000}"/>
    <cellStyle name="40% - Akzent6 36" xfId="5166" xr:uid="{00000000-0005-0000-0000-0000121D0000}"/>
    <cellStyle name="40% - Akzent6 36 2" xfId="5167" xr:uid="{00000000-0005-0000-0000-0000131D0000}"/>
    <cellStyle name="40% - Akzent6 36 2 2" xfId="14585" xr:uid="{00000000-0005-0000-0000-0000141D0000}"/>
    <cellStyle name="40% - Akzent6 36 2_est. MEAT" xfId="21654" xr:uid="{00000000-0005-0000-0000-0000151D0000}"/>
    <cellStyle name="40% - Akzent6 36 3" xfId="14584" xr:uid="{00000000-0005-0000-0000-0000161D0000}"/>
    <cellStyle name="40% - Akzent6 36_2012-2019" xfId="12171" xr:uid="{00000000-0005-0000-0000-0000171D0000}"/>
    <cellStyle name="40% - Akzent6 37" xfId="5168" xr:uid="{00000000-0005-0000-0000-0000181D0000}"/>
    <cellStyle name="40% - Akzent6 37 2" xfId="5169" xr:uid="{00000000-0005-0000-0000-0000191D0000}"/>
    <cellStyle name="40% - Akzent6 37 2 2" xfId="14587" xr:uid="{00000000-0005-0000-0000-00001A1D0000}"/>
    <cellStyle name="40% - Akzent6 37 2_est. MEAT" xfId="21655" xr:uid="{00000000-0005-0000-0000-00001B1D0000}"/>
    <cellStyle name="40% - Akzent6 37 3" xfId="14586" xr:uid="{00000000-0005-0000-0000-00001C1D0000}"/>
    <cellStyle name="40% - Akzent6 37_2012-2019" xfId="12172" xr:uid="{00000000-0005-0000-0000-00001D1D0000}"/>
    <cellStyle name="40% - Akzent6 38" xfId="5170" xr:uid="{00000000-0005-0000-0000-00001E1D0000}"/>
    <cellStyle name="40% - Akzent6 38 2" xfId="5171" xr:uid="{00000000-0005-0000-0000-00001F1D0000}"/>
    <cellStyle name="40% - Akzent6 38 2 2" xfId="14589" xr:uid="{00000000-0005-0000-0000-0000201D0000}"/>
    <cellStyle name="40% - Akzent6 38 2_est. MEAT" xfId="21656" xr:uid="{00000000-0005-0000-0000-0000211D0000}"/>
    <cellStyle name="40% - Akzent6 38 3" xfId="14588" xr:uid="{00000000-0005-0000-0000-0000221D0000}"/>
    <cellStyle name="40% - Akzent6 38_2012-2019" xfId="12173" xr:uid="{00000000-0005-0000-0000-0000231D0000}"/>
    <cellStyle name="40% - Akzent6 39" xfId="5172" xr:uid="{00000000-0005-0000-0000-0000241D0000}"/>
    <cellStyle name="40% - Akzent6 39 2" xfId="5173" xr:uid="{00000000-0005-0000-0000-0000251D0000}"/>
    <cellStyle name="40% - Akzent6 39 2 2" xfId="14591" xr:uid="{00000000-0005-0000-0000-0000261D0000}"/>
    <cellStyle name="40% - Akzent6 39 2_est. MEAT" xfId="21657" xr:uid="{00000000-0005-0000-0000-0000271D0000}"/>
    <cellStyle name="40% - Akzent6 39 3" xfId="14590" xr:uid="{00000000-0005-0000-0000-0000281D0000}"/>
    <cellStyle name="40% - Akzent6 39_2012-2019" xfId="12174" xr:uid="{00000000-0005-0000-0000-0000291D0000}"/>
    <cellStyle name="40% - Akzent6 4" xfId="5174" xr:uid="{00000000-0005-0000-0000-00002A1D0000}"/>
    <cellStyle name="40% - Akzent6 4 2" xfId="5175" xr:uid="{00000000-0005-0000-0000-00002B1D0000}"/>
    <cellStyle name="40% - Akzent6 4 2 2" xfId="14593" xr:uid="{00000000-0005-0000-0000-00002C1D0000}"/>
    <cellStyle name="40% - Akzent6 4 2_est. MEAT" xfId="21658" xr:uid="{00000000-0005-0000-0000-00002D1D0000}"/>
    <cellStyle name="40% - Akzent6 4 3" xfId="5176" xr:uid="{00000000-0005-0000-0000-00002E1D0000}"/>
    <cellStyle name="40% - Akzent6 4 3 2" xfId="14594" xr:uid="{00000000-0005-0000-0000-00002F1D0000}"/>
    <cellStyle name="40% - Akzent6 4 3_est. MEAT" xfId="21659" xr:uid="{00000000-0005-0000-0000-0000301D0000}"/>
    <cellStyle name="40% - Akzent6 4 4" xfId="5177" xr:uid="{00000000-0005-0000-0000-0000311D0000}"/>
    <cellStyle name="40% - Akzent6 4 4 2" xfId="5178" xr:uid="{00000000-0005-0000-0000-0000321D0000}"/>
    <cellStyle name="40% - Akzent6 4 4 2 2" xfId="14596" xr:uid="{00000000-0005-0000-0000-0000331D0000}"/>
    <cellStyle name="40% - Akzent6 4 4 2_est. MEAT" xfId="21660" xr:uid="{00000000-0005-0000-0000-0000341D0000}"/>
    <cellStyle name="40% - Akzent6 4 4 3" xfId="14595" xr:uid="{00000000-0005-0000-0000-0000351D0000}"/>
    <cellStyle name="40% - Akzent6 4 4_2012-2019" xfId="12176" xr:uid="{00000000-0005-0000-0000-0000361D0000}"/>
    <cellStyle name="40% - Akzent6 4 5" xfId="5179" xr:uid="{00000000-0005-0000-0000-0000371D0000}"/>
    <cellStyle name="40% - Akzent6 4 5 2" xfId="14597" xr:uid="{00000000-0005-0000-0000-0000381D0000}"/>
    <cellStyle name="40% - Akzent6 4 5_est. MEAT" xfId="21661" xr:uid="{00000000-0005-0000-0000-0000391D0000}"/>
    <cellStyle name="40% - Akzent6 4 6" xfId="14592" xr:uid="{00000000-0005-0000-0000-00003A1D0000}"/>
    <cellStyle name="40% - Akzent6 4_2012-2019" xfId="12175" xr:uid="{00000000-0005-0000-0000-00003B1D0000}"/>
    <cellStyle name="40% - Akzent6 40" xfId="5180" xr:uid="{00000000-0005-0000-0000-00003C1D0000}"/>
    <cellStyle name="40% - Akzent6 40 2" xfId="5181" xr:uid="{00000000-0005-0000-0000-00003D1D0000}"/>
    <cellStyle name="40% - Akzent6 40 2 2" xfId="14599" xr:uid="{00000000-0005-0000-0000-00003E1D0000}"/>
    <cellStyle name="40% - Akzent6 40 2_est. MEAT" xfId="21662" xr:uid="{00000000-0005-0000-0000-00003F1D0000}"/>
    <cellStyle name="40% - Akzent6 40 3" xfId="14598" xr:uid="{00000000-0005-0000-0000-0000401D0000}"/>
    <cellStyle name="40% - Akzent6 40_2012-2019" xfId="12177" xr:uid="{00000000-0005-0000-0000-0000411D0000}"/>
    <cellStyle name="40% - Akzent6 41" xfId="5182" xr:uid="{00000000-0005-0000-0000-0000421D0000}"/>
    <cellStyle name="40% - Akzent6 41 2" xfId="5183" xr:uid="{00000000-0005-0000-0000-0000431D0000}"/>
    <cellStyle name="40% - Akzent6 41 2 2" xfId="14601" xr:uid="{00000000-0005-0000-0000-0000441D0000}"/>
    <cellStyle name="40% - Akzent6 41 2_est. MEAT" xfId="21663" xr:uid="{00000000-0005-0000-0000-0000451D0000}"/>
    <cellStyle name="40% - Akzent6 41 3" xfId="14600" xr:uid="{00000000-0005-0000-0000-0000461D0000}"/>
    <cellStyle name="40% - Akzent6 41_2012-2019" xfId="12178" xr:uid="{00000000-0005-0000-0000-0000471D0000}"/>
    <cellStyle name="40% - Akzent6 42" xfId="5184" xr:uid="{00000000-0005-0000-0000-0000481D0000}"/>
    <cellStyle name="40% - Akzent6 42 2" xfId="5185" xr:uid="{00000000-0005-0000-0000-0000491D0000}"/>
    <cellStyle name="40% - Akzent6 42 2 2" xfId="14603" xr:uid="{00000000-0005-0000-0000-00004A1D0000}"/>
    <cellStyle name="40% - Akzent6 42 2_est. MEAT" xfId="21664" xr:uid="{00000000-0005-0000-0000-00004B1D0000}"/>
    <cellStyle name="40% - Akzent6 42 3" xfId="14602" xr:uid="{00000000-0005-0000-0000-00004C1D0000}"/>
    <cellStyle name="40% - Akzent6 42_2012-2019" xfId="12179" xr:uid="{00000000-0005-0000-0000-00004D1D0000}"/>
    <cellStyle name="40% - Akzent6 43" xfId="5186" xr:uid="{00000000-0005-0000-0000-00004E1D0000}"/>
    <cellStyle name="40% - Akzent6 43 2" xfId="5187" xr:uid="{00000000-0005-0000-0000-00004F1D0000}"/>
    <cellStyle name="40% - Akzent6 43 2 2" xfId="14605" xr:uid="{00000000-0005-0000-0000-0000501D0000}"/>
    <cellStyle name="40% - Akzent6 43 2_est. MEAT" xfId="21665" xr:uid="{00000000-0005-0000-0000-0000511D0000}"/>
    <cellStyle name="40% - Akzent6 43 3" xfId="14604" xr:uid="{00000000-0005-0000-0000-0000521D0000}"/>
    <cellStyle name="40% - Akzent6 43_2012-2019" xfId="12180" xr:uid="{00000000-0005-0000-0000-0000531D0000}"/>
    <cellStyle name="40% - Akzent6 44" xfId="5188" xr:uid="{00000000-0005-0000-0000-0000541D0000}"/>
    <cellStyle name="40% - Akzent6 44 2" xfId="5189" xr:uid="{00000000-0005-0000-0000-0000551D0000}"/>
    <cellStyle name="40% - Akzent6 44 2 2" xfId="14607" xr:uid="{00000000-0005-0000-0000-0000561D0000}"/>
    <cellStyle name="40% - Akzent6 44 2_est. MEAT" xfId="21666" xr:uid="{00000000-0005-0000-0000-0000571D0000}"/>
    <cellStyle name="40% - Akzent6 44 3" xfId="14606" xr:uid="{00000000-0005-0000-0000-0000581D0000}"/>
    <cellStyle name="40% - Akzent6 44_2012-2019" xfId="12181" xr:uid="{00000000-0005-0000-0000-0000591D0000}"/>
    <cellStyle name="40% - Akzent6 45" xfId="5190" xr:uid="{00000000-0005-0000-0000-00005A1D0000}"/>
    <cellStyle name="40% - Akzent6 45 2" xfId="5191" xr:uid="{00000000-0005-0000-0000-00005B1D0000}"/>
    <cellStyle name="40% - Akzent6 45 2 2" xfId="14609" xr:uid="{00000000-0005-0000-0000-00005C1D0000}"/>
    <cellStyle name="40% - Akzent6 45 2_est. MEAT" xfId="21667" xr:uid="{00000000-0005-0000-0000-00005D1D0000}"/>
    <cellStyle name="40% - Akzent6 45 3" xfId="14608" xr:uid="{00000000-0005-0000-0000-00005E1D0000}"/>
    <cellStyle name="40% - Akzent6 45_2012-2019" xfId="12182" xr:uid="{00000000-0005-0000-0000-00005F1D0000}"/>
    <cellStyle name="40% - Akzent6 46" xfId="5192" xr:uid="{00000000-0005-0000-0000-0000601D0000}"/>
    <cellStyle name="40% - Akzent6 46 2" xfId="5193" xr:uid="{00000000-0005-0000-0000-0000611D0000}"/>
    <cellStyle name="40% - Akzent6 46 2 2" xfId="14611" xr:uid="{00000000-0005-0000-0000-0000621D0000}"/>
    <cellStyle name="40% - Akzent6 46 2_est. MEAT" xfId="21668" xr:uid="{00000000-0005-0000-0000-0000631D0000}"/>
    <cellStyle name="40% - Akzent6 46 3" xfId="14610" xr:uid="{00000000-0005-0000-0000-0000641D0000}"/>
    <cellStyle name="40% - Akzent6 46_2012-2019" xfId="12183" xr:uid="{00000000-0005-0000-0000-0000651D0000}"/>
    <cellStyle name="40% - Akzent6 47" xfId="5194" xr:uid="{00000000-0005-0000-0000-0000661D0000}"/>
    <cellStyle name="40% - Akzent6 47 2" xfId="5195" xr:uid="{00000000-0005-0000-0000-0000671D0000}"/>
    <cellStyle name="40% - Akzent6 47 2 2" xfId="14613" xr:uid="{00000000-0005-0000-0000-0000681D0000}"/>
    <cellStyle name="40% - Akzent6 47 2_est. MEAT" xfId="21669" xr:uid="{00000000-0005-0000-0000-0000691D0000}"/>
    <cellStyle name="40% - Akzent6 47 3" xfId="14612" xr:uid="{00000000-0005-0000-0000-00006A1D0000}"/>
    <cellStyle name="40% - Akzent6 47_2012-2019" xfId="12184" xr:uid="{00000000-0005-0000-0000-00006B1D0000}"/>
    <cellStyle name="40% - Akzent6 48" xfId="5196" xr:uid="{00000000-0005-0000-0000-00006C1D0000}"/>
    <cellStyle name="40% - Akzent6 48 2" xfId="5197" xr:uid="{00000000-0005-0000-0000-00006D1D0000}"/>
    <cellStyle name="40% - Akzent6 48 2 2" xfId="14615" xr:uid="{00000000-0005-0000-0000-00006E1D0000}"/>
    <cellStyle name="40% - Akzent6 48 2_est. MEAT" xfId="21670" xr:uid="{00000000-0005-0000-0000-00006F1D0000}"/>
    <cellStyle name="40% - Akzent6 48 3" xfId="14614" xr:uid="{00000000-0005-0000-0000-0000701D0000}"/>
    <cellStyle name="40% - Akzent6 48_2012-2019" xfId="12185" xr:uid="{00000000-0005-0000-0000-0000711D0000}"/>
    <cellStyle name="40% - Akzent6 49" xfId="5198" xr:uid="{00000000-0005-0000-0000-0000721D0000}"/>
    <cellStyle name="40% - Akzent6 49 2" xfId="5199" xr:uid="{00000000-0005-0000-0000-0000731D0000}"/>
    <cellStyle name="40% - Akzent6 49 2 2" xfId="14617" xr:uid="{00000000-0005-0000-0000-0000741D0000}"/>
    <cellStyle name="40% - Akzent6 49 2_est. MEAT" xfId="21671" xr:uid="{00000000-0005-0000-0000-0000751D0000}"/>
    <cellStyle name="40% - Akzent6 49 3" xfId="14616" xr:uid="{00000000-0005-0000-0000-0000761D0000}"/>
    <cellStyle name="40% - Akzent6 49_2012-2019" xfId="12186" xr:uid="{00000000-0005-0000-0000-0000771D0000}"/>
    <cellStyle name="40% - Akzent6 5" xfId="5200" xr:uid="{00000000-0005-0000-0000-0000781D0000}"/>
    <cellStyle name="40% - Akzent6 5 2" xfId="5201" xr:uid="{00000000-0005-0000-0000-0000791D0000}"/>
    <cellStyle name="40% - Akzent6 5 2 2" xfId="14619" xr:uid="{00000000-0005-0000-0000-00007A1D0000}"/>
    <cellStyle name="40% - Akzent6 5 2_est. MEAT" xfId="21672" xr:uid="{00000000-0005-0000-0000-00007B1D0000}"/>
    <cellStyle name="40% - Akzent6 5 3" xfId="14618" xr:uid="{00000000-0005-0000-0000-00007C1D0000}"/>
    <cellStyle name="40% - Akzent6 5_2012-2019" xfId="12187" xr:uid="{00000000-0005-0000-0000-00007D1D0000}"/>
    <cellStyle name="40% - Akzent6 50" xfId="5202" xr:uid="{00000000-0005-0000-0000-00007E1D0000}"/>
    <cellStyle name="40% - Akzent6 50 2" xfId="5203" xr:uid="{00000000-0005-0000-0000-00007F1D0000}"/>
    <cellStyle name="40% - Akzent6 50 2 2" xfId="14621" xr:uid="{00000000-0005-0000-0000-0000801D0000}"/>
    <cellStyle name="40% - Akzent6 50 2_est. MEAT" xfId="21673" xr:uid="{00000000-0005-0000-0000-0000811D0000}"/>
    <cellStyle name="40% - Akzent6 50 3" xfId="14620" xr:uid="{00000000-0005-0000-0000-0000821D0000}"/>
    <cellStyle name="40% - Akzent6 50_2012-2019" xfId="12188" xr:uid="{00000000-0005-0000-0000-0000831D0000}"/>
    <cellStyle name="40% - Akzent6 51" xfId="5204" xr:uid="{00000000-0005-0000-0000-0000841D0000}"/>
    <cellStyle name="40% - Akzent6 51 2" xfId="5205" xr:uid="{00000000-0005-0000-0000-0000851D0000}"/>
    <cellStyle name="40% - Akzent6 51 2 2" xfId="14623" xr:uid="{00000000-0005-0000-0000-0000861D0000}"/>
    <cellStyle name="40% - Akzent6 51 2_est. MEAT" xfId="21674" xr:uid="{00000000-0005-0000-0000-0000871D0000}"/>
    <cellStyle name="40% - Akzent6 51 3" xfId="14622" xr:uid="{00000000-0005-0000-0000-0000881D0000}"/>
    <cellStyle name="40% - Akzent6 51_2012-2019" xfId="12189" xr:uid="{00000000-0005-0000-0000-0000891D0000}"/>
    <cellStyle name="40% - Akzent6 52" xfId="5206" xr:uid="{00000000-0005-0000-0000-00008A1D0000}"/>
    <cellStyle name="40% - Akzent6 52 2" xfId="5207" xr:uid="{00000000-0005-0000-0000-00008B1D0000}"/>
    <cellStyle name="40% - Akzent6 52 2 2" xfId="14625" xr:uid="{00000000-0005-0000-0000-00008C1D0000}"/>
    <cellStyle name="40% - Akzent6 52 2_est. MEAT" xfId="21675" xr:uid="{00000000-0005-0000-0000-00008D1D0000}"/>
    <cellStyle name="40% - Akzent6 52 3" xfId="14624" xr:uid="{00000000-0005-0000-0000-00008E1D0000}"/>
    <cellStyle name="40% - Akzent6 52_2012-2019" xfId="12190" xr:uid="{00000000-0005-0000-0000-00008F1D0000}"/>
    <cellStyle name="40% - Akzent6 53" xfId="5208" xr:uid="{00000000-0005-0000-0000-0000901D0000}"/>
    <cellStyle name="40% - Akzent6 53 2" xfId="5209" xr:uid="{00000000-0005-0000-0000-0000911D0000}"/>
    <cellStyle name="40% - Akzent6 53 2 2" xfId="14627" xr:uid="{00000000-0005-0000-0000-0000921D0000}"/>
    <cellStyle name="40% - Akzent6 53 2_est. MEAT" xfId="21676" xr:uid="{00000000-0005-0000-0000-0000931D0000}"/>
    <cellStyle name="40% - Akzent6 53 3" xfId="14626" xr:uid="{00000000-0005-0000-0000-0000941D0000}"/>
    <cellStyle name="40% - Akzent6 53_2012-2019" xfId="12191" xr:uid="{00000000-0005-0000-0000-0000951D0000}"/>
    <cellStyle name="40% - Akzent6 54" xfId="5210" xr:uid="{00000000-0005-0000-0000-0000961D0000}"/>
    <cellStyle name="40% - Akzent6 54 2" xfId="5211" xr:uid="{00000000-0005-0000-0000-0000971D0000}"/>
    <cellStyle name="40% - Akzent6 54 2 2" xfId="14629" xr:uid="{00000000-0005-0000-0000-0000981D0000}"/>
    <cellStyle name="40% - Akzent6 54 2_est. MEAT" xfId="21677" xr:uid="{00000000-0005-0000-0000-0000991D0000}"/>
    <cellStyle name="40% - Akzent6 54 3" xfId="14628" xr:uid="{00000000-0005-0000-0000-00009A1D0000}"/>
    <cellStyle name="40% - Akzent6 54_2012-2019" xfId="12192" xr:uid="{00000000-0005-0000-0000-00009B1D0000}"/>
    <cellStyle name="40% - Akzent6 55" xfId="5212" xr:uid="{00000000-0005-0000-0000-00009C1D0000}"/>
    <cellStyle name="40% - Akzent6 55 2" xfId="5213" xr:uid="{00000000-0005-0000-0000-00009D1D0000}"/>
    <cellStyle name="40% - Akzent6 55 2 2" xfId="14631" xr:uid="{00000000-0005-0000-0000-00009E1D0000}"/>
    <cellStyle name="40% - Akzent6 55 2_est. MEAT" xfId="21678" xr:uid="{00000000-0005-0000-0000-00009F1D0000}"/>
    <cellStyle name="40% - Akzent6 55 3" xfId="14630" xr:uid="{00000000-0005-0000-0000-0000A01D0000}"/>
    <cellStyle name="40% - Akzent6 55_2012-2019" xfId="12193" xr:uid="{00000000-0005-0000-0000-0000A11D0000}"/>
    <cellStyle name="40% - Akzent6 56" xfId="5214" xr:uid="{00000000-0005-0000-0000-0000A21D0000}"/>
    <cellStyle name="40% - Akzent6 56 2" xfId="5215" xr:uid="{00000000-0005-0000-0000-0000A31D0000}"/>
    <cellStyle name="40% - Akzent6 56 2 2" xfId="14633" xr:uid="{00000000-0005-0000-0000-0000A41D0000}"/>
    <cellStyle name="40% - Akzent6 56 2_est. MEAT" xfId="21679" xr:uid="{00000000-0005-0000-0000-0000A51D0000}"/>
    <cellStyle name="40% - Akzent6 56 3" xfId="14632" xr:uid="{00000000-0005-0000-0000-0000A61D0000}"/>
    <cellStyle name="40% - Akzent6 56_2012-2019" xfId="12194" xr:uid="{00000000-0005-0000-0000-0000A71D0000}"/>
    <cellStyle name="40% - Akzent6 57" xfId="5216" xr:uid="{00000000-0005-0000-0000-0000A81D0000}"/>
    <cellStyle name="40% - Akzent6 57 2" xfId="5217" xr:uid="{00000000-0005-0000-0000-0000A91D0000}"/>
    <cellStyle name="40% - Akzent6 57 2 2" xfId="14635" xr:uid="{00000000-0005-0000-0000-0000AA1D0000}"/>
    <cellStyle name="40% - Akzent6 57 2_est. MEAT" xfId="21680" xr:uid="{00000000-0005-0000-0000-0000AB1D0000}"/>
    <cellStyle name="40% - Akzent6 57 3" xfId="14634" xr:uid="{00000000-0005-0000-0000-0000AC1D0000}"/>
    <cellStyle name="40% - Akzent6 57_2012-2019" xfId="12195" xr:uid="{00000000-0005-0000-0000-0000AD1D0000}"/>
    <cellStyle name="40% - Akzent6 58" xfId="5218" xr:uid="{00000000-0005-0000-0000-0000AE1D0000}"/>
    <cellStyle name="40% - Akzent6 58 2" xfId="5219" xr:uid="{00000000-0005-0000-0000-0000AF1D0000}"/>
    <cellStyle name="40% - Akzent6 58 2 2" xfId="14637" xr:uid="{00000000-0005-0000-0000-0000B01D0000}"/>
    <cellStyle name="40% - Akzent6 58 2_est. MEAT" xfId="21681" xr:uid="{00000000-0005-0000-0000-0000B11D0000}"/>
    <cellStyle name="40% - Akzent6 58 3" xfId="14636" xr:uid="{00000000-0005-0000-0000-0000B21D0000}"/>
    <cellStyle name="40% - Akzent6 58_2012-2019" xfId="12196" xr:uid="{00000000-0005-0000-0000-0000B31D0000}"/>
    <cellStyle name="40% - Akzent6 59" xfId="5220" xr:uid="{00000000-0005-0000-0000-0000B41D0000}"/>
    <cellStyle name="40% - Akzent6 59 2" xfId="5221" xr:uid="{00000000-0005-0000-0000-0000B51D0000}"/>
    <cellStyle name="40% - Akzent6 59 2 2" xfId="14639" xr:uid="{00000000-0005-0000-0000-0000B61D0000}"/>
    <cellStyle name="40% - Akzent6 59 2_est. MEAT" xfId="21682" xr:uid="{00000000-0005-0000-0000-0000B71D0000}"/>
    <cellStyle name="40% - Akzent6 59 3" xfId="14638" xr:uid="{00000000-0005-0000-0000-0000B81D0000}"/>
    <cellStyle name="40% - Akzent6 59_2012-2019" xfId="12197" xr:uid="{00000000-0005-0000-0000-0000B91D0000}"/>
    <cellStyle name="40% - Akzent6 6" xfId="5222" xr:uid="{00000000-0005-0000-0000-0000BA1D0000}"/>
    <cellStyle name="40% - Akzent6 6 2" xfId="5223" xr:uid="{00000000-0005-0000-0000-0000BB1D0000}"/>
    <cellStyle name="40% - Akzent6 6 2 2" xfId="14641" xr:uid="{00000000-0005-0000-0000-0000BC1D0000}"/>
    <cellStyle name="40% - Akzent6 6 2_est. MEAT" xfId="21683" xr:uid="{00000000-0005-0000-0000-0000BD1D0000}"/>
    <cellStyle name="40% - Akzent6 6 3" xfId="14640" xr:uid="{00000000-0005-0000-0000-0000BE1D0000}"/>
    <cellStyle name="40% - Akzent6 6_2012-2019" xfId="12198" xr:uid="{00000000-0005-0000-0000-0000BF1D0000}"/>
    <cellStyle name="40% - Akzent6 60" xfId="5224" xr:uid="{00000000-0005-0000-0000-0000C01D0000}"/>
    <cellStyle name="40% - Akzent6 60 2" xfId="5225" xr:uid="{00000000-0005-0000-0000-0000C11D0000}"/>
    <cellStyle name="40% - Akzent6 60 2 2" xfId="14643" xr:uid="{00000000-0005-0000-0000-0000C21D0000}"/>
    <cellStyle name="40% - Akzent6 60 2_est. MEAT" xfId="21684" xr:uid="{00000000-0005-0000-0000-0000C31D0000}"/>
    <cellStyle name="40% - Akzent6 60 3" xfId="14642" xr:uid="{00000000-0005-0000-0000-0000C41D0000}"/>
    <cellStyle name="40% - Akzent6 60_2012-2019" xfId="12199" xr:uid="{00000000-0005-0000-0000-0000C51D0000}"/>
    <cellStyle name="40% - Akzent6 61" xfId="5226" xr:uid="{00000000-0005-0000-0000-0000C61D0000}"/>
    <cellStyle name="40% - Akzent6 61 2" xfId="5227" xr:uid="{00000000-0005-0000-0000-0000C71D0000}"/>
    <cellStyle name="40% - Akzent6 61 2 2" xfId="14645" xr:uid="{00000000-0005-0000-0000-0000C81D0000}"/>
    <cellStyle name="40% - Akzent6 61 2_est. MEAT" xfId="21685" xr:uid="{00000000-0005-0000-0000-0000C91D0000}"/>
    <cellStyle name="40% - Akzent6 61 3" xfId="14644" xr:uid="{00000000-0005-0000-0000-0000CA1D0000}"/>
    <cellStyle name="40% - Akzent6 61_2012-2019" xfId="12200" xr:uid="{00000000-0005-0000-0000-0000CB1D0000}"/>
    <cellStyle name="40% - Akzent6 62" xfId="5228" xr:uid="{00000000-0005-0000-0000-0000CC1D0000}"/>
    <cellStyle name="40% - Akzent6 62 2" xfId="5229" xr:uid="{00000000-0005-0000-0000-0000CD1D0000}"/>
    <cellStyle name="40% - Akzent6 62 2 2" xfId="14647" xr:uid="{00000000-0005-0000-0000-0000CE1D0000}"/>
    <cellStyle name="40% - Akzent6 62 2_est. MEAT" xfId="21686" xr:uid="{00000000-0005-0000-0000-0000CF1D0000}"/>
    <cellStyle name="40% - Akzent6 62 3" xfId="14646" xr:uid="{00000000-0005-0000-0000-0000D01D0000}"/>
    <cellStyle name="40% - Akzent6 62_2012-2019" xfId="12201" xr:uid="{00000000-0005-0000-0000-0000D11D0000}"/>
    <cellStyle name="40% - Akzent6 63" xfId="5230" xr:uid="{00000000-0005-0000-0000-0000D21D0000}"/>
    <cellStyle name="40% - Akzent6 63 2" xfId="5231" xr:uid="{00000000-0005-0000-0000-0000D31D0000}"/>
    <cellStyle name="40% - Akzent6 63 2 2" xfId="14649" xr:uid="{00000000-0005-0000-0000-0000D41D0000}"/>
    <cellStyle name="40% - Akzent6 63 2_est. MEAT" xfId="21687" xr:uid="{00000000-0005-0000-0000-0000D51D0000}"/>
    <cellStyle name="40% - Akzent6 63 3" xfId="14648" xr:uid="{00000000-0005-0000-0000-0000D61D0000}"/>
    <cellStyle name="40% - Akzent6 63_2012-2019" xfId="12202" xr:uid="{00000000-0005-0000-0000-0000D71D0000}"/>
    <cellStyle name="40% - Akzent6 64" xfId="5232" xr:uid="{00000000-0005-0000-0000-0000D81D0000}"/>
    <cellStyle name="40% - Akzent6 64 2" xfId="5233" xr:uid="{00000000-0005-0000-0000-0000D91D0000}"/>
    <cellStyle name="40% - Akzent6 64 2 2" xfId="14651" xr:uid="{00000000-0005-0000-0000-0000DA1D0000}"/>
    <cellStyle name="40% - Akzent6 64 2_est. MEAT" xfId="21688" xr:uid="{00000000-0005-0000-0000-0000DB1D0000}"/>
    <cellStyle name="40% - Akzent6 64 3" xfId="14650" xr:uid="{00000000-0005-0000-0000-0000DC1D0000}"/>
    <cellStyle name="40% - Akzent6 64_2012-2019" xfId="12203" xr:uid="{00000000-0005-0000-0000-0000DD1D0000}"/>
    <cellStyle name="40% - Akzent6 65" xfId="5234" xr:uid="{00000000-0005-0000-0000-0000DE1D0000}"/>
    <cellStyle name="40% - Akzent6 65 2" xfId="5235" xr:uid="{00000000-0005-0000-0000-0000DF1D0000}"/>
    <cellStyle name="40% - Akzent6 65 2 2" xfId="14653" xr:uid="{00000000-0005-0000-0000-0000E01D0000}"/>
    <cellStyle name="40% - Akzent6 65 2_est. MEAT" xfId="21689" xr:uid="{00000000-0005-0000-0000-0000E11D0000}"/>
    <cellStyle name="40% - Akzent6 65 3" xfId="14652" xr:uid="{00000000-0005-0000-0000-0000E21D0000}"/>
    <cellStyle name="40% - Akzent6 65_2012-2019" xfId="12204" xr:uid="{00000000-0005-0000-0000-0000E31D0000}"/>
    <cellStyle name="40% - Akzent6 66" xfId="5236" xr:uid="{00000000-0005-0000-0000-0000E41D0000}"/>
    <cellStyle name="40% - Akzent6 66 2" xfId="5237" xr:uid="{00000000-0005-0000-0000-0000E51D0000}"/>
    <cellStyle name="40% - Akzent6 66 2 2" xfId="14655" xr:uid="{00000000-0005-0000-0000-0000E61D0000}"/>
    <cellStyle name="40% - Akzent6 66 2_est. MEAT" xfId="21690" xr:uid="{00000000-0005-0000-0000-0000E71D0000}"/>
    <cellStyle name="40% - Akzent6 66 3" xfId="14654" xr:uid="{00000000-0005-0000-0000-0000E81D0000}"/>
    <cellStyle name="40% - Akzent6 66_2012-2019" xfId="12205" xr:uid="{00000000-0005-0000-0000-0000E91D0000}"/>
    <cellStyle name="40% - Akzent6 67" xfId="5238" xr:uid="{00000000-0005-0000-0000-0000EA1D0000}"/>
    <cellStyle name="40% - Akzent6 67 2" xfId="5239" xr:uid="{00000000-0005-0000-0000-0000EB1D0000}"/>
    <cellStyle name="40% - Akzent6 67 2 2" xfId="14657" xr:uid="{00000000-0005-0000-0000-0000EC1D0000}"/>
    <cellStyle name="40% - Akzent6 67 2_est. MEAT" xfId="21691" xr:uid="{00000000-0005-0000-0000-0000ED1D0000}"/>
    <cellStyle name="40% - Akzent6 67 3" xfId="14656" xr:uid="{00000000-0005-0000-0000-0000EE1D0000}"/>
    <cellStyle name="40% - Akzent6 67_2012-2019" xfId="12206" xr:uid="{00000000-0005-0000-0000-0000EF1D0000}"/>
    <cellStyle name="40% - Akzent6 68" xfId="5240" xr:uid="{00000000-0005-0000-0000-0000F01D0000}"/>
    <cellStyle name="40% - Akzent6 68 2" xfId="5241" xr:uid="{00000000-0005-0000-0000-0000F11D0000}"/>
    <cellStyle name="40% - Akzent6 68 2 2" xfId="14659" xr:uid="{00000000-0005-0000-0000-0000F21D0000}"/>
    <cellStyle name="40% - Akzent6 68 2_est. MEAT" xfId="21692" xr:uid="{00000000-0005-0000-0000-0000F31D0000}"/>
    <cellStyle name="40% - Akzent6 68 3" xfId="14658" xr:uid="{00000000-0005-0000-0000-0000F41D0000}"/>
    <cellStyle name="40% - Akzent6 68_2012-2019" xfId="12207" xr:uid="{00000000-0005-0000-0000-0000F51D0000}"/>
    <cellStyle name="40% - Akzent6 69" xfId="5242" xr:uid="{00000000-0005-0000-0000-0000F61D0000}"/>
    <cellStyle name="40% - Akzent6 69 2" xfId="5243" xr:uid="{00000000-0005-0000-0000-0000F71D0000}"/>
    <cellStyle name="40% - Akzent6 69 2 2" xfId="14661" xr:uid="{00000000-0005-0000-0000-0000F81D0000}"/>
    <cellStyle name="40% - Akzent6 69 2_est. MEAT" xfId="21693" xr:uid="{00000000-0005-0000-0000-0000F91D0000}"/>
    <cellStyle name="40% - Akzent6 69 3" xfId="14660" xr:uid="{00000000-0005-0000-0000-0000FA1D0000}"/>
    <cellStyle name="40% - Akzent6 69_2012-2019" xfId="12208" xr:uid="{00000000-0005-0000-0000-0000FB1D0000}"/>
    <cellStyle name="40% - Akzent6 7" xfId="5244" xr:uid="{00000000-0005-0000-0000-0000FC1D0000}"/>
    <cellStyle name="40% - Akzent6 7 2" xfId="5245" xr:uid="{00000000-0005-0000-0000-0000FD1D0000}"/>
    <cellStyle name="40% - Akzent6 7 2 2" xfId="14663" xr:uid="{00000000-0005-0000-0000-0000FE1D0000}"/>
    <cellStyle name="40% - Akzent6 7 2_est. MEAT" xfId="21694" xr:uid="{00000000-0005-0000-0000-0000FF1D0000}"/>
    <cellStyle name="40% - Akzent6 7 3" xfId="14662" xr:uid="{00000000-0005-0000-0000-0000001E0000}"/>
    <cellStyle name="40% - Akzent6 7_2012-2019" xfId="12209" xr:uid="{00000000-0005-0000-0000-0000011E0000}"/>
    <cellStyle name="40% - Akzent6 70" xfId="5246" xr:uid="{00000000-0005-0000-0000-0000021E0000}"/>
    <cellStyle name="40% - Akzent6 70 2" xfId="5247" xr:uid="{00000000-0005-0000-0000-0000031E0000}"/>
    <cellStyle name="40% - Akzent6 70 2 2" xfId="14665" xr:uid="{00000000-0005-0000-0000-0000041E0000}"/>
    <cellStyle name="40% - Akzent6 70 2_est. MEAT" xfId="21695" xr:uid="{00000000-0005-0000-0000-0000051E0000}"/>
    <cellStyle name="40% - Akzent6 70 3" xfId="14664" xr:uid="{00000000-0005-0000-0000-0000061E0000}"/>
    <cellStyle name="40% - Akzent6 70_2012-2019" xfId="12210" xr:uid="{00000000-0005-0000-0000-0000071E0000}"/>
    <cellStyle name="40% - Akzent6 71" xfId="5248" xr:uid="{00000000-0005-0000-0000-0000081E0000}"/>
    <cellStyle name="40% - Akzent6 71 2" xfId="5249" xr:uid="{00000000-0005-0000-0000-0000091E0000}"/>
    <cellStyle name="40% - Akzent6 71 2 2" xfId="14667" xr:uid="{00000000-0005-0000-0000-00000A1E0000}"/>
    <cellStyle name="40% - Akzent6 71 2_est. MEAT" xfId="21696" xr:uid="{00000000-0005-0000-0000-00000B1E0000}"/>
    <cellStyle name="40% - Akzent6 71 3" xfId="14666" xr:uid="{00000000-0005-0000-0000-00000C1E0000}"/>
    <cellStyle name="40% - Akzent6 71_2012-2019" xfId="12211" xr:uid="{00000000-0005-0000-0000-00000D1E0000}"/>
    <cellStyle name="40% - Akzent6 72" xfId="5250" xr:uid="{00000000-0005-0000-0000-00000E1E0000}"/>
    <cellStyle name="40% - Akzent6 72 2" xfId="5251" xr:uid="{00000000-0005-0000-0000-00000F1E0000}"/>
    <cellStyle name="40% - Akzent6 72 2 2" xfId="14669" xr:uid="{00000000-0005-0000-0000-0000101E0000}"/>
    <cellStyle name="40% - Akzent6 72 2_est. MEAT" xfId="21697" xr:uid="{00000000-0005-0000-0000-0000111E0000}"/>
    <cellStyle name="40% - Akzent6 72 3" xfId="14668" xr:uid="{00000000-0005-0000-0000-0000121E0000}"/>
    <cellStyle name="40% - Akzent6 72_2012-2019" xfId="12212" xr:uid="{00000000-0005-0000-0000-0000131E0000}"/>
    <cellStyle name="40% - Akzent6 73" xfId="5252" xr:uid="{00000000-0005-0000-0000-0000141E0000}"/>
    <cellStyle name="40% - Akzent6 73 2" xfId="5253" xr:uid="{00000000-0005-0000-0000-0000151E0000}"/>
    <cellStyle name="40% - Akzent6 73 2 2" xfId="14671" xr:uid="{00000000-0005-0000-0000-0000161E0000}"/>
    <cellStyle name="40% - Akzent6 73 2_est. MEAT" xfId="21698" xr:uid="{00000000-0005-0000-0000-0000171E0000}"/>
    <cellStyle name="40% - Akzent6 73 3" xfId="14670" xr:uid="{00000000-0005-0000-0000-0000181E0000}"/>
    <cellStyle name="40% - Akzent6 73_2012-2019" xfId="12213" xr:uid="{00000000-0005-0000-0000-0000191E0000}"/>
    <cellStyle name="40% - Akzent6 74" xfId="5254" xr:uid="{00000000-0005-0000-0000-00001A1E0000}"/>
    <cellStyle name="40% - Akzent6 74 2" xfId="5255" xr:uid="{00000000-0005-0000-0000-00001B1E0000}"/>
    <cellStyle name="40% - Akzent6 74 2 2" xfId="14673" xr:uid="{00000000-0005-0000-0000-00001C1E0000}"/>
    <cellStyle name="40% - Akzent6 74 2_est. MEAT" xfId="21699" xr:uid="{00000000-0005-0000-0000-00001D1E0000}"/>
    <cellStyle name="40% - Akzent6 74 3" xfId="14672" xr:uid="{00000000-0005-0000-0000-00001E1E0000}"/>
    <cellStyle name="40% - Akzent6 74_2012-2019" xfId="12214" xr:uid="{00000000-0005-0000-0000-00001F1E0000}"/>
    <cellStyle name="40% - Akzent6 75" xfId="5256" xr:uid="{00000000-0005-0000-0000-0000201E0000}"/>
    <cellStyle name="40% - Akzent6 75 2" xfId="5257" xr:uid="{00000000-0005-0000-0000-0000211E0000}"/>
    <cellStyle name="40% - Akzent6 75 2 2" xfId="14675" xr:uid="{00000000-0005-0000-0000-0000221E0000}"/>
    <cellStyle name="40% - Akzent6 75 2_est. MEAT" xfId="21700" xr:uid="{00000000-0005-0000-0000-0000231E0000}"/>
    <cellStyle name="40% - Akzent6 75 3" xfId="14674" xr:uid="{00000000-0005-0000-0000-0000241E0000}"/>
    <cellStyle name="40% - Akzent6 75_2012-2019" xfId="12215" xr:uid="{00000000-0005-0000-0000-0000251E0000}"/>
    <cellStyle name="40% - Akzent6 76" xfId="5258" xr:uid="{00000000-0005-0000-0000-0000261E0000}"/>
    <cellStyle name="40% - Akzent6 76 2" xfId="5259" xr:uid="{00000000-0005-0000-0000-0000271E0000}"/>
    <cellStyle name="40% - Akzent6 76 2 2" xfId="14677" xr:uid="{00000000-0005-0000-0000-0000281E0000}"/>
    <cellStyle name="40% - Akzent6 76 2_est. MEAT" xfId="21701" xr:uid="{00000000-0005-0000-0000-0000291E0000}"/>
    <cellStyle name="40% - Akzent6 76 3" xfId="14676" xr:uid="{00000000-0005-0000-0000-00002A1E0000}"/>
    <cellStyle name="40% - Akzent6 76_2012-2019" xfId="12216" xr:uid="{00000000-0005-0000-0000-00002B1E0000}"/>
    <cellStyle name="40% - Akzent6 77" xfId="5260" xr:uid="{00000000-0005-0000-0000-00002C1E0000}"/>
    <cellStyle name="40% - Akzent6 77 2" xfId="5261" xr:uid="{00000000-0005-0000-0000-00002D1E0000}"/>
    <cellStyle name="40% - Akzent6 77 2 2" xfId="14679" xr:uid="{00000000-0005-0000-0000-00002E1E0000}"/>
    <cellStyle name="40% - Akzent6 77 2_est. MEAT" xfId="21702" xr:uid="{00000000-0005-0000-0000-00002F1E0000}"/>
    <cellStyle name="40% - Akzent6 77 3" xfId="14678" xr:uid="{00000000-0005-0000-0000-0000301E0000}"/>
    <cellStyle name="40% - Akzent6 77_2012-2019" xfId="12217" xr:uid="{00000000-0005-0000-0000-0000311E0000}"/>
    <cellStyle name="40% - Akzent6 78" xfId="5262" xr:uid="{00000000-0005-0000-0000-0000321E0000}"/>
    <cellStyle name="40% - Akzent6 78 2" xfId="5263" xr:uid="{00000000-0005-0000-0000-0000331E0000}"/>
    <cellStyle name="40% - Akzent6 78 2 2" xfId="14681" xr:uid="{00000000-0005-0000-0000-0000341E0000}"/>
    <cellStyle name="40% - Akzent6 78 2_est. MEAT" xfId="21703" xr:uid="{00000000-0005-0000-0000-0000351E0000}"/>
    <cellStyle name="40% - Akzent6 78 3" xfId="14680" xr:uid="{00000000-0005-0000-0000-0000361E0000}"/>
    <cellStyle name="40% - Akzent6 78_2012-2019" xfId="12218" xr:uid="{00000000-0005-0000-0000-0000371E0000}"/>
    <cellStyle name="40% - Akzent6 79" xfId="5264" xr:uid="{00000000-0005-0000-0000-0000381E0000}"/>
    <cellStyle name="40% - Akzent6 79 2" xfId="5265" xr:uid="{00000000-0005-0000-0000-0000391E0000}"/>
    <cellStyle name="40% - Akzent6 79 2 2" xfId="14683" xr:uid="{00000000-0005-0000-0000-00003A1E0000}"/>
    <cellStyle name="40% - Akzent6 79 2_est. MEAT" xfId="21704" xr:uid="{00000000-0005-0000-0000-00003B1E0000}"/>
    <cellStyle name="40% - Akzent6 79 3" xfId="14682" xr:uid="{00000000-0005-0000-0000-00003C1E0000}"/>
    <cellStyle name="40% - Akzent6 79_2012-2019" xfId="12219" xr:uid="{00000000-0005-0000-0000-00003D1E0000}"/>
    <cellStyle name="40% - Akzent6 8" xfId="5266" xr:uid="{00000000-0005-0000-0000-00003E1E0000}"/>
    <cellStyle name="40% - Akzent6 8 2" xfId="5267" xr:uid="{00000000-0005-0000-0000-00003F1E0000}"/>
    <cellStyle name="40% - Akzent6 8 2 2" xfId="14685" xr:uid="{00000000-0005-0000-0000-0000401E0000}"/>
    <cellStyle name="40% - Akzent6 8 2_est. MEAT" xfId="21705" xr:uid="{00000000-0005-0000-0000-0000411E0000}"/>
    <cellStyle name="40% - Akzent6 8 3" xfId="14684" xr:uid="{00000000-0005-0000-0000-0000421E0000}"/>
    <cellStyle name="40% - Akzent6 8_2012-2019" xfId="12220" xr:uid="{00000000-0005-0000-0000-0000431E0000}"/>
    <cellStyle name="40% - Akzent6 80" xfId="5268" xr:uid="{00000000-0005-0000-0000-0000441E0000}"/>
    <cellStyle name="40% - Akzent6 80 2" xfId="5269" xr:uid="{00000000-0005-0000-0000-0000451E0000}"/>
    <cellStyle name="40% - Akzent6 80 2 2" xfId="14687" xr:uid="{00000000-0005-0000-0000-0000461E0000}"/>
    <cellStyle name="40% - Akzent6 80 2_est. MEAT" xfId="21706" xr:uid="{00000000-0005-0000-0000-0000471E0000}"/>
    <cellStyle name="40% - Akzent6 80 3" xfId="14686" xr:uid="{00000000-0005-0000-0000-0000481E0000}"/>
    <cellStyle name="40% - Akzent6 80_2012-2019" xfId="12221" xr:uid="{00000000-0005-0000-0000-0000491E0000}"/>
    <cellStyle name="40% - Akzent6 81" xfId="5270" xr:uid="{00000000-0005-0000-0000-00004A1E0000}"/>
    <cellStyle name="40% - Akzent6 81 2" xfId="5271" xr:uid="{00000000-0005-0000-0000-00004B1E0000}"/>
    <cellStyle name="40% - Akzent6 81 2 2" xfId="14689" xr:uid="{00000000-0005-0000-0000-00004C1E0000}"/>
    <cellStyle name="40% - Akzent6 81 2_est. MEAT" xfId="21707" xr:uid="{00000000-0005-0000-0000-00004D1E0000}"/>
    <cellStyle name="40% - Akzent6 81 3" xfId="14688" xr:uid="{00000000-0005-0000-0000-00004E1E0000}"/>
    <cellStyle name="40% - Akzent6 81_2012-2019" xfId="12222" xr:uid="{00000000-0005-0000-0000-00004F1E0000}"/>
    <cellStyle name="40% - Akzent6 82" xfId="5272" xr:uid="{00000000-0005-0000-0000-0000501E0000}"/>
    <cellStyle name="40% - Akzent6 82 2" xfId="5273" xr:uid="{00000000-0005-0000-0000-0000511E0000}"/>
    <cellStyle name="40% - Akzent6 82 2 2" xfId="14691" xr:uid="{00000000-0005-0000-0000-0000521E0000}"/>
    <cellStyle name="40% - Akzent6 82 2_est. MEAT" xfId="21708" xr:uid="{00000000-0005-0000-0000-0000531E0000}"/>
    <cellStyle name="40% - Akzent6 82 3" xfId="14690" xr:uid="{00000000-0005-0000-0000-0000541E0000}"/>
    <cellStyle name="40% - Akzent6 82_2012-2019" xfId="12223" xr:uid="{00000000-0005-0000-0000-0000551E0000}"/>
    <cellStyle name="40% - Akzent6 83" xfId="5274" xr:uid="{00000000-0005-0000-0000-0000561E0000}"/>
    <cellStyle name="40% - Akzent6 83 2" xfId="5275" xr:uid="{00000000-0005-0000-0000-0000571E0000}"/>
    <cellStyle name="40% - Akzent6 83 2 2" xfId="14693" xr:uid="{00000000-0005-0000-0000-0000581E0000}"/>
    <cellStyle name="40% - Akzent6 83 2_est. MEAT" xfId="21709" xr:uid="{00000000-0005-0000-0000-0000591E0000}"/>
    <cellStyle name="40% - Akzent6 83 3" xfId="14692" xr:uid="{00000000-0005-0000-0000-00005A1E0000}"/>
    <cellStyle name="40% - Akzent6 83_2012-2019" xfId="12224" xr:uid="{00000000-0005-0000-0000-00005B1E0000}"/>
    <cellStyle name="40% - Akzent6 84" xfId="5276" xr:uid="{00000000-0005-0000-0000-00005C1E0000}"/>
    <cellStyle name="40% - Akzent6 84 2" xfId="5277" xr:uid="{00000000-0005-0000-0000-00005D1E0000}"/>
    <cellStyle name="40% - Akzent6 84 2 2" xfId="14695" xr:uid="{00000000-0005-0000-0000-00005E1E0000}"/>
    <cellStyle name="40% - Akzent6 84 2_est. MEAT" xfId="21710" xr:uid="{00000000-0005-0000-0000-00005F1E0000}"/>
    <cellStyle name="40% - Akzent6 84 3" xfId="14694" xr:uid="{00000000-0005-0000-0000-0000601E0000}"/>
    <cellStyle name="40% - Akzent6 84_2012-2019" xfId="12225" xr:uid="{00000000-0005-0000-0000-0000611E0000}"/>
    <cellStyle name="40% - Akzent6 85" xfId="5278" xr:uid="{00000000-0005-0000-0000-0000621E0000}"/>
    <cellStyle name="40% - Akzent6 85 2" xfId="5279" xr:uid="{00000000-0005-0000-0000-0000631E0000}"/>
    <cellStyle name="40% - Akzent6 85 2 2" xfId="14697" xr:uid="{00000000-0005-0000-0000-0000641E0000}"/>
    <cellStyle name="40% - Akzent6 85 2_est. MEAT" xfId="21711" xr:uid="{00000000-0005-0000-0000-0000651E0000}"/>
    <cellStyle name="40% - Akzent6 85 3" xfId="14696" xr:uid="{00000000-0005-0000-0000-0000661E0000}"/>
    <cellStyle name="40% - Akzent6 85_2012-2019" xfId="12226" xr:uid="{00000000-0005-0000-0000-0000671E0000}"/>
    <cellStyle name="40% - Akzent6 86" xfId="5280" xr:uid="{00000000-0005-0000-0000-0000681E0000}"/>
    <cellStyle name="40% - Akzent6 86 2" xfId="5281" xr:uid="{00000000-0005-0000-0000-0000691E0000}"/>
    <cellStyle name="40% - Akzent6 86 2 2" xfId="14699" xr:uid="{00000000-0005-0000-0000-00006A1E0000}"/>
    <cellStyle name="40% - Akzent6 86 2_est. MEAT" xfId="21712" xr:uid="{00000000-0005-0000-0000-00006B1E0000}"/>
    <cellStyle name="40% - Akzent6 86 3" xfId="14698" xr:uid="{00000000-0005-0000-0000-00006C1E0000}"/>
    <cellStyle name="40% - Akzent6 86_2012-2019" xfId="12227" xr:uid="{00000000-0005-0000-0000-00006D1E0000}"/>
    <cellStyle name="40% - Akzent6 87" xfId="5282" xr:uid="{00000000-0005-0000-0000-00006E1E0000}"/>
    <cellStyle name="40% - Akzent6 87 2" xfId="5283" xr:uid="{00000000-0005-0000-0000-00006F1E0000}"/>
    <cellStyle name="40% - Akzent6 87 2 2" xfId="14701" xr:uid="{00000000-0005-0000-0000-0000701E0000}"/>
    <cellStyle name="40% - Akzent6 87 2_est. MEAT" xfId="21713" xr:uid="{00000000-0005-0000-0000-0000711E0000}"/>
    <cellStyle name="40% - Akzent6 87 3" xfId="14700" xr:uid="{00000000-0005-0000-0000-0000721E0000}"/>
    <cellStyle name="40% - Akzent6 87_2012-2019" xfId="12228" xr:uid="{00000000-0005-0000-0000-0000731E0000}"/>
    <cellStyle name="40% - Akzent6 88" xfId="5284" xr:uid="{00000000-0005-0000-0000-0000741E0000}"/>
    <cellStyle name="40% - Akzent6 88 2" xfId="5285" xr:uid="{00000000-0005-0000-0000-0000751E0000}"/>
    <cellStyle name="40% - Akzent6 88 2 2" xfId="14703" xr:uid="{00000000-0005-0000-0000-0000761E0000}"/>
    <cellStyle name="40% - Akzent6 88 2_est. MEAT" xfId="21714" xr:uid="{00000000-0005-0000-0000-0000771E0000}"/>
    <cellStyle name="40% - Akzent6 88 3" xfId="14702" xr:uid="{00000000-0005-0000-0000-0000781E0000}"/>
    <cellStyle name="40% - Akzent6 88_2012-2019" xfId="12229" xr:uid="{00000000-0005-0000-0000-0000791E0000}"/>
    <cellStyle name="40% - Akzent6 89" xfId="5286" xr:uid="{00000000-0005-0000-0000-00007A1E0000}"/>
    <cellStyle name="40% - Akzent6 89 2" xfId="5287" xr:uid="{00000000-0005-0000-0000-00007B1E0000}"/>
    <cellStyle name="40% - Akzent6 89 2 2" xfId="14705" xr:uid="{00000000-0005-0000-0000-00007C1E0000}"/>
    <cellStyle name="40% - Akzent6 89 2_est. MEAT" xfId="21715" xr:uid="{00000000-0005-0000-0000-00007D1E0000}"/>
    <cellStyle name="40% - Akzent6 89 3" xfId="14704" xr:uid="{00000000-0005-0000-0000-00007E1E0000}"/>
    <cellStyle name="40% - Akzent6 89_2012-2019" xfId="12230" xr:uid="{00000000-0005-0000-0000-00007F1E0000}"/>
    <cellStyle name="40% - Akzent6 9" xfId="5288" xr:uid="{00000000-0005-0000-0000-0000801E0000}"/>
    <cellStyle name="40% - Akzent6 9 2" xfId="5289" xr:uid="{00000000-0005-0000-0000-0000811E0000}"/>
    <cellStyle name="40% - Akzent6 9 2 2" xfId="14707" xr:uid="{00000000-0005-0000-0000-0000821E0000}"/>
    <cellStyle name="40% - Akzent6 9 2_est. MEAT" xfId="21716" xr:uid="{00000000-0005-0000-0000-0000831E0000}"/>
    <cellStyle name="40% - Akzent6 9 3" xfId="14706" xr:uid="{00000000-0005-0000-0000-0000841E0000}"/>
    <cellStyle name="40% - Akzent6 9_2012-2019" xfId="12231" xr:uid="{00000000-0005-0000-0000-0000851E0000}"/>
    <cellStyle name="40% - Akzent6 90" xfId="5290" xr:uid="{00000000-0005-0000-0000-0000861E0000}"/>
    <cellStyle name="40% - Akzent6 90 2" xfId="5291" xr:uid="{00000000-0005-0000-0000-0000871E0000}"/>
    <cellStyle name="40% - Akzent6 90 2 2" xfId="14709" xr:uid="{00000000-0005-0000-0000-0000881E0000}"/>
    <cellStyle name="40% - Akzent6 90 2_est. MEAT" xfId="21717" xr:uid="{00000000-0005-0000-0000-0000891E0000}"/>
    <cellStyle name="40% - Akzent6 90 3" xfId="14708" xr:uid="{00000000-0005-0000-0000-00008A1E0000}"/>
    <cellStyle name="40% - Akzent6 90_2012-2019" xfId="12232" xr:uid="{00000000-0005-0000-0000-00008B1E0000}"/>
    <cellStyle name="40% - Akzent6 91" xfId="5292" xr:uid="{00000000-0005-0000-0000-00008C1E0000}"/>
    <cellStyle name="40% - Akzent6 91 2" xfId="5293" xr:uid="{00000000-0005-0000-0000-00008D1E0000}"/>
    <cellStyle name="40% - Akzent6 91 2 2" xfId="14711" xr:uid="{00000000-0005-0000-0000-00008E1E0000}"/>
    <cellStyle name="40% - Akzent6 91 2_est. MEAT" xfId="21718" xr:uid="{00000000-0005-0000-0000-00008F1E0000}"/>
    <cellStyle name="40% - Akzent6 91 3" xfId="14710" xr:uid="{00000000-0005-0000-0000-0000901E0000}"/>
    <cellStyle name="40% - Akzent6 91_2012-2019" xfId="12233" xr:uid="{00000000-0005-0000-0000-0000911E0000}"/>
    <cellStyle name="40% - Akzent6 92" xfId="5294" xr:uid="{00000000-0005-0000-0000-0000921E0000}"/>
    <cellStyle name="40% - Akzent6 92 2" xfId="5295" xr:uid="{00000000-0005-0000-0000-0000931E0000}"/>
    <cellStyle name="40% - Akzent6 92 2 2" xfId="14713" xr:uid="{00000000-0005-0000-0000-0000941E0000}"/>
    <cellStyle name="40% - Akzent6 92 2_est. MEAT" xfId="21719" xr:uid="{00000000-0005-0000-0000-0000951E0000}"/>
    <cellStyle name="40% - Akzent6 92 3" xfId="14712" xr:uid="{00000000-0005-0000-0000-0000961E0000}"/>
    <cellStyle name="40% - Akzent6 92_2012-2019" xfId="12234" xr:uid="{00000000-0005-0000-0000-0000971E0000}"/>
    <cellStyle name="40% - Akzent6 93" xfId="5296" xr:uid="{00000000-0005-0000-0000-0000981E0000}"/>
    <cellStyle name="40% - Akzent6 93 2" xfId="5297" xr:uid="{00000000-0005-0000-0000-0000991E0000}"/>
    <cellStyle name="40% - Akzent6 93 2 2" xfId="14715" xr:uid="{00000000-0005-0000-0000-00009A1E0000}"/>
    <cellStyle name="40% - Akzent6 93 2_est. MEAT" xfId="21720" xr:uid="{00000000-0005-0000-0000-00009B1E0000}"/>
    <cellStyle name="40% - Akzent6 93 3" xfId="14714" xr:uid="{00000000-0005-0000-0000-00009C1E0000}"/>
    <cellStyle name="40% - Akzent6 93_2012-2019" xfId="12235" xr:uid="{00000000-0005-0000-0000-00009D1E0000}"/>
    <cellStyle name="40% - Akzent6 94" xfId="5298" xr:uid="{00000000-0005-0000-0000-00009E1E0000}"/>
    <cellStyle name="40% - Akzent6 94 2" xfId="5299" xr:uid="{00000000-0005-0000-0000-00009F1E0000}"/>
    <cellStyle name="40% - Akzent6 94 2 2" xfId="14717" xr:uid="{00000000-0005-0000-0000-0000A01E0000}"/>
    <cellStyle name="40% - Akzent6 94 2_est. MEAT" xfId="21721" xr:uid="{00000000-0005-0000-0000-0000A11E0000}"/>
    <cellStyle name="40% - Akzent6 94 3" xfId="14716" xr:uid="{00000000-0005-0000-0000-0000A21E0000}"/>
    <cellStyle name="40% - Akzent6 94_2012-2019" xfId="12236" xr:uid="{00000000-0005-0000-0000-0000A31E0000}"/>
    <cellStyle name="40% - Akzent6 95" xfId="5300" xr:uid="{00000000-0005-0000-0000-0000A41E0000}"/>
    <cellStyle name="40% - Akzent6 95 2" xfId="5301" xr:uid="{00000000-0005-0000-0000-0000A51E0000}"/>
    <cellStyle name="40% - Akzent6 95 2 2" xfId="14719" xr:uid="{00000000-0005-0000-0000-0000A61E0000}"/>
    <cellStyle name="40% - Akzent6 95 2_est. MEAT" xfId="21722" xr:uid="{00000000-0005-0000-0000-0000A71E0000}"/>
    <cellStyle name="40% - Akzent6 95 3" xfId="14718" xr:uid="{00000000-0005-0000-0000-0000A81E0000}"/>
    <cellStyle name="40% - Akzent6 95_2012-2019" xfId="12237" xr:uid="{00000000-0005-0000-0000-0000A91E0000}"/>
    <cellStyle name="40% - Akzent6 96" xfId="5302" xr:uid="{00000000-0005-0000-0000-0000AA1E0000}"/>
    <cellStyle name="40% - Akzent6 96 2" xfId="5303" xr:uid="{00000000-0005-0000-0000-0000AB1E0000}"/>
    <cellStyle name="40% - Akzent6 96 2 2" xfId="14721" xr:uid="{00000000-0005-0000-0000-0000AC1E0000}"/>
    <cellStyle name="40% - Akzent6 96 2_est. MEAT" xfId="21723" xr:uid="{00000000-0005-0000-0000-0000AD1E0000}"/>
    <cellStyle name="40% - Akzent6 96 3" xfId="14720" xr:uid="{00000000-0005-0000-0000-0000AE1E0000}"/>
    <cellStyle name="40% - Akzent6 96_2012-2019" xfId="12238" xr:uid="{00000000-0005-0000-0000-0000AF1E0000}"/>
    <cellStyle name="40% - Akzent6 97" xfId="5304" xr:uid="{00000000-0005-0000-0000-0000B01E0000}"/>
    <cellStyle name="40% - Akzent6 97 2" xfId="5305" xr:uid="{00000000-0005-0000-0000-0000B11E0000}"/>
    <cellStyle name="40% - Akzent6 97 2 2" xfId="14723" xr:uid="{00000000-0005-0000-0000-0000B21E0000}"/>
    <cellStyle name="40% - Akzent6 97 2_est. MEAT" xfId="21724" xr:uid="{00000000-0005-0000-0000-0000B31E0000}"/>
    <cellStyle name="40% - Akzent6 97 3" xfId="14722" xr:uid="{00000000-0005-0000-0000-0000B41E0000}"/>
    <cellStyle name="40% - Akzent6 97_2012-2019" xfId="12239" xr:uid="{00000000-0005-0000-0000-0000B51E0000}"/>
    <cellStyle name="40% - Akzent6 98" xfId="5306" xr:uid="{00000000-0005-0000-0000-0000B61E0000}"/>
    <cellStyle name="40% - Akzent6 98 2" xfId="5307" xr:uid="{00000000-0005-0000-0000-0000B71E0000}"/>
    <cellStyle name="40% - Akzent6 98 2 2" xfId="14725" xr:uid="{00000000-0005-0000-0000-0000B81E0000}"/>
    <cellStyle name="40% - Akzent6 98 2_est. MEAT" xfId="21725" xr:uid="{00000000-0005-0000-0000-0000B91E0000}"/>
    <cellStyle name="40% - Akzent6 98 3" xfId="14724" xr:uid="{00000000-0005-0000-0000-0000BA1E0000}"/>
    <cellStyle name="40% - Akzent6 98_2012-2019" xfId="12240" xr:uid="{00000000-0005-0000-0000-0000BB1E0000}"/>
    <cellStyle name="40% - Akzent6 99" xfId="5308" xr:uid="{00000000-0005-0000-0000-0000BC1E0000}"/>
    <cellStyle name="40% - Akzent6 99 2" xfId="5309" xr:uid="{00000000-0005-0000-0000-0000BD1E0000}"/>
    <cellStyle name="40% - Akzent6 99 2 2" xfId="14727" xr:uid="{00000000-0005-0000-0000-0000BE1E0000}"/>
    <cellStyle name="40% - Akzent6 99 2_est. MEAT" xfId="21726" xr:uid="{00000000-0005-0000-0000-0000BF1E0000}"/>
    <cellStyle name="40% - Akzent6 99 3" xfId="14726" xr:uid="{00000000-0005-0000-0000-0000C01E0000}"/>
    <cellStyle name="40% - Akzent6 99_2012-2019" xfId="12241" xr:uid="{00000000-0005-0000-0000-0000C11E0000}"/>
    <cellStyle name="60 % - Akzent1" xfId="5310" xr:uid="{00000000-0005-0000-0000-0000C21E0000}"/>
    <cellStyle name="60 % - Akzent1 2" xfId="14728" xr:uid="{00000000-0005-0000-0000-0000C31E0000}"/>
    <cellStyle name="60 % - Akzent1_est. MEAT" xfId="21727" xr:uid="{00000000-0005-0000-0000-0000C41E0000}"/>
    <cellStyle name="60 % - Akzent2" xfId="5311" xr:uid="{00000000-0005-0000-0000-0000C51E0000}"/>
    <cellStyle name="60 % - Akzent2 2" xfId="14729" xr:uid="{00000000-0005-0000-0000-0000C61E0000}"/>
    <cellStyle name="60 % - Akzent2_est. MEAT" xfId="21728" xr:uid="{00000000-0005-0000-0000-0000C71E0000}"/>
    <cellStyle name="60 % - Akzent3" xfId="5312" xr:uid="{00000000-0005-0000-0000-0000C81E0000}"/>
    <cellStyle name="60 % - Akzent3 2" xfId="14730" xr:uid="{00000000-0005-0000-0000-0000C91E0000}"/>
    <cellStyle name="60 % - Akzent3_est. MEAT" xfId="21729" xr:uid="{00000000-0005-0000-0000-0000CA1E0000}"/>
    <cellStyle name="60 % - Akzent4" xfId="5313" xr:uid="{00000000-0005-0000-0000-0000CB1E0000}"/>
    <cellStyle name="60 % - Akzent4 2" xfId="14731" xr:uid="{00000000-0005-0000-0000-0000CC1E0000}"/>
    <cellStyle name="60 % - Akzent4_est. MEAT" xfId="21730" xr:uid="{00000000-0005-0000-0000-0000CD1E0000}"/>
    <cellStyle name="60 % - Akzent5" xfId="5314" xr:uid="{00000000-0005-0000-0000-0000CE1E0000}"/>
    <cellStyle name="60 % - Akzent5 2" xfId="14732" xr:uid="{00000000-0005-0000-0000-0000CF1E0000}"/>
    <cellStyle name="60 % - Akzent5_est. MEAT" xfId="21731" xr:uid="{00000000-0005-0000-0000-0000D01E0000}"/>
    <cellStyle name="60 % - Akzent6" xfId="5315" xr:uid="{00000000-0005-0000-0000-0000D11E0000}"/>
    <cellStyle name="60 % - Akzent6 2" xfId="14733" xr:uid="{00000000-0005-0000-0000-0000D21E0000}"/>
    <cellStyle name="60 % - Akzent6_est. MEAT" xfId="21732" xr:uid="{00000000-0005-0000-0000-0000D31E0000}"/>
    <cellStyle name="60% - Accent1" xfId="21733" xr:uid="{00000000-0005-0000-0000-0000D41E0000}"/>
    <cellStyle name="60% - Accent1 2" xfId="5316" xr:uid="{00000000-0005-0000-0000-0000D51E0000}"/>
    <cellStyle name="60% - Accent1 2 2" xfId="14734" xr:uid="{00000000-0005-0000-0000-0000D61E0000}"/>
    <cellStyle name="60% - Accent1 2_est. MEAT" xfId="21734" xr:uid="{00000000-0005-0000-0000-0000D71E0000}"/>
    <cellStyle name="60% - Accent2" xfId="21735" xr:uid="{00000000-0005-0000-0000-0000D81E0000}"/>
    <cellStyle name="60% - Accent2 2" xfId="5317" xr:uid="{00000000-0005-0000-0000-0000D91E0000}"/>
    <cellStyle name="60% - Accent2 2 2" xfId="14735" xr:uid="{00000000-0005-0000-0000-0000DA1E0000}"/>
    <cellStyle name="60% - Accent2 2_est. MEAT" xfId="21736" xr:uid="{00000000-0005-0000-0000-0000DB1E0000}"/>
    <cellStyle name="60% - Accent3" xfId="21737" xr:uid="{00000000-0005-0000-0000-0000DC1E0000}"/>
    <cellStyle name="60% - Accent3 2" xfId="5318" xr:uid="{00000000-0005-0000-0000-0000DD1E0000}"/>
    <cellStyle name="60% - Accent3 2 2" xfId="14736" xr:uid="{00000000-0005-0000-0000-0000DE1E0000}"/>
    <cellStyle name="60% - Accent3 2_est. MEAT" xfId="21738" xr:uid="{00000000-0005-0000-0000-0000DF1E0000}"/>
    <cellStyle name="60% - Accent3 3" xfId="5319" xr:uid="{00000000-0005-0000-0000-0000E01E0000}"/>
    <cellStyle name="60% - Accent3 3 2" xfId="14737" xr:uid="{00000000-0005-0000-0000-0000E11E0000}"/>
    <cellStyle name="60% - Accent3 3_est. MEAT" xfId="21739" xr:uid="{00000000-0005-0000-0000-0000E21E0000}"/>
    <cellStyle name="60% - Accent4" xfId="21740" xr:uid="{00000000-0005-0000-0000-0000E31E0000}"/>
    <cellStyle name="60% - Accent4 2" xfId="5320" xr:uid="{00000000-0005-0000-0000-0000E41E0000}"/>
    <cellStyle name="60% - Accent4 2 2" xfId="14738" xr:uid="{00000000-0005-0000-0000-0000E51E0000}"/>
    <cellStyle name="60% - Accent4 2_est. MEAT" xfId="21741" xr:uid="{00000000-0005-0000-0000-0000E61E0000}"/>
    <cellStyle name="60% - Accent4 3" xfId="5321" xr:uid="{00000000-0005-0000-0000-0000E71E0000}"/>
    <cellStyle name="60% - Accent4 3 2" xfId="14739" xr:uid="{00000000-0005-0000-0000-0000E81E0000}"/>
    <cellStyle name="60% - Accent4 3_est. MEAT" xfId="21742" xr:uid="{00000000-0005-0000-0000-0000E91E0000}"/>
    <cellStyle name="60% - Accent5" xfId="21743" xr:uid="{00000000-0005-0000-0000-0000EA1E0000}"/>
    <cellStyle name="60% - Accent5 2" xfId="5322" xr:uid="{00000000-0005-0000-0000-0000EB1E0000}"/>
    <cellStyle name="60% - Accent5 2 2" xfId="14740" xr:uid="{00000000-0005-0000-0000-0000EC1E0000}"/>
    <cellStyle name="60% - Accent5 2_est. MEAT" xfId="21744" xr:uid="{00000000-0005-0000-0000-0000ED1E0000}"/>
    <cellStyle name="60% - Accent6" xfId="21745" xr:uid="{00000000-0005-0000-0000-0000EE1E0000}"/>
    <cellStyle name="60% - Accent6 2" xfId="5323" xr:uid="{00000000-0005-0000-0000-0000EF1E0000}"/>
    <cellStyle name="60% - Accent6 2 2" xfId="14741" xr:uid="{00000000-0005-0000-0000-0000F01E0000}"/>
    <cellStyle name="60% - Accent6 2_est. MEAT" xfId="21746" xr:uid="{00000000-0005-0000-0000-0000F11E0000}"/>
    <cellStyle name="60% - Accent6 3" xfId="5324" xr:uid="{00000000-0005-0000-0000-0000F21E0000}"/>
    <cellStyle name="60% - Accent6 3 2" xfId="14742" xr:uid="{00000000-0005-0000-0000-0000F31E0000}"/>
    <cellStyle name="60% - Accent6 3_est. MEAT" xfId="21747" xr:uid="{00000000-0005-0000-0000-0000F41E0000}"/>
    <cellStyle name="60% - Akzent1 10" xfId="5325" xr:uid="{00000000-0005-0000-0000-0000F51E0000}"/>
    <cellStyle name="60% - Akzent1 10 2" xfId="5326" xr:uid="{00000000-0005-0000-0000-0000F61E0000}"/>
    <cellStyle name="60% - Akzent1 10 2 2" xfId="14744" xr:uid="{00000000-0005-0000-0000-0000F71E0000}"/>
    <cellStyle name="60% - Akzent1 10 2_est. MEAT" xfId="21748" xr:uid="{00000000-0005-0000-0000-0000F81E0000}"/>
    <cellStyle name="60% - Akzent1 10 3" xfId="14743" xr:uid="{00000000-0005-0000-0000-0000F91E0000}"/>
    <cellStyle name="60% - Akzent1 10_2012-2019" xfId="12242" xr:uid="{00000000-0005-0000-0000-0000FA1E0000}"/>
    <cellStyle name="60% - Akzent1 100" xfId="5327" xr:uid="{00000000-0005-0000-0000-0000FB1E0000}"/>
    <cellStyle name="60% - Akzent1 100 2" xfId="14745" xr:uid="{00000000-0005-0000-0000-0000FC1E0000}"/>
    <cellStyle name="60% - Akzent1 100_est. MEAT" xfId="21749" xr:uid="{00000000-0005-0000-0000-0000FD1E0000}"/>
    <cellStyle name="60% - Akzent1 101" xfId="5328" xr:uid="{00000000-0005-0000-0000-0000FE1E0000}"/>
    <cellStyle name="60% - Akzent1 101 2" xfId="14746" xr:uid="{00000000-0005-0000-0000-0000FF1E0000}"/>
    <cellStyle name="60% - Akzent1 101_est. MEAT" xfId="21750" xr:uid="{00000000-0005-0000-0000-0000001F0000}"/>
    <cellStyle name="60% - Akzent1 102" xfId="5329" xr:uid="{00000000-0005-0000-0000-0000011F0000}"/>
    <cellStyle name="60% - Akzent1 102 2" xfId="14747" xr:uid="{00000000-0005-0000-0000-0000021F0000}"/>
    <cellStyle name="60% - Akzent1 102_est. MEAT" xfId="21751" xr:uid="{00000000-0005-0000-0000-0000031F0000}"/>
    <cellStyle name="60% - Akzent1 103" xfId="5330" xr:uid="{00000000-0005-0000-0000-0000041F0000}"/>
    <cellStyle name="60% - Akzent1 103 2" xfId="14748" xr:uid="{00000000-0005-0000-0000-0000051F0000}"/>
    <cellStyle name="60% - Akzent1 103_est. MEAT" xfId="21752" xr:uid="{00000000-0005-0000-0000-0000061F0000}"/>
    <cellStyle name="60% - Akzent1 104" xfId="5331" xr:uid="{00000000-0005-0000-0000-0000071F0000}"/>
    <cellStyle name="60% - Akzent1 104 2" xfId="14749" xr:uid="{00000000-0005-0000-0000-0000081F0000}"/>
    <cellStyle name="60% - Akzent1 104_est. MEAT" xfId="21753" xr:uid="{00000000-0005-0000-0000-0000091F0000}"/>
    <cellStyle name="60% - Akzent1 105" xfId="5332" xr:uid="{00000000-0005-0000-0000-00000A1F0000}"/>
    <cellStyle name="60% - Akzent1 105 2" xfId="14750" xr:uid="{00000000-0005-0000-0000-00000B1F0000}"/>
    <cellStyle name="60% - Akzent1 105_est. MEAT" xfId="21754" xr:uid="{00000000-0005-0000-0000-00000C1F0000}"/>
    <cellStyle name="60% - Akzent1 106" xfId="5333" xr:uid="{00000000-0005-0000-0000-00000D1F0000}"/>
    <cellStyle name="60% - Akzent1 106 2" xfId="14751" xr:uid="{00000000-0005-0000-0000-00000E1F0000}"/>
    <cellStyle name="60% - Akzent1 106_est. MEAT" xfId="21755" xr:uid="{00000000-0005-0000-0000-00000F1F0000}"/>
    <cellStyle name="60% - Akzent1 107" xfId="5334" xr:uid="{00000000-0005-0000-0000-0000101F0000}"/>
    <cellStyle name="60% - Akzent1 107 2" xfId="14752" xr:uid="{00000000-0005-0000-0000-0000111F0000}"/>
    <cellStyle name="60% - Akzent1 107_est. MEAT" xfId="21756" xr:uid="{00000000-0005-0000-0000-0000121F0000}"/>
    <cellStyle name="60% - Akzent1 108" xfId="5335" xr:uid="{00000000-0005-0000-0000-0000131F0000}"/>
    <cellStyle name="60% - Akzent1 108 2" xfId="14753" xr:uid="{00000000-0005-0000-0000-0000141F0000}"/>
    <cellStyle name="60% - Akzent1 108_est. MEAT" xfId="21757" xr:uid="{00000000-0005-0000-0000-0000151F0000}"/>
    <cellStyle name="60% - Akzent1 109" xfId="5336" xr:uid="{00000000-0005-0000-0000-0000161F0000}"/>
    <cellStyle name="60% - Akzent1 109 2" xfId="14754" xr:uid="{00000000-0005-0000-0000-0000171F0000}"/>
    <cellStyle name="60% - Akzent1 109_est. MEAT" xfId="21758" xr:uid="{00000000-0005-0000-0000-0000181F0000}"/>
    <cellStyle name="60% - Akzent1 11" xfId="5337" xr:uid="{00000000-0005-0000-0000-0000191F0000}"/>
    <cellStyle name="60% - Akzent1 11 2" xfId="5338" xr:uid="{00000000-0005-0000-0000-00001A1F0000}"/>
    <cellStyle name="60% - Akzent1 11 2 2" xfId="14756" xr:uid="{00000000-0005-0000-0000-00001B1F0000}"/>
    <cellStyle name="60% - Akzent1 11 2_est. MEAT" xfId="21759" xr:uid="{00000000-0005-0000-0000-00001C1F0000}"/>
    <cellStyle name="60% - Akzent1 11 3" xfId="14755" xr:uid="{00000000-0005-0000-0000-00001D1F0000}"/>
    <cellStyle name="60% - Akzent1 11_2012-2019" xfId="12243" xr:uid="{00000000-0005-0000-0000-00001E1F0000}"/>
    <cellStyle name="60% - Akzent1 110" xfId="5339" xr:uid="{00000000-0005-0000-0000-00001F1F0000}"/>
    <cellStyle name="60% - Akzent1 110 2" xfId="14757" xr:uid="{00000000-0005-0000-0000-0000201F0000}"/>
    <cellStyle name="60% - Akzent1 110_est. MEAT" xfId="21760" xr:uid="{00000000-0005-0000-0000-0000211F0000}"/>
    <cellStyle name="60% - Akzent1 111" xfId="5340" xr:uid="{00000000-0005-0000-0000-0000221F0000}"/>
    <cellStyle name="60% - Akzent1 111 2" xfId="14758" xr:uid="{00000000-0005-0000-0000-0000231F0000}"/>
    <cellStyle name="60% - Akzent1 111_est. MEAT" xfId="21761" xr:uid="{00000000-0005-0000-0000-0000241F0000}"/>
    <cellStyle name="60% - Akzent1 112" xfId="5341" xr:uid="{00000000-0005-0000-0000-0000251F0000}"/>
    <cellStyle name="60% - Akzent1 112 2" xfId="14759" xr:uid="{00000000-0005-0000-0000-0000261F0000}"/>
    <cellStyle name="60% - Akzent1 112_est. MEAT" xfId="21762" xr:uid="{00000000-0005-0000-0000-0000271F0000}"/>
    <cellStyle name="60% - Akzent1 113" xfId="5342" xr:uid="{00000000-0005-0000-0000-0000281F0000}"/>
    <cellStyle name="60% - Akzent1 113 2" xfId="14760" xr:uid="{00000000-0005-0000-0000-0000291F0000}"/>
    <cellStyle name="60% - Akzent1 113_est. MEAT" xfId="21763" xr:uid="{00000000-0005-0000-0000-00002A1F0000}"/>
    <cellStyle name="60% - Akzent1 114" xfId="5343" xr:uid="{00000000-0005-0000-0000-00002B1F0000}"/>
    <cellStyle name="60% - Akzent1 114 2" xfId="14761" xr:uid="{00000000-0005-0000-0000-00002C1F0000}"/>
    <cellStyle name="60% - Akzent1 114_est. MEAT" xfId="21764" xr:uid="{00000000-0005-0000-0000-00002D1F0000}"/>
    <cellStyle name="60% - Akzent1 115" xfId="5344" xr:uid="{00000000-0005-0000-0000-00002E1F0000}"/>
    <cellStyle name="60% - Akzent1 115 2" xfId="14762" xr:uid="{00000000-0005-0000-0000-00002F1F0000}"/>
    <cellStyle name="60% - Akzent1 115_est. MEAT" xfId="21765" xr:uid="{00000000-0005-0000-0000-0000301F0000}"/>
    <cellStyle name="60% - Akzent1 116" xfId="5345" xr:uid="{00000000-0005-0000-0000-0000311F0000}"/>
    <cellStyle name="60% - Akzent1 116 2" xfId="14763" xr:uid="{00000000-0005-0000-0000-0000321F0000}"/>
    <cellStyle name="60% - Akzent1 116_est. MEAT" xfId="21766" xr:uid="{00000000-0005-0000-0000-0000331F0000}"/>
    <cellStyle name="60% - Akzent1 117" xfId="5346" xr:uid="{00000000-0005-0000-0000-0000341F0000}"/>
    <cellStyle name="60% - Akzent1 117 2" xfId="14764" xr:uid="{00000000-0005-0000-0000-0000351F0000}"/>
    <cellStyle name="60% - Akzent1 117_est. MEAT" xfId="21767" xr:uid="{00000000-0005-0000-0000-0000361F0000}"/>
    <cellStyle name="60% - Akzent1 118" xfId="5347" xr:uid="{00000000-0005-0000-0000-0000371F0000}"/>
    <cellStyle name="60% - Akzent1 118 2" xfId="14765" xr:uid="{00000000-0005-0000-0000-0000381F0000}"/>
    <cellStyle name="60% - Akzent1 118_est. MEAT" xfId="21768" xr:uid="{00000000-0005-0000-0000-0000391F0000}"/>
    <cellStyle name="60% - Akzent1 119" xfId="5348" xr:uid="{00000000-0005-0000-0000-00003A1F0000}"/>
    <cellStyle name="60% - Akzent1 119 2" xfId="14766" xr:uid="{00000000-0005-0000-0000-00003B1F0000}"/>
    <cellStyle name="60% - Akzent1 119_est. MEAT" xfId="21769" xr:uid="{00000000-0005-0000-0000-00003C1F0000}"/>
    <cellStyle name="60% - Akzent1 12" xfId="5349" xr:uid="{00000000-0005-0000-0000-00003D1F0000}"/>
    <cellStyle name="60% - Akzent1 12 2" xfId="5350" xr:uid="{00000000-0005-0000-0000-00003E1F0000}"/>
    <cellStyle name="60% - Akzent1 12 2 2" xfId="14768" xr:uid="{00000000-0005-0000-0000-00003F1F0000}"/>
    <cellStyle name="60% - Akzent1 12 2_est. MEAT" xfId="21770" xr:uid="{00000000-0005-0000-0000-0000401F0000}"/>
    <cellStyle name="60% - Akzent1 12 3" xfId="14767" xr:uid="{00000000-0005-0000-0000-0000411F0000}"/>
    <cellStyle name="60% - Akzent1 12_2012-2019" xfId="12244" xr:uid="{00000000-0005-0000-0000-0000421F0000}"/>
    <cellStyle name="60% - Akzent1 120" xfId="5351" xr:uid="{00000000-0005-0000-0000-0000431F0000}"/>
    <cellStyle name="60% - Akzent1 120 2" xfId="14769" xr:uid="{00000000-0005-0000-0000-0000441F0000}"/>
    <cellStyle name="60% - Akzent1 120_est. MEAT" xfId="21771" xr:uid="{00000000-0005-0000-0000-0000451F0000}"/>
    <cellStyle name="60% - Akzent1 121" xfId="5352" xr:uid="{00000000-0005-0000-0000-0000461F0000}"/>
    <cellStyle name="60% - Akzent1 121 2" xfId="14770" xr:uid="{00000000-0005-0000-0000-0000471F0000}"/>
    <cellStyle name="60% - Akzent1 121_est. MEAT" xfId="21772" xr:uid="{00000000-0005-0000-0000-0000481F0000}"/>
    <cellStyle name="60% - Akzent1 122" xfId="5353" xr:uid="{00000000-0005-0000-0000-0000491F0000}"/>
    <cellStyle name="60% - Akzent1 122 2" xfId="14771" xr:uid="{00000000-0005-0000-0000-00004A1F0000}"/>
    <cellStyle name="60% - Akzent1 122_est. MEAT" xfId="21773" xr:uid="{00000000-0005-0000-0000-00004B1F0000}"/>
    <cellStyle name="60% - Akzent1 123" xfId="5354" xr:uid="{00000000-0005-0000-0000-00004C1F0000}"/>
    <cellStyle name="60% - Akzent1 123 2" xfId="14772" xr:uid="{00000000-0005-0000-0000-00004D1F0000}"/>
    <cellStyle name="60% - Akzent1 123_est. MEAT" xfId="21774" xr:uid="{00000000-0005-0000-0000-00004E1F0000}"/>
    <cellStyle name="60% - Akzent1 124" xfId="5355" xr:uid="{00000000-0005-0000-0000-00004F1F0000}"/>
    <cellStyle name="60% - Akzent1 124 2" xfId="14773" xr:uid="{00000000-0005-0000-0000-0000501F0000}"/>
    <cellStyle name="60% - Akzent1 124_est. MEAT" xfId="21775" xr:uid="{00000000-0005-0000-0000-0000511F0000}"/>
    <cellStyle name="60% - Akzent1 125" xfId="5356" xr:uid="{00000000-0005-0000-0000-0000521F0000}"/>
    <cellStyle name="60% - Akzent1 125 2" xfId="14774" xr:uid="{00000000-0005-0000-0000-0000531F0000}"/>
    <cellStyle name="60% - Akzent1 125_est. MEAT" xfId="21776" xr:uid="{00000000-0005-0000-0000-0000541F0000}"/>
    <cellStyle name="60% - Akzent1 126" xfId="5357" xr:uid="{00000000-0005-0000-0000-0000551F0000}"/>
    <cellStyle name="60% - Akzent1 126 2" xfId="14775" xr:uid="{00000000-0005-0000-0000-0000561F0000}"/>
    <cellStyle name="60% - Akzent1 126_est. MEAT" xfId="21777" xr:uid="{00000000-0005-0000-0000-0000571F0000}"/>
    <cellStyle name="60% - Akzent1 127" xfId="5358" xr:uid="{00000000-0005-0000-0000-0000581F0000}"/>
    <cellStyle name="60% - Akzent1 127 2" xfId="14776" xr:uid="{00000000-0005-0000-0000-0000591F0000}"/>
    <cellStyle name="60% - Akzent1 127_est. MEAT" xfId="21778" xr:uid="{00000000-0005-0000-0000-00005A1F0000}"/>
    <cellStyle name="60% - Akzent1 128" xfId="5359" xr:uid="{00000000-0005-0000-0000-00005B1F0000}"/>
    <cellStyle name="60% - Akzent1 128 2" xfId="14777" xr:uid="{00000000-0005-0000-0000-00005C1F0000}"/>
    <cellStyle name="60% - Akzent1 128_est. MEAT" xfId="21779" xr:uid="{00000000-0005-0000-0000-00005D1F0000}"/>
    <cellStyle name="60% - Akzent1 129" xfId="5360" xr:uid="{00000000-0005-0000-0000-00005E1F0000}"/>
    <cellStyle name="60% - Akzent1 129 2" xfId="14778" xr:uid="{00000000-0005-0000-0000-00005F1F0000}"/>
    <cellStyle name="60% - Akzent1 129_est. MEAT" xfId="21780" xr:uid="{00000000-0005-0000-0000-0000601F0000}"/>
    <cellStyle name="60% - Akzent1 13" xfId="5361" xr:uid="{00000000-0005-0000-0000-0000611F0000}"/>
    <cellStyle name="60% - Akzent1 13 2" xfId="5362" xr:uid="{00000000-0005-0000-0000-0000621F0000}"/>
    <cellStyle name="60% - Akzent1 13 2 2" xfId="14780" xr:uid="{00000000-0005-0000-0000-0000631F0000}"/>
    <cellStyle name="60% - Akzent1 13 2_est. MEAT" xfId="21781" xr:uid="{00000000-0005-0000-0000-0000641F0000}"/>
    <cellStyle name="60% - Akzent1 13 3" xfId="14779" xr:uid="{00000000-0005-0000-0000-0000651F0000}"/>
    <cellStyle name="60% - Akzent1 13_2012-2019" xfId="12245" xr:uid="{00000000-0005-0000-0000-0000661F0000}"/>
    <cellStyle name="60% - Akzent1 130" xfId="5363" xr:uid="{00000000-0005-0000-0000-0000671F0000}"/>
    <cellStyle name="60% - Akzent1 130 2" xfId="14781" xr:uid="{00000000-0005-0000-0000-0000681F0000}"/>
    <cellStyle name="60% - Akzent1 130_est. MEAT" xfId="21782" xr:uid="{00000000-0005-0000-0000-0000691F0000}"/>
    <cellStyle name="60% - Akzent1 131" xfId="5364" xr:uid="{00000000-0005-0000-0000-00006A1F0000}"/>
    <cellStyle name="60% - Akzent1 131 2" xfId="14782" xr:uid="{00000000-0005-0000-0000-00006B1F0000}"/>
    <cellStyle name="60% - Akzent1 131_est. MEAT" xfId="21783" xr:uid="{00000000-0005-0000-0000-00006C1F0000}"/>
    <cellStyle name="60% - Akzent1 132" xfId="5365" xr:uid="{00000000-0005-0000-0000-00006D1F0000}"/>
    <cellStyle name="60% - Akzent1 132 2" xfId="14783" xr:uid="{00000000-0005-0000-0000-00006E1F0000}"/>
    <cellStyle name="60% - Akzent1 132_est. MEAT" xfId="21784" xr:uid="{00000000-0005-0000-0000-00006F1F0000}"/>
    <cellStyle name="60% - Akzent1 133" xfId="5366" xr:uid="{00000000-0005-0000-0000-0000701F0000}"/>
    <cellStyle name="60% - Akzent1 133 2" xfId="14784" xr:uid="{00000000-0005-0000-0000-0000711F0000}"/>
    <cellStyle name="60% - Akzent1 133_est. MEAT" xfId="21785" xr:uid="{00000000-0005-0000-0000-0000721F0000}"/>
    <cellStyle name="60% - Akzent1 134" xfId="5367" xr:uid="{00000000-0005-0000-0000-0000731F0000}"/>
    <cellStyle name="60% - Akzent1 134 2" xfId="14785" xr:uid="{00000000-0005-0000-0000-0000741F0000}"/>
    <cellStyle name="60% - Akzent1 134_est. MEAT" xfId="21786" xr:uid="{00000000-0005-0000-0000-0000751F0000}"/>
    <cellStyle name="60% - Akzent1 135" xfId="5368" xr:uid="{00000000-0005-0000-0000-0000761F0000}"/>
    <cellStyle name="60% - Akzent1 135 2" xfId="14786" xr:uid="{00000000-0005-0000-0000-0000771F0000}"/>
    <cellStyle name="60% - Akzent1 135_est. MEAT" xfId="21787" xr:uid="{00000000-0005-0000-0000-0000781F0000}"/>
    <cellStyle name="60% - Akzent1 136" xfId="5369" xr:uid="{00000000-0005-0000-0000-0000791F0000}"/>
    <cellStyle name="60% - Akzent1 136 2" xfId="14787" xr:uid="{00000000-0005-0000-0000-00007A1F0000}"/>
    <cellStyle name="60% - Akzent1 136_est. MEAT" xfId="21788" xr:uid="{00000000-0005-0000-0000-00007B1F0000}"/>
    <cellStyle name="60% - Akzent1 137" xfId="5370" xr:uid="{00000000-0005-0000-0000-00007C1F0000}"/>
    <cellStyle name="60% - Akzent1 137 2" xfId="14788" xr:uid="{00000000-0005-0000-0000-00007D1F0000}"/>
    <cellStyle name="60% - Akzent1 137_est. MEAT" xfId="21789" xr:uid="{00000000-0005-0000-0000-00007E1F0000}"/>
    <cellStyle name="60% - Akzent1 138" xfId="5371" xr:uid="{00000000-0005-0000-0000-00007F1F0000}"/>
    <cellStyle name="60% - Akzent1 138 2" xfId="14789" xr:uid="{00000000-0005-0000-0000-0000801F0000}"/>
    <cellStyle name="60% - Akzent1 138_est. MEAT" xfId="21790" xr:uid="{00000000-0005-0000-0000-0000811F0000}"/>
    <cellStyle name="60% - Akzent1 139" xfId="5372" xr:uid="{00000000-0005-0000-0000-0000821F0000}"/>
    <cellStyle name="60% - Akzent1 139 2" xfId="14790" xr:uid="{00000000-0005-0000-0000-0000831F0000}"/>
    <cellStyle name="60% - Akzent1 139_est. MEAT" xfId="21791" xr:uid="{00000000-0005-0000-0000-0000841F0000}"/>
    <cellStyle name="60% - Akzent1 14" xfId="5373" xr:uid="{00000000-0005-0000-0000-0000851F0000}"/>
    <cellStyle name="60% - Akzent1 14 2" xfId="5374" xr:uid="{00000000-0005-0000-0000-0000861F0000}"/>
    <cellStyle name="60% - Akzent1 14 2 2" xfId="14792" xr:uid="{00000000-0005-0000-0000-0000871F0000}"/>
    <cellStyle name="60% - Akzent1 14 2_est. MEAT" xfId="21792" xr:uid="{00000000-0005-0000-0000-0000881F0000}"/>
    <cellStyle name="60% - Akzent1 14 3" xfId="14791" xr:uid="{00000000-0005-0000-0000-0000891F0000}"/>
    <cellStyle name="60% - Akzent1 14_2012-2019" xfId="12246" xr:uid="{00000000-0005-0000-0000-00008A1F0000}"/>
    <cellStyle name="60% - Akzent1 140" xfId="5375" xr:uid="{00000000-0005-0000-0000-00008B1F0000}"/>
    <cellStyle name="60% - Akzent1 140 2" xfId="14793" xr:uid="{00000000-0005-0000-0000-00008C1F0000}"/>
    <cellStyle name="60% - Akzent1 140_est. MEAT" xfId="21793" xr:uid="{00000000-0005-0000-0000-00008D1F0000}"/>
    <cellStyle name="60% - Akzent1 141" xfId="5376" xr:uid="{00000000-0005-0000-0000-00008E1F0000}"/>
    <cellStyle name="60% - Akzent1 141 2" xfId="14794" xr:uid="{00000000-0005-0000-0000-00008F1F0000}"/>
    <cellStyle name="60% - Akzent1 141_est. MEAT" xfId="21794" xr:uid="{00000000-0005-0000-0000-0000901F0000}"/>
    <cellStyle name="60% - Akzent1 142" xfId="5377" xr:uid="{00000000-0005-0000-0000-0000911F0000}"/>
    <cellStyle name="60% - Akzent1 142 2" xfId="14795" xr:uid="{00000000-0005-0000-0000-0000921F0000}"/>
    <cellStyle name="60% - Akzent1 142_est. MEAT" xfId="21795" xr:uid="{00000000-0005-0000-0000-0000931F0000}"/>
    <cellStyle name="60% - Akzent1 143" xfId="5378" xr:uid="{00000000-0005-0000-0000-0000941F0000}"/>
    <cellStyle name="60% - Akzent1 143 2" xfId="14796" xr:uid="{00000000-0005-0000-0000-0000951F0000}"/>
    <cellStyle name="60% - Akzent1 143_est. MEAT" xfId="21796" xr:uid="{00000000-0005-0000-0000-0000961F0000}"/>
    <cellStyle name="60% - Akzent1 144" xfId="5379" xr:uid="{00000000-0005-0000-0000-0000971F0000}"/>
    <cellStyle name="60% - Akzent1 144 2" xfId="14797" xr:uid="{00000000-0005-0000-0000-0000981F0000}"/>
    <cellStyle name="60% - Akzent1 144_est. MEAT" xfId="21797" xr:uid="{00000000-0005-0000-0000-0000991F0000}"/>
    <cellStyle name="60% - Akzent1 145" xfId="5380" xr:uid="{00000000-0005-0000-0000-00009A1F0000}"/>
    <cellStyle name="60% - Akzent1 145 2" xfId="14798" xr:uid="{00000000-0005-0000-0000-00009B1F0000}"/>
    <cellStyle name="60% - Akzent1 145_est. MEAT" xfId="21798" xr:uid="{00000000-0005-0000-0000-00009C1F0000}"/>
    <cellStyle name="60% - Akzent1 146" xfId="5381" xr:uid="{00000000-0005-0000-0000-00009D1F0000}"/>
    <cellStyle name="60% - Akzent1 146 2" xfId="14799" xr:uid="{00000000-0005-0000-0000-00009E1F0000}"/>
    <cellStyle name="60% - Akzent1 146_est. MEAT" xfId="21799" xr:uid="{00000000-0005-0000-0000-00009F1F0000}"/>
    <cellStyle name="60% - Akzent1 147" xfId="5382" xr:uid="{00000000-0005-0000-0000-0000A01F0000}"/>
    <cellStyle name="60% - Akzent1 147 2" xfId="14800" xr:uid="{00000000-0005-0000-0000-0000A11F0000}"/>
    <cellStyle name="60% - Akzent1 147_est. MEAT" xfId="21800" xr:uid="{00000000-0005-0000-0000-0000A21F0000}"/>
    <cellStyle name="60% - Akzent1 148" xfId="5383" xr:uid="{00000000-0005-0000-0000-0000A31F0000}"/>
    <cellStyle name="60% - Akzent1 148 2" xfId="14801" xr:uid="{00000000-0005-0000-0000-0000A41F0000}"/>
    <cellStyle name="60% - Akzent1 148_est. MEAT" xfId="21801" xr:uid="{00000000-0005-0000-0000-0000A51F0000}"/>
    <cellStyle name="60% - Akzent1 149" xfId="5384" xr:uid="{00000000-0005-0000-0000-0000A61F0000}"/>
    <cellStyle name="60% - Akzent1 149 2" xfId="14802" xr:uid="{00000000-0005-0000-0000-0000A71F0000}"/>
    <cellStyle name="60% - Akzent1 149_est. MEAT" xfId="21802" xr:uid="{00000000-0005-0000-0000-0000A81F0000}"/>
    <cellStyle name="60% - Akzent1 15" xfId="5385" xr:uid="{00000000-0005-0000-0000-0000A91F0000}"/>
    <cellStyle name="60% - Akzent1 15 2" xfId="14803" xr:uid="{00000000-0005-0000-0000-0000AA1F0000}"/>
    <cellStyle name="60% - Akzent1 15_est. MEAT" xfId="21803" xr:uid="{00000000-0005-0000-0000-0000AB1F0000}"/>
    <cellStyle name="60% - Akzent1 150" xfId="5386" xr:uid="{00000000-0005-0000-0000-0000AC1F0000}"/>
    <cellStyle name="60% - Akzent1 150 2" xfId="14804" xr:uid="{00000000-0005-0000-0000-0000AD1F0000}"/>
    <cellStyle name="60% - Akzent1 150_est. MEAT" xfId="21804" xr:uid="{00000000-0005-0000-0000-0000AE1F0000}"/>
    <cellStyle name="60% - Akzent1 151" xfId="5387" xr:uid="{00000000-0005-0000-0000-0000AF1F0000}"/>
    <cellStyle name="60% - Akzent1 151 2" xfId="14805" xr:uid="{00000000-0005-0000-0000-0000B01F0000}"/>
    <cellStyle name="60% - Akzent1 151_est. MEAT" xfId="21805" xr:uid="{00000000-0005-0000-0000-0000B11F0000}"/>
    <cellStyle name="60% - Akzent1 16" xfId="5388" xr:uid="{00000000-0005-0000-0000-0000B21F0000}"/>
    <cellStyle name="60% - Akzent1 16 2" xfId="14806" xr:uid="{00000000-0005-0000-0000-0000B31F0000}"/>
    <cellStyle name="60% - Akzent1 16_est. MEAT" xfId="21806" xr:uid="{00000000-0005-0000-0000-0000B41F0000}"/>
    <cellStyle name="60% - Akzent1 17" xfId="5389" xr:uid="{00000000-0005-0000-0000-0000B51F0000}"/>
    <cellStyle name="60% - Akzent1 17 2" xfId="14807" xr:uid="{00000000-0005-0000-0000-0000B61F0000}"/>
    <cellStyle name="60% - Akzent1 17_est. MEAT" xfId="21807" xr:uid="{00000000-0005-0000-0000-0000B71F0000}"/>
    <cellStyle name="60% - Akzent1 18" xfId="5390" xr:uid="{00000000-0005-0000-0000-0000B81F0000}"/>
    <cellStyle name="60% - Akzent1 18 2" xfId="14808" xr:uid="{00000000-0005-0000-0000-0000B91F0000}"/>
    <cellStyle name="60% - Akzent1 18_est. MEAT" xfId="21808" xr:uid="{00000000-0005-0000-0000-0000BA1F0000}"/>
    <cellStyle name="60% - Akzent1 19" xfId="5391" xr:uid="{00000000-0005-0000-0000-0000BB1F0000}"/>
    <cellStyle name="60% - Akzent1 19 2" xfId="14809" xr:uid="{00000000-0005-0000-0000-0000BC1F0000}"/>
    <cellStyle name="60% - Akzent1 19_est. MEAT" xfId="21809" xr:uid="{00000000-0005-0000-0000-0000BD1F0000}"/>
    <cellStyle name="60% - Akzent1 2" xfId="5392" xr:uid="{00000000-0005-0000-0000-0000BE1F0000}"/>
    <cellStyle name="60% - Akzent1 2 2" xfId="5393" xr:uid="{00000000-0005-0000-0000-0000BF1F0000}"/>
    <cellStyle name="60% - Akzent1 2 2 2" xfId="14811" xr:uid="{00000000-0005-0000-0000-0000C01F0000}"/>
    <cellStyle name="60% - Akzent1 2 2_est. MEAT" xfId="21810" xr:uid="{00000000-0005-0000-0000-0000C11F0000}"/>
    <cellStyle name="60% - Akzent1 2 3" xfId="14810" xr:uid="{00000000-0005-0000-0000-0000C21F0000}"/>
    <cellStyle name="60% - Akzent1 2_2012-2019" xfId="12247" xr:uid="{00000000-0005-0000-0000-0000C31F0000}"/>
    <cellStyle name="60% - Akzent1 20" xfId="5394" xr:uid="{00000000-0005-0000-0000-0000C41F0000}"/>
    <cellStyle name="60% - Akzent1 20 2" xfId="14812" xr:uid="{00000000-0005-0000-0000-0000C51F0000}"/>
    <cellStyle name="60% - Akzent1 20_est. MEAT" xfId="21811" xr:uid="{00000000-0005-0000-0000-0000C61F0000}"/>
    <cellStyle name="60% - Akzent1 21" xfId="5395" xr:uid="{00000000-0005-0000-0000-0000C71F0000}"/>
    <cellStyle name="60% - Akzent1 21 2" xfId="14813" xr:uid="{00000000-0005-0000-0000-0000C81F0000}"/>
    <cellStyle name="60% - Akzent1 21_est. MEAT" xfId="21812" xr:uid="{00000000-0005-0000-0000-0000C91F0000}"/>
    <cellStyle name="60% - Akzent1 22" xfId="5396" xr:uid="{00000000-0005-0000-0000-0000CA1F0000}"/>
    <cellStyle name="60% - Akzent1 22 2" xfId="14814" xr:uid="{00000000-0005-0000-0000-0000CB1F0000}"/>
    <cellStyle name="60% - Akzent1 22_est. MEAT" xfId="21813" xr:uid="{00000000-0005-0000-0000-0000CC1F0000}"/>
    <cellStyle name="60% - Akzent1 23" xfId="5397" xr:uid="{00000000-0005-0000-0000-0000CD1F0000}"/>
    <cellStyle name="60% - Akzent1 23 2" xfId="14815" xr:uid="{00000000-0005-0000-0000-0000CE1F0000}"/>
    <cellStyle name="60% - Akzent1 23_est. MEAT" xfId="21814" xr:uid="{00000000-0005-0000-0000-0000CF1F0000}"/>
    <cellStyle name="60% - Akzent1 24" xfId="5398" xr:uid="{00000000-0005-0000-0000-0000D01F0000}"/>
    <cellStyle name="60% - Akzent1 24 2" xfId="14816" xr:uid="{00000000-0005-0000-0000-0000D11F0000}"/>
    <cellStyle name="60% - Akzent1 24_est. MEAT" xfId="21815" xr:uid="{00000000-0005-0000-0000-0000D21F0000}"/>
    <cellStyle name="60% - Akzent1 25" xfId="5399" xr:uid="{00000000-0005-0000-0000-0000D31F0000}"/>
    <cellStyle name="60% - Akzent1 25 2" xfId="14817" xr:uid="{00000000-0005-0000-0000-0000D41F0000}"/>
    <cellStyle name="60% - Akzent1 25_est. MEAT" xfId="21816" xr:uid="{00000000-0005-0000-0000-0000D51F0000}"/>
    <cellStyle name="60% - Akzent1 26" xfId="5400" xr:uid="{00000000-0005-0000-0000-0000D61F0000}"/>
    <cellStyle name="60% - Akzent1 26 2" xfId="14818" xr:uid="{00000000-0005-0000-0000-0000D71F0000}"/>
    <cellStyle name="60% - Akzent1 26_est. MEAT" xfId="21817" xr:uid="{00000000-0005-0000-0000-0000D81F0000}"/>
    <cellStyle name="60% - Akzent1 27" xfId="5401" xr:uid="{00000000-0005-0000-0000-0000D91F0000}"/>
    <cellStyle name="60% - Akzent1 27 2" xfId="14819" xr:uid="{00000000-0005-0000-0000-0000DA1F0000}"/>
    <cellStyle name="60% - Akzent1 27_est. MEAT" xfId="21818" xr:uid="{00000000-0005-0000-0000-0000DB1F0000}"/>
    <cellStyle name="60% - Akzent1 28" xfId="5402" xr:uid="{00000000-0005-0000-0000-0000DC1F0000}"/>
    <cellStyle name="60% - Akzent1 28 2" xfId="14820" xr:uid="{00000000-0005-0000-0000-0000DD1F0000}"/>
    <cellStyle name="60% - Akzent1 28_est. MEAT" xfId="21819" xr:uid="{00000000-0005-0000-0000-0000DE1F0000}"/>
    <cellStyle name="60% - Akzent1 29" xfId="5403" xr:uid="{00000000-0005-0000-0000-0000DF1F0000}"/>
    <cellStyle name="60% - Akzent1 29 2" xfId="14821" xr:uid="{00000000-0005-0000-0000-0000E01F0000}"/>
    <cellStyle name="60% - Akzent1 29_est. MEAT" xfId="21820" xr:uid="{00000000-0005-0000-0000-0000E11F0000}"/>
    <cellStyle name="60% - Akzent1 3" xfId="5404" xr:uid="{00000000-0005-0000-0000-0000E21F0000}"/>
    <cellStyle name="60% - Akzent1 3 2" xfId="5405" xr:uid="{00000000-0005-0000-0000-0000E31F0000}"/>
    <cellStyle name="60% - Akzent1 3 2 2" xfId="14823" xr:uid="{00000000-0005-0000-0000-0000E41F0000}"/>
    <cellStyle name="60% - Akzent1 3 2_est. MEAT" xfId="21821" xr:uid="{00000000-0005-0000-0000-0000E51F0000}"/>
    <cellStyle name="60% - Akzent1 3 3" xfId="14822" xr:uid="{00000000-0005-0000-0000-0000E61F0000}"/>
    <cellStyle name="60% - Akzent1 3_2012-2019" xfId="12248" xr:uid="{00000000-0005-0000-0000-0000E71F0000}"/>
    <cellStyle name="60% - Akzent1 30" xfId="5406" xr:uid="{00000000-0005-0000-0000-0000E81F0000}"/>
    <cellStyle name="60% - Akzent1 30 2" xfId="14824" xr:uid="{00000000-0005-0000-0000-0000E91F0000}"/>
    <cellStyle name="60% - Akzent1 30_est. MEAT" xfId="21822" xr:uid="{00000000-0005-0000-0000-0000EA1F0000}"/>
    <cellStyle name="60% - Akzent1 31" xfId="5407" xr:uid="{00000000-0005-0000-0000-0000EB1F0000}"/>
    <cellStyle name="60% - Akzent1 31 2" xfId="14825" xr:uid="{00000000-0005-0000-0000-0000EC1F0000}"/>
    <cellStyle name="60% - Akzent1 31_est. MEAT" xfId="21823" xr:uid="{00000000-0005-0000-0000-0000ED1F0000}"/>
    <cellStyle name="60% - Akzent1 32" xfId="5408" xr:uid="{00000000-0005-0000-0000-0000EE1F0000}"/>
    <cellStyle name="60% - Akzent1 32 2" xfId="14826" xr:uid="{00000000-0005-0000-0000-0000EF1F0000}"/>
    <cellStyle name="60% - Akzent1 32_est. MEAT" xfId="21824" xr:uid="{00000000-0005-0000-0000-0000F01F0000}"/>
    <cellStyle name="60% - Akzent1 33" xfId="5409" xr:uid="{00000000-0005-0000-0000-0000F11F0000}"/>
    <cellStyle name="60% - Akzent1 33 2" xfId="14827" xr:uid="{00000000-0005-0000-0000-0000F21F0000}"/>
    <cellStyle name="60% - Akzent1 33_est. MEAT" xfId="21825" xr:uid="{00000000-0005-0000-0000-0000F31F0000}"/>
    <cellStyle name="60% - Akzent1 34" xfId="5410" xr:uid="{00000000-0005-0000-0000-0000F41F0000}"/>
    <cellStyle name="60% - Akzent1 34 2" xfId="14828" xr:uid="{00000000-0005-0000-0000-0000F51F0000}"/>
    <cellStyle name="60% - Akzent1 34_est. MEAT" xfId="21826" xr:uid="{00000000-0005-0000-0000-0000F61F0000}"/>
    <cellStyle name="60% - Akzent1 35" xfId="5411" xr:uid="{00000000-0005-0000-0000-0000F71F0000}"/>
    <cellStyle name="60% - Akzent1 35 2" xfId="14829" xr:uid="{00000000-0005-0000-0000-0000F81F0000}"/>
    <cellStyle name="60% - Akzent1 35_est. MEAT" xfId="21827" xr:uid="{00000000-0005-0000-0000-0000F91F0000}"/>
    <cellStyle name="60% - Akzent1 36" xfId="5412" xr:uid="{00000000-0005-0000-0000-0000FA1F0000}"/>
    <cellStyle name="60% - Akzent1 36 2" xfId="14830" xr:uid="{00000000-0005-0000-0000-0000FB1F0000}"/>
    <cellStyle name="60% - Akzent1 36_est. MEAT" xfId="21828" xr:uid="{00000000-0005-0000-0000-0000FC1F0000}"/>
    <cellStyle name="60% - Akzent1 37" xfId="5413" xr:uid="{00000000-0005-0000-0000-0000FD1F0000}"/>
    <cellStyle name="60% - Akzent1 37 2" xfId="14831" xr:uid="{00000000-0005-0000-0000-0000FE1F0000}"/>
    <cellStyle name="60% - Akzent1 37_est. MEAT" xfId="21829" xr:uid="{00000000-0005-0000-0000-0000FF1F0000}"/>
    <cellStyle name="60% - Akzent1 38" xfId="5414" xr:uid="{00000000-0005-0000-0000-000000200000}"/>
    <cellStyle name="60% - Akzent1 38 2" xfId="14832" xr:uid="{00000000-0005-0000-0000-000001200000}"/>
    <cellStyle name="60% - Akzent1 38_est. MEAT" xfId="21830" xr:uid="{00000000-0005-0000-0000-000002200000}"/>
    <cellStyle name="60% - Akzent1 39" xfId="5415" xr:uid="{00000000-0005-0000-0000-000003200000}"/>
    <cellStyle name="60% - Akzent1 39 2" xfId="14833" xr:uid="{00000000-0005-0000-0000-000004200000}"/>
    <cellStyle name="60% - Akzent1 39_est. MEAT" xfId="21831" xr:uid="{00000000-0005-0000-0000-000005200000}"/>
    <cellStyle name="60% - Akzent1 4" xfId="5416" xr:uid="{00000000-0005-0000-0000-000006200000}"/>
    <cellStyle name="60% - Akzent1 4 2" xfId="5417" xr:uid="{00000000-0005-0000-0000-000007200000}"/>
    <cellStyle name="60% - Akzent1 4 2 2" xfId="14835" xr:uid="{00000000-0005-0000-0000-000008200000}"/>
    <cellStyle name="60% - Akzent1 4 2_est. MEAT" xfId="21832" xr:uid="{00000000-0005-0000-0000-000009200000}"/>
    <cellStyle name="60% - Akzent1 4 3" xfId="14834" xr:uid="{00000000-0005-0000-0000-00000A200000}"/>
    <cellStyle name="60% - Akzent1 4_2012-2019" xfId="12249" xr:uid="{00000000-0005-0000-0000-00000B200000}"/>
    <cellStyle name="60% - Akzent1 40" xfId="5418" xr:uid="{00000000-0005-0000-0000-00000C200000}"/>
    <cellStyle name="60% - Akzent1 40 2" xfId="14836" xr:uid="{00000000-0005-0000-0000-00000D200000}"/>
    <cellStyle name="60% - Akzent1 40_est. MEAT" xfId="21833" xr:uid="{00000000-0005-0000-0000-00000E200000}"/>
    <cellStyle name="60% - Akzent1 41" xfId="5419" xr:uid="{00000000-0005-0000-0000-00000F200000}"/>
    <cellStyle name="60% - Akzent1 41 2" xfId="14837" xr:uid="{00000000-0005-0000-0000-000010200000}"/>
    <cellStyle name="60% - Akzent1 41_est. MEAT" xfId="21834" xr:uid="{00000000-0005-0000-0000-000011200000}"/>
    <cellStyle name="60% - Akzent1 42" xfId="5420" xr:uid="{00000000-0005-0000-0000-000012200000}"/>
    <cellStyle name="60% - Akzent1 42 2" xfId="14838" xr:uid="{00000000-0005-0000-0000-000013200000}"/>
    <cellStyle name="60% - Akzent1 42_est. MEAT" xfId="21835" xr:uid="{00000000-0005-0000-0000-000014200000}"/>
    <cellStyle name="60% - Akzent1 43" xfId="5421" xr:uid="{00000000-0005-0000-0000-000015200000}"/>
    <cellStyle name="60% - Akzent1 43 2" xfId="14839" xr:uid="{00000000-0005-0000-0000-000016200000}"/>
    <cellStyle name="60% - Akzent1 43_est. MEAT" xfId="21836" xr:uid="{00000000-0005-0000-0000-000017200000}"/>
    <cellStyle name="60% - Akzent1 44" xfId="5422" xr:uid="{00000000-0005-0000-0000-000018200000}"/>
    <cellStyle name="60% - Akzent1 44 2" xfId="14840" xr:uid="{00000000-0005-0000-0000-000019200000}"/>
    <cellStyle name="60% - Akzent1 44_est. MEAT" xfId="21837" xr:uid="{00000000-0005-0000-0000-00001A200000}"/>
    <cellStyle name="60% - Akzent1 45" xfId="5423" xr:uid="{00000000-0005-0000-0000-00001B200000}"/>
    <cellStyle name="60% - Akzent1 45 2" xfId="14841" xr:uid="{00000000-0005-0000-0000-00001C200000}"/>
    <cellStyle name="60% - Akzent1 45_est. MEAT" xfId="21838" xr:uid="{00000000-0005-0000-0000-00001D200000}"/>
    <cellStyle name="60% - Akzent1 46" xfId="5424" xr:uid="{00000000-0005-0000-0000-00001E200000}"/>
    <cellStyle name="60% - Akzent1 46 2" xfId="14842" xr:uid="{00000000-0005-0000-0000-00001F200000}"/>
    <cellStyle name="60% - Akzent1 46_est. MEAT" xfId="21839" xr:uid="{00000000-0005-0000-0000-000020200000}"/>
    <cellStyle name="60% - Akzent1 47" xfId="5425" xr:uid="{00000000-0005-0000-0000-000021200000}"/>
    <cellStyle name="60% - Akzent1 47 2" xfId="14843" xr:uid="{00000000-0005-0000-0000-000022200000}"/>
    <cellStyle name="60% - Akzent1 47_est. MEAT" xfId="21840" xr:uid="{00000000-0005-0000-0000-000023200000}"/>
    <cellStyle name="60% - Akzent1 48" xfId="5426" xr:uid="{00000000-0005-0000-0000-000024200000}"/>
    <cellStyle name="60% - Akzent1 48 2" xfId="14844" xr:uid="{00000000-0005-0000-0000-000025200000}"/>
    <cellStyle name="60% - Akzent1 48_est. MEAT" xfId="21841" xr:uid="{00000000-0005-0000-0000-000026200000}"/>
    <cellStyle name="60% - Akzent1 49" xfId="5427" xr:uid="{00000000-0005-0000-0000-000027200000}"/>
    <cellStyle name="60% - Akzent1 49 2" xfId="14845" xr:uid="{00000000-0005-0000-0000-000028200000}"/>
    <cellStyle name="60% - Akzent1 49_est. MEAT" xfId="21842" xr:uid="{00000000-0005-0000-0000-000029200000}"/>
    <cellStyle name="60% - Akzent1 5" xfId="5428" xr:uid="{00000000-0005-0000-0000-00002A200000}"/>
    <cellStyle name="60% - Akzent1 5 2" xfId="5429" xr:uid="{00000000-0005-0000-0000-00002B200000}"/>
    <cellStyle name="60% - Akzent1 5 2 2" xfId="14847" xr:uid="{00000000-0005-0000-0000-00002C200000}"/>
    <cellStyle name="60% - Akzent1 5 2_est. MEAT" xfId="21843" xr:uid="{00000000-0005-0000-0000-00002D200000}"/>
    <cellStyle name="60% - Akzent1 5 3" xfId="14846" xr:uid="{00000000-0005-0000-0000-00002E200000}"/>
    <cellStyle name="60% - Akzent1 5_2012-2019" xfId="12250" xr:uid="{00000000-0005-0000-0000-00002F200000}"/>
    <cellStyle name="60% - Akzent1 50" xfId="5430" xr:uid="{00000000-0005-0000-0000-000030200000}"/>
    <cellStyle name="60% - Akzent1 50 2" xfId="14848" xr:uid="{00000000-0005-0000-0000-000031200000}"/>
    <cellStyle name="60% - Akzent1 50_est. MEAT" xfId="21844" xr:uid="{00000000-0005-0000-0000-000032200000}"/>
    <cellStyle name="60% - Akzent1 51" xfId="5431" xr:uid="{00000000-0005-0000-0000-000033200000}"/>
    <cellStyle name="60% - Akzent1 51 2" xfId="14849" xr:uid="{00000000-0005-0000-0000-000034200000}"/>
    <cellStyle name="60% - Akzent1 51_est. MEAT" xfId="21845" xr:uid="{00000000-0005-0000-0000-000035200000}"/>
    <cellStyle name="60% - Akzent1 52" xfId="5432" xr:uid="{00000000-0005-0000-0000-000036200000}"/>
    <cellStyle name="60% - Akzent1 52 2" xfId="14850" xr:uid="{00000000-0005-0000-0000-000037200000}"/>
    <cellStyle name="60% - Akzent1 52_est. MEAT" xfId="21846" xr:uid="{00000000-0005-0000-0000-000038200000}"/>
    <cellStyle name="60% - Akzent1 53" xfId="5433" xr:uid="{00000000-0005-0000-0000-000039200000}"/>
    <cellStyle name="60% - Akzent1 53 2" xfId="14851" xr:uid="{00000000-0005-0000-0000-00003A200000}"/>
    <cellStyle name="60% - Akzent1 53_est. MEAT" xfId="21847" xr:uid="{00000000-0005-0000-0000-00003B200000}"/>
    <cellStyle name="60% - Akzent1 54" xfId="5434" xr:uid="{00000000-0005-0000-0000-00003C200000}"/>
    <cellStyle name="60% - Akzent1 54 2" xfId="14852" xr:uid="{00000000-0005-0000-0000-00003D200000}"/>
    <cellStyle name="60% - Akzent1 54_est. MEAT" xfId="21848" xr:uid="{00000000-0005-0000-0000-00003E200000}"/>
    <cellStyle name="60% - Akzent1 55" xfId="5435" xr:uid="{00000000-0005-0000-0000-00003F200000}"/>
    <cellStyle name="60% - Akzent1 55 2" xfId="14853" xr:uid="{00000000-0005-0000-0000-000040200000}"/>
    <cellStyle name="60% - Akzent1 55_est. MEAT" xfId="21849" xr:uid="{00000000-0005-0000-0000-000041200000}"/>
    <cellStyle name="60% - Akzent1 56" xfId="5436" xr:uid="{00000000-0005-0000-0000-000042200000}"/>
    <cellStyle name="60% - Akzent1 56 2" xfId="14854" xr:uid="{00000000-0005-0000-0000-000043200000}"/>
    <cellStyle name="60% - Akzent1 56_est. MEAT" xfId="21850" xr:uid="{00000000-0005-0000-0000-000044200000}"/>
    <cellStyle name="60% - Akzent1 57" xfId="5437" xr:uid="{00000000-0005-0000-0000-000045200000}"/>
    <cellStyle name="60% - Akzent1 57 2" xfId="14855" xr:uid="{00000000-0005-0000-0000-000046200000}"/>
    <cellStyle name="60% - Akzent1 57_est. MEAT" xfId="21851" xr:uid="{00000000-0005-0000-0000-000047200000}"/>
    <cellStyle name="60% - Akzent1 58" xfId="5438" xr:uid="{00000000-0005-0000-0000-000048200000}"/>
    <cellStyle name="60% - Akzent1 58 2" xfId="14856" xr:uid="{00000000-0005-0000-0000-000049200000}"/>
    <cellStyle name="60% - Akzent1 58_est. MEAT" xfId="21852" xr:uid="{00000000-0005-0000-0000-00004A200000}"/>
    <cellStyle name="60% - Akzent1 59" xfId="5439" xr:uid="{00000000-0005-0000-0000-00004B200000}"/>
    <cellStyle name="60% - Akzent1 59 2" xfId="14857" xr:uid="{00000000-0005-0000-0000-00004C200000}"/>
    <cellStyle name="60% - Akzent1 59_est. MEAT" xfId="21853" xr:uid="{00000000-0005-0000-0000-00004D200000}"/>
    <cellStyle name="60% - Akzent1 6" xfId="5440" xr:uid="{00000000-0005-0000-0000-00004E200000}"/>
    <cellStyle name="60% - Akzent1 6 2" xfId="5441" xr:uid="{00000000-0005-0000-0000-00004F200000}"/>
    <cellStyle name="60% - Akzent1 6 2 2" xfId="14859" xr:uid="{00000000-0005-0000-0000-000050200000}"/>
    <cellStyle name="60% - Akzent1 6 2_est. MEAT" xfId="21854" xr:uid="{00000000-0005-0000-0000-000051200000}"/>
    <cellStyle name="60% - Akzent1 6 3" xfId="14858" xr:uid="{00000000-0005-0000-0000-000052200000}"/>
    <cellStyle name="60% - Akzent1 6_2012-2019" xfId="12251" xr:uid="{00000000-0005-0000-0000-000053200000}"/>
    <cellStyle name="60% - Akzent1 60" xfId="5442" xr:uid="{00000000-0005-0000-0000-000054200000}"/>
    <cellStyle name="60% - Akzent1 60 2" xfId="14860" xr:uid="{00000000-0005-0000-0000-000055200000}"/>
    <cellStyle name="60% - Akzent1 60_est. MEAT" xfId="21855" xr:uid="{00000000-0005-0000-0000-000056200000}"/>
    <cellStyle name="60% - Akzent1 61" xfId="5443" xr:uid="{00000000-0005-0000-0000-000057200000}"/>
    <cellStyle name="60% - Akzent1 61 2" xfId="14861" xr:uid="{00000000-0005-0000-0000-000058200000}"/>
    <cellStyle name="60% - Akzent1 61_est. MEAT" xfId="21856" xr:uid="{00000000-0005-0000-0000-000059200000}"/>
    <cellStyle name="60% - Akzent1 62" xfId="5444" xr:uid="{00000000-0005-0000-0000-00005A200000}"/>
    <cellStyle name="60% - Akzent1 62 2" xfId="14862" xr:uid="{00000000-0005-0000-0000-00005B200000}"/>
    <cellStyle name="60% - Akzent1 62_est. MEAT" xfId="21857" xr:uid="{00000000-0005-0000-0000-00005C200000}"/>
    <cellStyle name="60% - Akzent1 63" xfId="5445" xr:uid="{00000000-0005-0000-0000-00005D200000}"/>
    <cellStyle name="60% - Akzent1 63 2" xfId="14863" xr:uid="{00000000-0005-0000-0000-00005E200000}"/>
    <cellStyle name="60% - Akzent1 63_est. MEAT" xfId="21858" xr:uid="{00000000-0005-0000-0000-00005F200000}"/>
    <cellStyle name="60% - Akzent1 64" xfId="5446" xr:uid="{00000000-0005-0000-0000-000060200000}"/>
    <cellStyle name="60% - Akzent1 64 2" xfId="14864" xr:uid="{00000000-0005-0000-0000-000061200000}"/>
    <cellStyle name="60% - Akzent1 64_est. MEAT" xfId="21859" xr:uid="{00000000-0005-0000-0000-000062200000}"/>
    <cellStyle name="60% - Akzent1 65" xfId="5447" xr:uid="{00000000-0005-0000-0000-000063200000}"/>
    <cellStyle name="60% - Akzent1 65 2" xfId="14865" xr:uid="{00000000-0005-0000-0000-000064200000}"/>
    <cellStyle name="60% - Akzent1 65_est. MEAT" xfId="21860" xr:uid="{00000000-0005-0000-0000-000065200000}"/>
    <cellStyle name="60% - Akzent1 66" xfId="5448" xr:uid="{00000000-0005-0000-0000-000066200000}"/>
    <cellStyle name="60% - Akzent1 66 2" xfId="14866" xr:uid="{00000000-0005-0000-0000-000067200000}"/>
    <cellStyle name="60% - Akzent1 66_est. MEAT" xfId="21861" xr:uid="{00000000-0005-0000-0000-000068200000}"/>
    <cellStyle name="60% - Akzent1 67" xfId="5449" xr:uid="{00000000-0005-0000-0000-000069200000}"/>
    <cellStyle name="60% - Akzent1 67 2" xfId="14867" xr:uid="{00000000-0005-0000-0000-00006A200000}"/>
    <cellStyle name="60% - Akzent1 67_est. MEAT" xfId="21862" xr:uid="{00000000-0005-0000-0000-00006B200000}"/>
    <cellStyle name="60% - Akzent1 68" xfId="5450" xr:uid="{00000000-0005-0000-0000-00006C200000}"/>
    <cellStyle name="60% - Akzent1 68 2" xfId="14868" xr:uid="{00000000-0005-0000-0000-00006D200000}"/>
    <cellStyle name="60% - Akzent1 68_est. MEAT" xfId="21863" xr:uid="{00000000-0005-0000-0000-00006E200000}"/>
    <cellStyle name="60% - Akzent1 69" xfId="5451" xr:uid="{00000000-0005-0000-0000-00006F200000}"/>
    <cellStyle name="60% - Akzent1 69 2" xfId="14869" xr:uid="{00000000-0005-0000-0000-000070200000}"/>
    <cellStyle name="60% - Akzent1 69_est. MEAT" xfId="21864" xr:uid="{00000000-0005-0000-0000-000071200000}"/>
    <cellStyle name="60% - Akzent1 7" xfId="5452" xr:uid="{00000000-0005-0000-0000-000072200000}"/>
    <cellStyle name="60% - Akzent1 7 2" xfId="5453" xr:uid="{00000000-0005-0000-0000-000073200000}"/>
    <cellStyle name="60% - Akzent1 7 2 2" xfId="14871" xr:uid="{00000000-0005-0000-0000-000074200000}"/>
    <cellStyle name="60% - Akzent1 7 2_est. MEAT" xfId="21865" xr:uid="{00000000-0005-0000-0000-000075200000}"/>
    <cellStyle name="60% - Akzent1 7 3" xfId="14870" xr:uid="{00000000-0005-0000-0000-000076200000}"/>
    <cellStyle name="60% - Akzent1 7_2012-2019" xfId="12252" xr:uid="{00000000-0005-0000-0000-000077200000}"/>
    <cellStyle name="60% - Akzent1 70" xfId="5454" xr:uid="{00000000-0005-0000-0000-000078200000}"/>
    <cellStyle name="60% - Akzent1 70 2" xfId="14872" xr:uid="{00000000-0005-0000-0000-000079200000}"/>
    <cellStyle name="60% - Akzent1 70_est. MEAT" xfId="21866" xr:uid="{00000000-0005-0000-0000-00007A200000}"/>
    <cellStyle name="60% - Akzent1 71" xfId="5455" xr:uid="{00000000-0005-0000-0000-00007B200000}"/>
    <cellStyle name="60% - Akzent1 71 2" xfId="14873" xr:uid="{00000000-0005-0000-0000-00007C200000}"/>
    <cellStyle name="60% - Akzent1 71_est. MEAT" xfId="21867" xr:uid="{00000000-0005-0000-0000-00007D200000}"/>
    <cellStyle name="60% - Akzent1 72" xfId="5456" xr:uid="{00000000-0005-0000-0000-00007E200000}"/>
    <cellStyle name="60% - Akzent1 72 2" xfId="14874" xr:uid="{00000000-0005-0000-0000-00007F200000}"/>
    <cellStyle name="60% - Akzent1 72_est. MEAT" xfId="21868" xr:uid="{00000000-0005-0000-0000-000080200000}"/>
    <cellStyle name="60% - Akzent1 73" xfId="5457" xr:uid="{00000000-0005-0000-0000-000081200000}"/>
    <cellStyle name="60% - Akzent1 73 2" xfId="14875" xr:uid="{00000000-0005-0000-0000-000082200000}"/>
    <cellStyle name="60% - Akzent1 73_est. MEAT" xfId="21869" xr:uid="{00000000-0005-0000-0000-000083200000}"/>
    <cellStyle name="60% - Akzent1 74" xfId="5458" xr:uid="{00000000-0005-0000-0000-000084200000}"/>
    <cellStyle name="60% - Akzent1 74 2" xfId="14876" xr:uid="{00000000-0005-0000-0000-000085200000}"/>
    <cellStyle name="60% - Akzent1 74_est. MEAT" xfId="21870" xr:uid="{00000000-0005-0000-0000-000086200000}"/>
    <cellStyle name="60% - Akzent1 75" xfId="5459" xr:uid="{00000000-0005-0000-0000-000087200000}"/>
    <cellStyle name="60% - Akzent1 75 2" xfId="14877" xr:uid="{00000000-0005-0000-0000-000088200000}"/>
    <cellStyle name="60% - Akzent1 75_est. MEAT" xfId="21871" xr:uid="{00000000-0005-0000-0000-000089200000}"/>
    <cellStyle name="60% - Akzent1 76" xfId="5460" xr:uid="{00000000-0005-0000-0000-00008A200000}"/>
    <cellStyle name="60% - Akzent1 76 2" xfId="14878" xr:uid="{00000000-0005-0000-0000-00008B200000}"/>
    <cellStyle name="60% - Akzent1 76_est. MEAT" xfId="21872" xr:uid="{00000000-0005-0000-0000-00008C200000}"/>
    <cellStyle name="60% - Akzent1 77" xfId="5461" xr:uid="{00000000-0005-0000-0000-00008D200000}"/>
    <cellStyle name="60% - Akzent1 77 2" xfId="14879" xr:uid="{00000000-0005-0000-0000-00008E200000}"/>
    <cellStyle name="60% - Akzent1 77_est. MEAT" xfId="21873" xr:uid="{00000000-0005-0000-0000-00008F200000}"/>
    <cellStyle name="60% - Akzent1 78" xfId="5462" xr:uid="{00000000-0005-0000-0000-000090200000}"/>
    <cellStyle name="60% - Akzent1 78 2" xfId="14880" xr:uid="{00000000-0005-0000-0000-000091200000}"/>
    <cellStyle name="60% - Akzent1 78_est. MEAT" xfId="21874" xr:uid="{00000000-0005-0000-0000-000092200000}"/>
    <cellStyle name="60% - Akzent1 79" xfId="5463" xr:uid="{00000000-0005-0000-0000-000093200000}"/>
    <cellStyle name="60% - Akzent1 79 2" xfId="14881" xr:uid="{00000000-0005-0000-0000-000094200000}"/>
    <cellStyle name="60% - Akzent1 79_est. MEAT" xfId="21875" xr:uid="{00000000-0005-0000-0000-000095200000}"/>
    <cellStyle name="60% - Akzent1 8" xfId="5464" xr:uid="{00000000-0005-0000-0000-000096200000}"/>
    <cellStyle name="60% - Akzent1 8 2" xfId="5465" xr:uid="{00000000-0005-0000-0000-000097200000}"/>
    <cellStyle name="60% - Akzent1 8 2 2" xfId="14883" xr:uid="{00000000-0005-0000-0000-000098200000}"/>
    <cellStyle name="60% - Akzent1 8 2_est. MEAT" xfId="21876" xr:uid="{00000000-0005-0000-0000-000099200000}"/>
    <cellStyle name="60% - Akzent1 8 3" xfId="14882" xr:uid="{00000000-0005-0000-0000-00009A200000}"/>
    <cellStyle name="60% - Akzent1 8_2012-2019" xfId="12253" xr:uid="{00000000-0005-0000-0000-00009B200000}"/>
    <cellStyle name="60% - Akzent1 80" xfId="5466" xr:uid="{00000000-0005-0000-0000-00009C200000}"/>
    <cellStyle name="60% - Akzent1 80 2" xfId="14884" xr:uid="{00000000-0005-0000-0000-00009D200000}"/>
    <cellStyle name="60% - Akzent1 80_est. MEAT" xfId="21877" xr:uid="{00000000-0005-0000-0000-00009E200000}"/>
    <cellStyle name="60% - Akzent1 81" xfId="5467" xr:uid="{00000000-0005-0000-0000-00009F200000}"/>
    <cellStyle name="60% - Akzent1 81 2" xfId="14885" xr:uid="{00000000-0005-0000-0000-0000A0200000}"/>
    <cellStyle name="60% - Akzent1 81_est. MEAT" xfId="21878" xr:uid="{00000000-0005-0000-0000-0000A1200000}"/>
    <cellStyle name="60% - Akzent1 82" xfId="5468" xr:uid="{00000000-0005-0000-0000-0000A2200000}"/>
    <cellStyle name="60% - Akzent1 82 2" xfId="14886" xr:uid="{00000000-0005-0000-0000-0000A3200000}"/>
    <cellStyle name="60% - Akzent1 82_est. MEAT" xfId="21879" xr:uid="{00000000-0005-0000-0000-0000A4200000}"/>
    <cellStyle name="60% - Akzent1 83" xfId="5469" xr:uid="{00000000-0005-0000-0000-0000A5200000}"/>
    <cellStyle name="60% - Akzent1 83 2" xfId="14887" xr:uid="{00000000-0005-0000-0000-0000A6200000}"/>
    <cellStyle name="60% - Akzent1 83_est. MEAT" xfId="21880" xr:uid="{00000000-0005-0000-0000-0000A7200000}"/>
    <cellStyle name="60% - Akzent1 84" xfId="5470" xr:uid="{00000000-0005-0000-0000-0000A8200000}"/>
    <cellStyle name="60% - Akzent1 84 2" xfId="14888" xr:uid="{00000000-0005-0000-0000-0000A9200000}"/>
    <cellStyle name="60% - Akzent1 84_est. MEAT" xfId="21881" xr:uid="{00000000-0005-0000-0000-0000AA200000}"/>
    <cellStyle name="60% - Akzent1 85" xfId="5471" xr:uid="{00000000-0005-0000-0000-0000AB200000}"/>
    <cellStyle name="60% - Akzent1 85 2" xfId="14889" xr:uid="{00000000-0005-0000-0000-0000AC200000}"/>
    <cellStyle name="60% - Akzent1 85_est. MEAT" xfId="21882" xr:uid="{00000000-0005-0000-0000-0000AD200000}"/>
    <cellStyle name="60% - Akzent1 86" xfId="5472" xr:uid="{00000000-0005-0000-0000-0000AE200000}"/>
    <cellStyle name="60% - Akzent1 86 2" xfId="14890" xr:uid="{00000000-0005-0000-0000-0000AF200000}"/>
    <cellStyle name="60% - Akzent1 86_est. MEAT" xfId="21883" xr:uid="{00000000-0005-0000-0000-0000B0200000}"/>
    <cellStyle name="60% - Akzent1 87" xfId="5473" xr:uid="{00000000-0005-0000-0000-0000B1200000}"/>
    <cellStyle name="60% - Akzent1 87 2" xfId="14891" xr:uid="{00000000-0005-0000-0000-0000B2200000}"/>
    <cellStyle name="60% - Akzent1 87_est. MEAT" xfId="21884" xr:uid="{00000000-0005-0000-0000-0000B3200000}"/>
    <cellStyle name="60% - Akzent1 88" xfId="5474" xr:uid="{00000000-0005-0000-0000-0000B4200000}"/>
    <cellStyle name="60% - Akzent1 88 2" xfId="14892" xr:uid="{00000000-0005-0000-0000-0000B5200000}"/>
    <cellStyle name="60% - Akzent1 88_est. MEAT" xfId="21885" xr:uid="{00000000-0005-0000-0000-0000B6200000}"/>
    <cellStyle name="60% - Akzent1 89" xfId="5475" xr:uid="{00000000-0005-0000-0000-0000B7200000}"/>
    <cellStyle name="60% - Akzent1 89 2" xfId="14893" xr:uid="{00000000-0005-0000-0000-0000B8200000}"/>
    <cellStyle name="60% - Akzent1 89_est. MEAT" xfId="21886" xr:uid="{00000000-0005-0000-0000-0000B9200000}"/>
    <cellStyle name="60% - Akzent1 9" xfId="5476" xr:uid="{00000000-0005-0000-0000-0000BA200000}"/>
    <cellStyle name="60% - Akzent1 9 2" xfId="5477" xr:uid="{00000000-0005-0000-0000-0000BB200000}"/>
    <cellStyle name="60% - Akzent1 9 2 2" xfId="14895" xr:uid="{00000000-0005-0000-0000-0000BC200000}"/>
    <cellStyle name="60% - Akzent1 9 2_est. MEAT" xfId="21887" xr:uid="{00000000-0005-0000-0000-0000BD200000}"/>
    <cellStyle name="60% - Akzent1 9 3" xfId="14894" xr:uid="{00000000-0005-0000-0000-0000BE200000}"/>
    <cellStyle name="60% - Akzent1 9_2012-2019" xfId="12254" xr:uid="{00000000-0005-0000-0000-0000BF200000}"/>
    <cellStyle name="60% - Akzent1 90" xfId="5478" xr:uid="{00000000-0005-0000-0000-0000C0200000}"/>
    <cellStyle name="60% - Akzent1 90 2" xfId="14896" xr:uid="{00000000-0005-0000-0000-0000C1200000}"/>
    <cellStyle name="60% - Akzent1 90_est. MEAT" xfId="21888" xr:uid="{00000000-0005-0000-0000-0000C2200000}"/>
    <cellStyle name="60% - Akzent1 91" xfId="5479" xr:uid="{00000000-0005-0000-0000-0000C3200000}"/>
    <cellStyle name="60% - Akzent1 91 2" xfId="14897" xr:uid="{00000000-0005-0000-0000-0000C4200000}"/>
    <cellStyle name="60% - Akzent1 91_est. MEAT" xfId="21889" xr:uid="{00000000-0005-0000-0000-0000C5200000}"/>
    <cellStyle name="60% - Akzent1 92" xfId="5480" xr:uid="{00000000-0005-0000-0000-0000C6200000}"/>
    <cellStyle name="60% - Akzent1 92 2" xfId="14898" xr:uid="{00000000-0005-0000-0000-0000C7200000}"/>
    <cellStyle name="60% - Akzent1 92_est. MEAT" xfId="21890" xr:uid="{00000000-0005-0000-0000-0000C8200000}"/>
    <cellStyle name="60% - Akzent1 93" xfId="5481" xr:uid="{00000000-0005-0000-0000-0000C9200000}"/>
    <cellStyle name="60% - Akzent1 93 2" xfId="14899" xr:uid="{00000000-0005-0000-0000-0000CA200000}"/>
    <cellStyle name="60% - Akzent1 93_est. MEAT" xfId="21891" xr:uid="{00000000-0005-0000-0000-0000CB200000}"/>
    <cellStyle name="60% - Akzent1 94" xfId="5482" xr:uid="{00000000-0005-0000-0000-0000CC200000}"/>
    <cellStyle name="60% - Akzent1 94 2" xfId="14900" xr:uid="{00000000-0005-0000-0000-0000CD200000}"/>
    <cellStyle name="60% - Akzent1 94_est. MEAT" xfId="21892" xr:uid="{00000000-0005-0000-0000-0000CE200000}"/>
    <cellStyle name="60% - Akzent1 95" xfId="5483" xr:uid="{00000000-0005-0000-0000-0000CF200000}"/>
    <cellStyle name="60% - Akzent1 95 2" xfId="14901" xr:uid="{00000000-0005-0000-0000-0000D0200000}"/>
    <cellStyle name="60% - Akzent1 95_est. MEAT" xfId="21893" xr:uid="{00000000-0005-0000-0000-0000D1200000}"/>
    <cellStyle name="60% - Akzent1 96" xfId="5484" xr:uid="{00000000-0005-0000-0000-0000D2200000}"/>
    <cellStyle name="60% - Akzent1 96 2" xfId="14902" xr:uid="{00000000-0005-0000-0000-0000D3200000}"/>
    <cellStyle name="60% - Akzent1 96_est. MEAT" xfId="21894" xr:uid="{00000000-0005-0000-0000-0000D4200000}"/>
    <cellStyle name="60% - Akzent1 97" xfId="5485" xr:uid="{00000000-0005-0000-0000-0000D5200000}"/>
    <cellStyle name="60% - Akzent1 97 2" xfId="14903" xr:uid="{00000000-0005-0000-0000-0000D6200000}"/>
    <cellStyle name="60% - Akzent1 97_est. MEAT" xfId="21895" xr:uid="{00000000-0005-0000-0000-0000D7200000}"/>
    <cellStyle name="60% - Akzent1 98" xfId="5486" xr:uid="{00000000-0005-0000-0000-0000D8200000}"/>
    <cellStyle name="60% - Akzent1 98 2" xfId="14904" xr:uid="{00000000-0005-0000-0000-0000D9200000}"/>
    <cellStyle name="60% - Akzent1 98_est. MEAT" xfId="21896" xr:uid="{00000000-0005-0000-0000-0000DA200000}"/>
    <cellStyle name="60% - Akzent1 99" xfId="5487" xr:uid="{00000000-0005-0000-0000-0000DB200000}"/>
    <cellStyle name="60% - Akzent1 99 2" xfId="14905" xr:uid="{00000000-0005-0000-0000-0000DC200000}"/>
    <cellStyle name="60% - Akzent1 99_est. MEAT" xfId="21897" xr:uid="{00000000-0005-0000-0000-0000DD200000}"/>
    <cellStyle name="60% - Akzent2 10" xfId="5488" xr:uid="{00000000-0005-0000-0000-0000DE200000}"/>
    <cellStyle name="60% - Akzent2 10 2" xfId="5489" xr:uid="{00000000-0005-0000-0000-0000DF200000}"/>
    <cellStyle name="60% - Akzent2 10 2 2" xfId="14907" xr:uid="{00000000-0005-0000-0000-0000E0200000}"/>
    <cellStyle name="60% - Akzent2 10 2_est. MEAT" xfId="21898" xr:uid="{00000000-0005-0000-0000-0000E1200000}"/>
    <cellStyle name="60% - Akzent2 10 3" xfId="14906" xr:uid="{00000000-0005-0000-0000-0000E2200000}"/>
    <cellStyle name="60% - Akzent2 10_2012-2019" xfId="12255" xr:uid="{00000000-0005-0000-0000-0000E3200000}"/>
    <cellStyle name="60% - Akzent2 100" xfId="5490" xr:uid="{00000000-0005-0000-0000-0000E4200000}"/>
    <cellStyle name="60% - Akzent2 100 2" xfId="14908" xr:uid="{00000000-0005-0000-0000-0000E5200000}"/>
    <cellStyle name="60% - Akzent2 100_est. MEAT" xfId="21899" xr:uid="{00000000-0005-0000-0000-0000E6200000}"/>
    <cellStyle name="60% - Akzent2 101" xfId="5491" xr:uid="{00000000-0005-0000-0000-0000E7200000}"/>
    <cellStyle name="60% - Akzent2 101 2" xfId="14909" xr:uid="{00000000-0005-0000-0000-0000E8200000}"/>
    <cellStyle name="60% - Akzent2 101_est. MEAT" xfId="21900" xr:uid="{00000000-0005-0000-0000-0000E9200000}"/>
    <cellStyle name="60% - Akzent2 102" xfId="5492" xr:uid="{00000000-0005-0000-0000-0000EA200000}"/>
    <cellStyle name="60% - Akzent2 102 2" xfId="14910" xr:uid="{00000000-0005-0000-0000-0000EB200000}"/>
    <cellStyle name="60% - Akzent2 102_est. MEAT" xfId="21901" xr:uid="{00000000-0005-0000-0000-0000EC200000}"/>
    <cellStyle name="60% - Akzent2 103" xfId="5493" xr:uid="{00000000-0005-0000-0000-0000ED200000}"/>
    <cellStyle name="60% - Akzent2 103 2" xfId="14911" xr:uid="{00000000-0005-0000-0000-0000EE200000}"/>
    <cellStyle name="60% - Akzent2 103_est. MEAT" xfId="21902" xr:uid="{00000000-0005-0000-0000-0000EF200000}"/>
    <cellStyle name="60% - Akzent2 104" xfId="5494" xr:uid="{00000000-0005-0000-0000-0000F0200000}"/>
    <cellStyle name="60% - Akzent2 104 2" xfId="14912" xr:uid="{00000000-0005-0000-0000-0000F1200000}"/>
    <cellStyle name="60% - Akzent2 104_est. MEAT" xfId="21903" xr:uid="{00000000-0005-0000-0000-0000F2200000}"/>
    <cellStyle name="60% - Akzent2 105" xfId="5495" xr:uid="{00000000-0005-0000-0000-0000F3200000}"/>
    <cellStyle name="60% - Akzent2 105 2" xfId="14913" xr:uid="{00000000-0005-0000-0000-0000F4200000}"/>
    <cellStyle name="60% - Akzent2 105_est. MEAT" xfId="21904" xr:uid="{00000000-0005-0000-0000-0000F5200000}"/>
    <cellStyle name="60% - Akzent2 106" xfId="5496" xr:uid="{00000000-0005-0000-0000-0000F6200000}"/>
    <cellStyle name="60% - Akzent2 106 2" xfId="14914" xr:uid="{00000000-0005-0000-0000-0000F7200000}"/>
    <cellStyle name="60% - Akzent2 106_est. MEAT" xfId="21905" xr:uid="{00000000-0005-0000-0000-0000F8200000}"/>
    <cellStyle name="60% - Akzent2 107" xfId="5497" xr:uid="{00000000-0005-0000-0000-0000F9200000}"/>
    <cellStyle name="60% - Akzent2 107 2" xfId="14915" xr:uid="{00000000-0005-0000-0000-0000FA200000}"/>
    <cellStyle name="60% - Akzent2 107_est. MEAT" xfId="21906" xr:uid="{00000000-0005-0000-0000-0000FB200000}"/>
    <cellStyle name="60% - Akzent2 108" xfId="5498" xr:uid="{00000000-0005-0000-0000-0000FC200000}"/>
    <cellStyle name="60% - Akzent2 108 2" xfId="14916" xr:uid="{00000000-0005-0000-0000-0000FD200000}"/>
    <cellStyle name="60% - Akzent2 108_est. MEAT" xfId="21907" xr:uid="{00000000-0005-0000-0000-0000FE200000}"/>
    <cellStyle name="60% - Akzent2 109" xfId="5499" xr:uid="{00000000-0005-0000-0000-0000FF200000}"/>
    <cellStyle name="60% - Akzent2 109 2" xfId="14917" xr:uid="{00000000-0005-0000-0000-000000210000}"/>
    <cellStyle name="60% - Akzent2 109_est. MEAT" xfId="21908" xr:uid="{00000000-0005-0000-0000-000001210000}"/>
    <cellStyle name="60% - Akzent2 11" xfId="5500" xr:uid="{00000000-0005-0000-0000-000002210000}"/>
    <cellStyle name="60% - Akzent2 11 2" xfId="5501" xr:uid="{00000000-0005-0000-0000-000003210000}"/>
    <cellStyle name="60% - Akzent2 11 2 2" xfId="14919" xr:uid="{00000000-0005-0000-0000-000004210000}"/>
    <cellStyle name="60% - Akzent2 11 2_est. MEAT" xfId="21909" xr:uid="{00000000-0005-0000-0000-000005210000}"/>
    <cellStyle name="60% - Akzent2 11 3" xfId="14918" xr:uid="{00000000-0005-0000-0000-000006210000}"/>
    <cellStyle name="60% - Akzent2 11_2012-2019" xfId="12256" xr:uid="{00000000-0005-0000-0000-000007210000}"/>
    <cellStyle name="60% - Akzent2 110" xfId="5502" xr:uid="{00000000-0005-0000-0000-000008210000}"/>
    <cellStyle name="60% - Akzent2 110 2" xfId="14920" xr:uid="{00000000-0005-0000-0000-000009210000}"/>
    <cellStyle name="60% - Akzent2 110_est. MEAT" xfId="21910" xr:uid="{00000000-0005-0000-0000-00000A210000}"/>
    <cellStyle name="60% - Akzent2 111" xfId="5503" xr:uid="{00000000-0005-0000-0000-00000B210000}"/>
    <cellStyle name="60% - Akzent2 111 2" xfId="14921" xr:uid="{00000000-0005-0000-0000-00000C210000}"/>
    <cellStyle name="60% - Akzent2 111_est. MEAT" xfId="21911" xr:uid="{00000000-0005-0000-0000-00000D210000}"/>
    <cellStyle name="60% - Akzent2 112" xfId="5504" xr:uid="{00000000-0005-0000-0000-00000E210000}"/>
    <cellStyle name="60% - Akzent2 112 2" xfId="14922" xr:uid="{00000000-0005-0000-0000-00000F210000}"/>
    <cellStyle name="60% - Akzent2 112_est. MEAT" xfId="21912" xr:uid="{00000000-0005-0000-0000-000010210000}"/>
    <cellStyle name="60% - Akzent2 113" xfId="5505" xr:uid="{00000000-0005-0000-0000-000011210000}"/>
    <cellStyle name="60% - Akzent2 113 2" xfId="14923" xr:uid="{00000000-0005-0000-0000-000012210000}"/>
    <cellStyle name="60% - Akzent2 113_est. MEAT" xfId="21913" xr:uid="{00000000-0005-0000-0000-000013210000}"/>
    <cellStyle name="60% - Akzent2 114" xfId="5506" xr:uid="{00000000-0005-0000-0000-000014210000}"/>
    <cellStyle name="60% - Akzent2 114 2" xfId="14924" xr:uid="{00000000-0005-0000-0000-000015210000}"/>
    <cellStyle name="60% - Akzent2 114_est. MEAT" xfId="21914" xr:uid="{00000000-0005-0000-0000-000016210000}"/>
    <cellStyle name="60% - Akzent2 115" xfId="5507" xr:uid="{00000000-0005-0000-0000-000017210000}"/>
    <cellStyle name="60% - Akzent2 115 2" xfId="14925" xr:uid="{00000000-0005-0000-0000-000018210000}"/>
    <cellStyle name="60% - Akzent2 115_est. MEAT" xfId="21915" xr:uid="{00000000-0005-0000-0000-000019210000}"/>
    <cellStyle name="60% - Akzent2 116" xfId="5508" xr:uid="{00000000-0005-0000-0000-00001A210000}"/>
    <cellStyle name="60% - Akzent2 116 2" xfId="14926" xr:uid="{00000000-0005-0000-0000-00001B210000}"/>
    <cellStyle name="60% - Akzent2 116_est. MEAT" xfId="21916" xr:uid="{00000000-0005-0000-0000-00001C210000}"/>
    <cellStyle name="60% - Akzent2 117" xfId="5509" xr:uid="{00000000-0005-0000-0000-00001D210000}"/>
    <cellStyle name="60% - Akzent2 117 2" xfId="14927" xr:uid="{00000000-0005-0000-0000-00001E210000}"/>
    <cellStyle name="60% - Akzent2 117_est. MEAT" xfId="21917" xr:uid="{00000000-0005-0000-0000-00001F210000}"/>
    <cellStyle name="60% - Akzent2 118" xfId="5510" xr:uid="{00000000-0005-0000-0000-000020210000}"/>
    <cellStyle name="60% - Akzent2 118 2" xfId="14928" xr:uid="{00000000-0005-0000-0000-000021210000}"/>
    <cellStyle name="60% - Akzent2 118_est. MEAT" xfId="21918" xr:uid="{00000000-0005-0000-0000-000022210000}"/>
    <cellStyle name="60% - Akzent2 119" xfId="5511" xr:uid="{00000000-0005-0000-0000-000023210000}"/>
    <cellStyle name="60% - Akzent2 119 2" xfId="14929" xr:uid="{00000000-0005-0000-0000-000024210000}"/>
    <cellStyle name="60% - Akzent2 119_est. MEAT" xfId="21919" xr:uid="{00000000-0005-0000-0000-000025210000}"/>
    <cellStyle name="60% - Akzent2 12" xfId="5512" xr:uid="{00000000-0005-0000-0000-000026210000}"/>
    <cellStyle name="60% - Akzent2 12 2" xfId="5513" xr:uid="{00000000-0005-0000-0000-000027210000}"/>
    <cellStyle name="60% - Akzent2 12 2 2" xfId="14931" xr:uid="{00000000-0005-0000-0000-000028210000}"/>
    <cellStyle name="60% - Akzent2 12 2_est. MEAT" xfId="21920" xr:uid="{00000000-0005-0000-0000-000029210000}"/>
    <cellStyle name="60% - Akzent2 12 3" xfId="14930" xr:uid="{00000000-0005-0000-0000-00002A210000}"/>
    <cellStyle name="60% - Akzent2 12_2012-2019" xfId="12257" xr:uid="{00000000-0005-0000-0000-00002B210000}"/>
    <cellStyle name="60% - Akzent2 120" xfId="5514" xr:uid="{00000000-0005-0000-0000-00002C210000}"/>
    <cellStyle name="60% - Akzent2 120 2" xfId="14932" xr:uid="{00000000-0005-0000-0000-00002D210000}"/>
    <cellStyle name="60% - Akzent2 120_est. MEAT" xfId="21921" xr:uid="{00000000-0005-0000-0000-00002E210000}"/>
    <cellStyle name="60% - Akzent2 121" xfId="5515" xr:uid="{00000000-0005-0000-0000-00002F210000}"/>
    <cellStyle name="60% - Akzent2 121 2" xfId="14933" xr:uid="{00000000-0005-0000-0000-000030210000}"/>
    <cellStyle name="60% - Akzent2 121_est. MEAT" xfId="21922" xr:uid="{00000000-0005-0000-0000-000031210000}"/>
    <cellStyle name="60% - Akzent2 122" xfId="5516" xr:uid="{00000000-0005-0000-0000-000032210000}"/>
    <cellStyle name="60% - Akzent2 122 2" xfId="14934" xr:uid="{00000000-0005-0000-0000-000033210000}"/>
    <cellStyle name="60% - Akzent2 122_est. MEAT" xfId="21923" xr:uid="{00000000-0005-0000-0000-000034210000}"/>
    <cellStyle name="60% - Akzent2 123" xfId="5517" xr:uid="{00000000-0005-0000-0000-000035210000}"/>
    <cellStyle name="60% - Akzent2 123 2" xfId="14935" xr:uid="{00000000-0005-0000-0000-000036210000}"/>
    <cellStyle name="60% - Akzent2 123_est. MEAT" xfId="21924" xr:uid="{00000000-0005-0000-0000-000037210000}"/>
    <cellStyle name="60% - Akzent2 124" xfId="5518" xr:uid="{00000000-0005-0000-0000-000038210000}"/>
    <cellStyle name="60% - Akzent2 124 2" xfId="14936" xr:uid="{00000000-0005-0000-0000-000039210000}"/>
    <cellStyle name="60% - Akzent2 124_est. MEAT" xfId="21925" xr:uid="{00000000-0005-0000-0000-00003A210000}"/>
    <cellStyle name="60% - Akzent2 125" xfId="5519" xr:uid="{00000000-0005-0000-0000-00003B210000}"/>
    <cellStyle name="60% - Akzent2 125 2" xfId="14937" xr:uid="{00000000-0005-0000-0000-00003C210000}"/>
    <cellStyle name="60% - Akzent2 125_est. MEAT" xfId="21926" xr:uid="{00000000-0005-0000-0000-00003D210000}"/>
    <cellStyle name="60% - Akzent2 126" xfId="5520" xr:uid="{00000000-0005-0000-0000-00003E210000}"/>
    <cellStyle name="60% - Akzent2 126 2" xfId="14938" xr:uid="{00000000-0005-0000-0000-00003F210000}"/>
    <cellStyle name="60% - Akzent2 126_est. MEAT" xfId="21927" xr:uid="{00000000-0005-0000-0000-000040210000}"/>
    <cellStyle name="60% - Akzent2 127" xfId="5521" xr:uid="{00000000-0005-0000-0000-000041210000}"/>
    <cellStyle name="60% - Akzent2 127 2" xfId="14939" xr:uid="{00000000-0005-0000-0000-000042210000}"/>
    <cellStyle name="60% - Akzent2 127_est. MEAT" xfId="21928" xr:uid="{00000000-0005-0000-0000-000043210000}"/>
    <cellStyle name="60% - Akzent2 128" xfId="5522" xr:uid="{00000000-0005-0000-0000-000044210000}"/>
    <cellStyle name="60% - Akzent2 128 2" xfId="14940" xr:uid="{00000000-0005-0000-0000-000045210000}"/>
    <cellStyle name="60% - Akzent2 128_est. MEAT" xfId="21929" xr:uid="{00000000-0005-0000-0000-000046210000}"/>
    <cellStyle name="60% - Akzent2 129" xfId="5523" xr:uid="{00000000-0005-0000-0000-000047210000}"/>
    <cellStyle name="60% - Akzent2 129 2" xfId="14941" xr:uid="{00000000-0005-0000-0000-000048210000}"/>
    <cellStyle name="60% - Akzent2 129_est. MEAT" xfId="21930" xr:uid="{00000000-0005-0000-0000-000049210000}"/>
    <cellStyle name="60% - Akzent2 13" xfId="5524" xr:uid="{00000000-0005-0000-0000-00004A210000}"/>
    <cellStyle name="60% - Akzent2 13 2" xfId="5525" xr:uid="{00000000-0005-0000-0000-00004B210000}"/>
    <cellStyle name="60% - Akzent2 13 2 2" xfId="14943" xr:uid="{00000000-0005-0000-0000-00004C210000}"/>
    <cellStyle name="60% - Akzent2 13 2_est. MEAT" xfId="21931" xr:uid="{00000000-0005-0000-0000-00004D210000}"/>
    <cellStyle name="60% - Akzent2 13 3" xfId="14942" xr:uid="{00000000-0005-0000-0000-00004E210000}"/>
    <cellStyle name="60% - Akzent2 13_2012-2019" xfId="12258" xr:uid="{00000000-0005-0000-0000-00004F210000}"/>
    <cellStyle name="60% - Akzent2 130" xfId="5526" xr:uid="{00000000-0005-0000-0000-000050210000}"/>
    <cellStyle name="60% - Akzent2 130 2" xfId="14944" xr:uid="{00000000-0005-0000-0000-000051210000}"/>
    <cellStyle name="60% - Akzent2 130_est. MEAT" xfId="21932" xr:uid="{00000000-0005-0000-0000-000052210000}"/>
    <cellStyle name="60% - Akzent2 131" xfId="5527" xr:uid="{00000000-0005-0000-0000-000053210000}"/>
    <cellStyle name="60% - Akzent2 131 2" xfId="14945" xr:uid="{00000000-0005-0000-0000-000054210000}"/>
    <cellStyle name="60% - Akzent2 131_est. MEAT" xfId="21933" xr:uid="{00000000-0005-0000-0000-000055210000}"/>
    <cellStyle name="60% - Akzent2 132" xfId="5528" xr:uid="{00000000-0005-0000-0000-000056210000}"/>
    <cellStyle name="60% - Akzent2 132 2" xfId="14946" xr:uid="{00000000-0005-0000-0000-000057210000}"/>
    <cellStyle name="60% - Akzent2 132_est. MEAT" xfId="21934" xr:uid="{00000000-0005-0000-0000-000058210000}"/>
    <cellStyle name="60% - Akzent2 133" xfId="5529" xr:uid="{00000000-0005-0000-0000-000059210000}"/>
    <cellStyle name="60% - Akzent2 133 2" xfId="14947" xr:uid="{00000000-0005-0000-0000-00005A210000}"/>
    <cellStyle name="60% - Akzent2 133_est. MEAT" xfId="21935" xr:uid="{00000000-0005-0000-0000-00005B210000}"/>
    <cellStyle name="60% - Akzent2 134" xfId="5530" xr:uid="{00000000-0005-0000-0000-00005C210000}"/>
    <cellStyle name="60% - Akzent2 134 2" xfId="14948" xr:uid="{00000000-0005-0000-0000-00005D210000}"/>
    <cellStyle name="60% - Akzent2 134_est. MEAT" xfId="21936" xr:uid="{00000000-0005-0000-0000-00005E210000}"/>
    <cellStyle name="60% - Akzent2 135" xfId="5531" xr:uid="{00000000-0005-0000-0000-00005F210000}"/>
    <cellStyle name="60% - Akzent2 135 2" xfId="14949" xr:uid="{00000000-0005-0000-0000-000060210000}"/>
    <cellStyle name="60% - Akzent2 135_est. MEAT" xfId="21937" xr:uid="{00000000-0005-0000-0000-000061210000}"/>
    <cellStyle name="60% - Akzent2 136" xfId="5532" xr:uid="{00000000-0005-0000-0000-000062210000}"/>
    <cellStyle name="60% - Akzent2 136 2" xfId="14950" xr:uid="{00000000-0005-0000-0000-000063210000}"/>
    <cellStyle name="60% - Akzent2 136_est. MEAT" xfId="21938" xr:uid="{00000000-0005-0000-0000-000064210000}"/>
    <cellStyle name="60% - Akzent2 137" xfId="5533" xr:uid="{00000000-0005-0000-0000-000065210000}"/>
    <cellStyle name="60% - Akzent2 137 2" xfId="14951" xr:uid="{00000000-0005-0000-0000-000066210000}"/>
    <cellStyle name="60% - Akzent2 137_est. MEAT" xfId="21939" xr:uid="{00000000-0005-0000-0000-000067210000}"/>
    <cellStyle name="60% - Akzent2 138" xfId="5534" xr:uid="{00000000-0005-0000-0000-000068210000}"/>
    <cellStyle name="60% - Akzent2 138 2" xfId="14952" xr:uid="{00000000-0005-0000-0000-000069210000}"/>
    <cellStyle name="60% - Akzent2 138_est. MEAT" xfId="21940" xr:uid="{00000000-0005-0000-0000-00006A210000}"/>
    <cellStyle name="60% - Akzent2 139" xfId="5535" xr:uid="{00000000-0005-0000-0000-00006B210000}"/>
    <cellStyle name="60% - Akzent2 139 2" xfId="14953" xr:uid="{00000000-0005-0000-0000-00006C210000}"/>
    <cellStyle name="60% - Akzent2 139_est. MEAT" xfId="21941" xr:uid="{00000000-0005-0000-0000-00006D210000}"/>
    <cellStyle name="60% - Akzent2 14" xfId="5536" xr:uid="{00000000-0005-0000-0000-00006E210000}"/>
    <cellStyle name="60% - Akzent2 14 2" xfId="5537" xr:uid="{00000000-0005-0000-0000-00006F210000}"/>
    <cellStyle name="60% - Akzent2 14 2 2" xfId="14955" xr:uid="{00000000-0005-0000-0000-000070210000}"/>
    <cellStyle name="60% - Akzent2 14 2_est. MEAT" xfId="21942" xr:uid="{00000000-0005-0000-0000-000071210000}"/>
    <cellStyle name="60% - Akzent2 14 3" xfId="14954" xr:uid="{00000000-0005-0000-0000-000072210000}"/>
    <cellStyle name="60% - Akzent2 14_2012-2019" xfId="12259" xr:uid="{00000000-0005-0000-0000-000073210000}"/>
    <cellStyle name="60% - Akzent2 140" xfId="5538" xr:uid="{00000000-0005-0000-0000-000074210000}"/>
    <cellStyle name="60% - Akzent2 140 2" xfId="14956" xr:uid="{00000000-0005-0000-0000-000075210000}"/>
    <cellStyle name="60% - Akzent2 140_est. MEAT" xfId="21943" xr:uid="{00000000-0005-0000-0000-000076210000}"/>
    <cellStyle name="60% - Akzent2 141" xfId="5539" xr:uid="{00000000-0005-0000-0000-000077210000}"/>
    <cellStyle name="60% - Akzent2 141 2" xfId="14957" xr:uid="{00000000-0005-0000-0000-000078210000}"/>
    <cellStyle name="60% - Akzent2 141_est. MEAT" xfId="21944" xr:uid="{00000000-0005-0000-0000-000079210000}"/>
    <cellStyle name="60% - Akzent2 142" xfId="5540" xr:uid="{00000000-0005-0000-0000-00007A210000}"/>
    <cellStyle name="60% - Akzent2 142 2" xfId="14958" xr:uid="{00000000-0005-0000-0000-00007B210000}"/>
    <cellStyle name="60% - Akzent2 142_est. MEAT" xfId="21945" xr:uid="{00000000-0005-0000-0000-00007C210000}"/>
    <cellStyle name="60% - Akzent2 143" xfId="5541" xr:uid="{00000000-0005-0000-0000-00007D210000}"/>
    <cellStyle name="60% - Akzent2 143 2" xfId="14959" xr:uid="{00000000-0005-0000-0000-00007E210000}"/>
    <cellStyle name="60% - Akzent2 143_est. MEAT" xfId="21946" xr:uid="{00000000-0005-0000-0000-00007F210000}"/>
    <cellStyle name="60% - Akzent2 144" xfId="5542" xr:uid="{00000000-0005-0000-0000-000080210000}"/>
    <cellStyle name="60% - Akzent2 144 2" xfId="14960" xr:uid="{00000000-0005-0000-0000-000081210000}"/>
    <cellStyle name="60% - Akzent2 144_est. MEAT" xfId="21947" xr:uid="{00000000-0005-0000-0000-000082210000}"/>
    <cellStyle name="60% - Akzent2 145" xfId="5543" xr:uid="{00000000-0005-0000-0000-000083210000}"/>
    <cellStyle name="60% - Akzent2 145 2" xfId="14961" xr:uid="{00000000-0005-0000-0000-000084210000}"/>
    <cellStyle name="60% - Akzent2 145_est. MEAT" xfId="21948" xr:uid="{00000000-0005-0000-0000-000085210000}"/>
    <cellStyle name="60% - Akzent2 146" xfId="5544" xr:uid="{00000000-0005-0000-0000-000086210000}"/>
    <cellStyle name="60% - Akzent2 146 2" xfId="14962" xr:uid="{00000000-0005-0000-0000-000087210000}"/>
    <cellStyle name="60% - Akzent2 146_est. MEAT" xfId="21949" xr:uid="{00000000-0005-0000-0000-000088210000}"/>
    <cellStyle name="60% - Akzent2 147" xfId="5545" xr:uid="{00000000-0005-0000-0000-000089210000}"/>
    <cellStyle name="60% - Akzent2 147 2" xfId="14963" xr:uid="{00000000-0005-0000-0000-00008A210000}"/>
    <cellStyle name="60% - Akzent2 147_est. MEAT" xfId="21950" xr:uid="{00000000-0005-0000-0000-00008B210000}"/>
    <cellStyle name="60% - Akzent2 148" xfId="5546" xr:uid="{00000000-0005-0000-0000-00008C210000}"/>
    <cellStyle name="60% - Akzent2 148 2" xfId="14964" xr:uid="{00000000-0005-0000-0000-00008D210000}"/>
    <cellStyle name="60% - Akzent2 148_est. MEAT" xfId="21951" xr:uid="{00000000-0005-0000-0000-00008E210000}"/>
    <cellStyle name="60% - Akzent2 149" xfId="5547" xr:uid="{00000000-0005-0000-0000-00008F210000}"/>
    <cellStyle name="60% - Akzent2 149 2" xfId="14965" xr:uid="{00000000-0005-0000-0000-000090210000}"/>
    <cellStyle name="60% - Akzent2 149_est. MEAT" xfId="21952" xr:uid="{00000000-0005-0000-0000-000091210000}"/>
    <cellStyle name="60% - Akzent2 15" xfId="5548" xr:uid="{00000000-0005-0000-0000-000092210000}"/>
    <cellStyle name="60% - Akzent2 15 2" xfId="14966" xr:uid="{00000000-0005-0000-0000-000093210000}"/>
    <cellStyle name="60% - Akzent2 15_est. MEAT" xfId="21953" xr:uid="{00000000-0005-0000-0000-000094210000}"/>
    <cellStyle name="60% - Akzent2 150" xfId="5549" xr:uid="{00000000-0005-0000-0000-000095210000}"/>
    <cellStyle name="60% - Akzent2 150 2" xfId="14967" xr:uid="{00000000-0005-0000-0000-000096210000}"/>
    <cellStyle name="60% - Akzent2 150_est. MEAT" xfId="21954" xr:uid="{00000000-0005-0000-0000-000097210000}"/>
    <cellStyle name="60% - Akzent2 151" xfId="5550" xr:uid="{00000000-0005-0000-0000-000098210000}"/>
    <cellStyle name="60% - Akzent2 151 2" xfId="14968" xr:uid="{00000000-0005-0000-0000-000099210000}"/>
    <cellStyle name="60% - Akzent2 151_est. MEAT" xfId="21955" xr:uid="{00000000-0005-0000-0000-00009A210000}"/>
    <cellStyle name="60% - Akzent2 16" xfId="5551" xr:uid="{00000000-0005-0000-0000-00009B210000}"/>
    <cellStyle name="60% - Akzent2 16 2" xfId="14969" xr:uid="{00000000-0005-0000-0000-00009C210000}"/>
    <cellStyle name="60% - Akzent2 16_est. MEAT" xfId="21956" xr:uid="{00000000-0005-0000-0000-00009D210000}"/>
    <cellStyle name="60% - Akzent2 17" xfId="5552" xr:uid="{00000000-0005-0000-0000-00009E210000}"/>
    <cellStyle name="60% - Akzent2 17 2" xfId="14970" xr:uid="{00000000-0005-0000-0000-00009F210000}"/>
    <cellStyle name="60% - Akzent2 17_est. MEAT" xfId="21957" xr:uid="{00000000-0005-0000-0000-0000A0210000}"/>
    <cellStyle name="60% - Akzent2 18" xfId="5553" xr:uid="{00000000-0005-0000-0000-0000A1210000}"/>
    <cellStyle name="60% - Akzent2 18 2" xfId="14971" xr:uid="{00000000-0005-0000-0000-0000A2210000}"/>
    <cellStyle name="60% - Akzent2 18_est. MEAT" xfId="21958" xr:uid="{00000000-0005-0000-0000-0000A3210000}"/>
    <cellStyle name="60% - Akzent2 19" xfId="5554" xr:uid="{00000000-0005-0000-0000-0000A4210000}"/>
    <cellStyle name="60% - Akzent2 19 2" xfId="14972" xr:uid="{00000000-0005-0000-0000-0000A5210000}"/>
    <cellStyle name="60% - Akzent2 19_est. MEAT" xfId="21959" xr:uid="{00000000-0005-0000-0000-0000A6210000}"/>
    <cellStyle name="60% - Akzent2 2" xfId="5555" xr:uid="{00000000-0005-0000-0000-0000A7210000}"/>
    <cellStyle name="60% - Akzent2 2 2" xfId="5556" xr:uid="{00000000-0005-0000-0000-0000A8210000}"/>
    <cellStyle name="60% - Akzent2 2 2 2" xfId="14974" xr:uid="{00000000-0005-0000-0000-0000A9210000}"/>
    <cellStyle name="60% - Akzent2 2 2_est. MEAT" xfId="21960" xr:uid="{00000000-0005-0000-0000-0000AA210000}"/>
    <cellStyle name="60% - Akzent2 2 3" xfId="14973" xr:uid="{00000000-0005-0000-0000-0000AB210000}"/>
    <cellStyle name="60% - Akzent2 2_2012-2019" xfId="12260" xr:uid="{00000000-0005-0000-0000-0000AC210000}"/>
    <cellStyle name="60% - Akzent2 20" xfId="5557" xr:uid="{00000000-0005-0000-0000-0000AD210000}"/>
    <cellStyle name="60% - Akzent2 20 2" xfId="14975" xr:uid="{00000000-0005-0000-0000-0000AE210000}"/>
    <cellStyle name="60% - Akzent2 20_est. MEAT" xfId="21961" xr:uid="{00000000-0005-0000-0000-0000AF210000}"/>
    <cellStyle name="60% - Akzent2 21" xfId="5558" xr:uid="{00000000-0005-0000-0000-0000B0210000}"/>
    <cellStyle name="60% - Akzent2 21 2" xfId="14976" xr:uid="{00000000-0005-0000-0000-0000B1210000}"/>
    <cellStyle name="60% - Akzent2 21_est. MEAT" xfId="21962" xr:uid="{00000000-0005-0000-0000-0000B2210000}"/>
    <cellStyle name="60% - Akzent2 22" xfId="5559" xr:uid="{00000000-0005-0000-0000-0000B3210000}"/>
    <cellStyle name="60% - Akzent2 22 2" xfId="14977" xr:uid="{00000000-0005-0000-0000-0000B4210000}"/>
    <cellStyle name="60% - Akzent2 22_est. MEAT" xfId="21963" xr:uid="{00000000-0005-0000-0000-0000B5210000}"/>
    <cellStyle name="60% - Akzent2 23" xfId="5560" xr:uid="{00000000-0005-0000-0000-0000B6210000}"/>
    <cellStyle name="60% - Akzent2 23 2" xfId="14978" xr:uid="{00000000-0005-0000-0000-0000B7210000}"/>
    <cellStyle name="60% - Akzent2 23_est. MEAT" xfId="21964" xr:uid="{00000000-0005-0000-0000-0000B8210000}"/>
    <cellStyle name="60% - Akzent2 24" xfId="5561" xr:uid="{00000000-0005-0000-0000-0000B9210000}"/>
    <cellStyle name="60% - Akzent2 24 2" xfId="14979" xr:uid="{00000000-0005-0000-0000-0000BA210000}"/>
    <cellStyle name="60% - Akzent2 24_est. MEAT" xfId="21965" xr:uid="{00000000-0005-0000-0000-0000BB210000}"/>
    <cellStyle name="60% - Akzent2 25" xfId="5562" xr:uid="{00000000-0005-0000-0000-0000BC210000}"/>
    <cellStyle name="60% - Akzent2 25 2" xfId="14980" xr:uid="{00000000-0005-0000-0000-0000BD210000}"/>
    <cellStyle name="60% - Akzent2 25_est. MEAT" xfId="21966" xr:uid="{00000000-0005-0000-0000-0000BE210000}"/>
    <cellStyle name="60% - Akzent2 26" xfId="5563" xr:uid="{00000000-0005-0000-0000-0000BF210000}"/>
    <cellStyle name="60% - Akzent2 26 2" xfId="14981" xr:uid="{00000000-0005-0000-0000-0000C0210000}"/>
    <cellStyle name="60% - Akzent2 26_est. MEAT" xfId="21967" xr:uid="{00000000-0005-0000-0000-0000C1210000}"/>
    <cellStyle name="60% - Akzent2 27" xfId="5564" xr:uid="{00000000-0005-0000-0000-0000C2210000}"/>
    <cellStyle name="60% - Akzent2 27 2" xfId="14982" xr:uid="{00000000-0005-0000-0000-0000C3210000}"/>
    <cellStyle name="60% - Akzent2 27_est. MEAT" xfId="21968" xr:uid="{00000000-0005-0000-0000-0000C4210000}"/>
    <cellStyle name="60% - Akzent2 28" xfId="5565" xr:uid="{00000000-0005-0000-0000-0000C5210000}"/>
    <cellStyle name="60% - Akzent2 28 2" xfId="14983" xr:uid="{00000000-0005-0000-0000-0000C6210000}"/>
    <cellStyle name="60% - Akzent2 28_est. MEAT" xfId="21969" xr:uid="{00000000-0005-0000-0000-0000C7210000}"/>
    <cellStyle name="60% - Akzent2 29" xfId="5566" xr:uid="{00000000-0005-0000-0000-0000C8210000}"/>
    <cellStyle name="60% - Akzent2 29 2" xfId="14984" xr:uid="{00000000-0005-0000-0000-0000C9210000}"/>
    <cellStyle name="60% - Akzent2 29_est. MEAT" xfId="21970" xr:uid="{00000000-0005-0000-0000-0000CA210000}"/>
    <cellStyle name="60% - Akzent2 3" xfId="5567" xr:uid="{00000000-0005-0000-0000-0000CB210000}"/>
    <cellStyle name="60% - Akzent2 3 2" xfId="5568" xr:uid="{00000000-0005-0000-0000-0000CC210000}"/>
    <cellStyle name="60% - Akzent2 3 2 2" xfId="14986" xr:uid="{00000000-0005-0000-0000-0000CD210000}"/>
    <cellStyle name="60% - Akzent2 3 2_est. MEAT" xfId="21971" xr:uid="{00000000-0005-0000-0000-0000CE210000}"/>
    <cellStyle name="60% - Akzent2 3 3" xfId="14985" xr:uid="{00000000-0005-0000-0000-0000CF210000}"/>
    <cellStyle name="60% - Akzent2 3_2012-2019" xfId="12261" xr:uid="{00000000-0005-0000-0000-0000D0210000}"/>
    <cellStyle name="60% - Akzent2 30" xfId="5569" xr:uid="{00000000-0005-0000-0000-0000D1210000}"/>
    <cellStyle name="60% - Akzent2 30 2" xfId="14987" xr:uid="{00000000-0005-0000-0000-0000D2210000}"/>
    <cellStyle name="60% - Akzent2 30_est. MEAT" xfId="21972" xr:uid="{00000000-0005-0000-0000-0000D3210000}"/>
    <cellStyle name="60% - Akzent2 31" xfId="5570" xr:uid="{00000000-0005-0000-0000-0000D4210000}"/>
    <cellStyle name="60% - Akzent2 31 2" xfId="14988" xr:uid="{00000000-0005-0000-0000-0000D5210000}"/>
    <cellStyle name="60% - Akzent2 31_est. MEAT" xfId="21973" xr:uid="{00000000-0005-0000-0000-0000D6210000}"/>
    <cellStyle name="60% - Akzent2 32" xfId="5571" xr:uid="{00000000-0005-0000-0000-0000D7210000}"/>
    <cellStyle name="60% - Akzent2 32 2" xfId="14989" xr:uid="{00000000-0005-0000-0000-0000D8210000}"/>
    <cellStyle name="60% - Akzent2 32_est. MEAT" xfId="21974" xr:uid="{00000000-0005-0000-0000-0000D9210000}"/>
    <cellStyle name="60% - Akzent2 33" xfId="5572" xr:uid="{00000000-0005-0000-0000-0000DA210000}"/>
    <cellStyle name="60% - Akzent2 33 2" xfId="14990" xr:uid="{00000000-0005-0000-0000-0000DB210000}"/>
    <cellStyle name="60% - Akzent2 33_est. MEAT" xfId="21975" xr:uid="{00000000-0005-0000-0000-0000DC210000}"/>
    <cellStyle name="60% - Akzent2 34" xfId="5573" xr:uid="{00000000-0005-0000-0000-0000DD210000}"/>
    <cellStyle name="60% - Akzent2 34 2" xfId="14991" xr:uid="{00000000-0005-0000-0000-0000DE210000}"/>
    <cellStyle name="60% - Akzent2 34_est. MEAT" xfId="21976" xr:uid="{00000000-0005-0000-0000-0000DF210000}"/>
    <cellStyle name="60% - Akzent2 35" xfId="5574" xr:uid="{00000000-0005-0000-0000-0000E0210000}"/>
    <cellStyle name="60% - Akzent2 35 2" xfId="14992" xr:uid="{00000000-0005-0000-0000-0000E1210000}"/>
    <cellStyle name="60% - Akzent2 35_est. MEAT" xfId="21977" xr:uid="{00000000-0005-0000-0000-0000E2210000}"/>
    <cellStyle name="60% - Akzent2 36" xfId="5575" xr:uid="{00000000-0005-0000-0000-0000E3210000}"/>
    <cellStyle name="60% - Akzent2 36 2" xfId="14993" xr:uid="{00000000-0005-0000-0000-0000E4210000}"/>
    <cellStyle name="60% - Akzent2 36_est. MEAT" xfId="21978" xr:uid="{00000000-0005-0000-0000-0000E5210000}"/>
    <cellStyle name="60% - Akzent2 37" xfId="5576" xr:uid="{00000000-0005-0000-0000-0000E6210000}"/>
    <cellStyle name="60% - Akzent2 37 2" xfId="14994" xr:uid="{00000000-0005-0000-0000-0000E7210000}"/>
    <cellStyle name="60% - Akzent2 37_est. MEAT" xfId="21979" xr:uid="{00000000-0005-0000-0000-0000E8210000}"/>
    <cellStyle name="60% - Akzent2 38" xfId="5577" xr:uid="{00000000-0005-0000-0000-0000E9210000}"/>
    <cellStyle name="60% - Akzent2 38 2" xfId="14995" xr:uid="{00000000-0005-0000-0000-0000EA210000}"/>
    <cellStyle name="60% - Akzent2 38_est. MEAT" xfId="21980" xr:uid="{00000000-0005-0000-0000-0000EB210000}"/>
    <cellStyle name="60% - Akzent2 39" xfId="5578" xr:uid="{00000000-0005-0000-0000-0000EC210000}"/>
    <cellStyle name="60% - Akzent2 39 2" xfId="14996" xr:uid="{00000000-0005-0000-0000-0000ED210000}"/>
    <cellStyle name="60% - Akzent2 39_est. MEAT" xfId="21981" xr:uid="{00000000-0005-0000-0000-0000EE210000}"/>
    <cellStyle name="60% - Akzent2 4" xfId="5579" xr:uid="{00000000-0005-0000-0000-0000EF210000}"/>
    <cellStyle name="60% - Akzent2 4 2" xfId="5580" xr:uid="{00000000-0005-0000-0000-0000F0210000}"/>
    <cellStyle name="60% - Akzent2 4 2 2" xfId="14998" xr:uid="{00000000-0005-0000-0000-0000F1210000}"/>
    <cellStyle name="60% - Akzent2 4 2_est. MEAT" xfId="21982" xr:uid="{00000000-0005-0000-0000-0000F2210000}"/>
    <cellStyle name="60% - Akzent2 4 3" xfId="14997" xr:uid="{00000000-0005-0000-0000-0000F3210000}"/>
    <cellStyle name="60% - Akzent2 4_2012-2019" xfId="12262" xr:uid="{00000000-0005-0000-0000-0000F4210000}"/>
    <cellStyle name="60% - Akzent2 40" xfId="5581" xr:uid="{00000000-0005-0000-0000-0000F5210000}"/>
    <cellStyle name="60% - Akzent2 40 2" xfId="14999" xr:uid="{00000000-0005-0000-0000-0000F6210000}"/>
    <cellStyle name="60% - Akzent2 40_est. MEAT" xfId="21983" xr:uid="{00000000-0005-0000-0000-0000F7210000}"/>
    <cellStyle name="60% - Akzent2 41" xfId="5582" xr:uid="{00000000-0005-0000-0000-0000F8210000}"/>
    <cellStyle name="60% - Akzent2 41 2" xfId="15000" xr:uid="{00000000-0005-0000-0000-0000F9210000}"/>
    <cellStyle name="60% - Akzent2 41_est. MEAT" xfId="21984" xr:uid="{00000000-0005-0000-0000-0000FA210000}"/>
    <cellStyle name="60% - Akzent2 42" xfId="5583" xr:uid="{00000000-0005-0000-0000-0000FB210000}"/>
    <cellStyle name="60% - Akzent2 42 2" xfId="15001" xr:uid="{00000000-0005-0000-0000-0000FC210000}"/>
    <cellStyle name="60% - Akzent2 42_est. MEAT" xfId="21985" xr:uid="{00000000-0005-0000-0000-0000FD210000}"/>
    <cellStyle name="60% - Akzent2 43" xfId="5584" xr:uid="{00000000-0005-0000-0000-0000FE210000}"/>
    <cellStyle name="60% - Akzent2 43 2" xfId="15002" xr:uid="{00000000-0005-0000-0000-0000FF210000}"/>
    <cellStyle name="60% - Akzent2 43_est. MEAT" xfId="21986" xr:uid="{00000000-0005-0000-0000-000000220000}"/>
    <cellStyle name="60% - Akzent2 44" xfId="5585" xr:uid="{00000000-0005-0000-0000-000001220000}"/>
    <cellStyle name="60% - Akzent2 44 2" xfId="15003" xr:uid="{00000000-0005-0000-0000-000002220000}"/>
    <cellStyle name="60% - Akzent2 44_est. MEAT" xfId="21987" xr:uid="{00000000-0005-0000-0000-000003220000}"/>
    <cellStyle name="60% - Akzent2 45" xfId="5586" xr:uid="{00000000-0005-0000-0000-000004220000}"/>
    <cellStyle name="60% - Akzent2 45 2" xfId="15004" xr:uid="{00000000-0005-0000-0000-000005220000}"/>
    <cellStyle name="60% - Akzent2 45_est. MEAT" xfId="21988" xr:uid="{00000000-0005-0000-0000-000006220000}"/>
    <cellStyle name="60% - Akzent2 46" xfId="5587" xr:uid="{00000000-0005-0000-0000-000007220000}"/>
    <cellStyle name="60% - Akzent2 46 2" xfId="15005" xr:uid="{00000000-0005-0000-0000-000008220000}"/>
    <cellStyle name="60% - Akzent2 46_est. MEAT" xfId="21989" xr:uid="{00000000-0005-0000-0000-000009220000}"/>
    <cellStyle name="60% - Akzent2 47" xfId="5588" xr:uid="{00000000-0005-0000-0000-00000A220000}"/>
    <cellStyle name="60% - Akzent2 47 2" xfId="15006" xr:uid="{00000000-0005-0000-0000-00000B220000}"/>
    <cellStyle name="60% - Akzent2 47_est. MEAT" xfId="21990" xr:uid="{00000000-0005-0000-0000-00000C220000}"/>
    <cellStyle name="60% - Akzent2 48" xfId="5589" xr:uid="{00000000-0005-0000-0000-00000D220000}"/>
    <cellStyle name="60% - Akzent2 48 2" xfId="15007" xr:uid="{00000000-0005-0000-0000-00000E220000}"/>
    <cellStyle name="60% - Akzent2 48_est. MEAT" xfId="21991" xr:uid="{00000000-0005-0000-0000-00000F220000}"/>
    <cellStyle name="60% - Akzent2 49" xfId="5590" xr:uid="{00000000-0005-0000-0000-000010220000}"/>
    <cellStyle name="60% - Akzent2 49 2" xfId="15008" xr:uid="{00000000-0005-0000-0000-000011220000}"/>
    <cellStyle name="60% - Akzent2 49_est. MEAT" xfId="21992" xr:uid="{00000000-0005-0000-0000-000012220000}"/>
    <cellStyle name="60% - Akzent2 5" xfId="5591" xr:uid="{00000000-0005-0000-0000-000013220000}"/>
    <cellStyle name="60% - Akzent2 5 2" xfId="5592" xr:uid="{00000000-0005-0000-0000-000014220000}"/>
    <cellStyle name="60% - Akzent2 5 2 2" xfId="15010" xr:uid="{00000000-0005-0000-0000-000015220000}"/>
    <cellStyle name="60% - Akzent2 5 2_est. MEAT" xfId="21993" xr:uid="{00000000-0005-0000-0000-000016220000}"/>
    <cellStyle name="60% - Akzent2 5 3" xfId="15009" xr:uid="{00000000-0005-0000-0000-000017220000}"/>
    <cellStyle name="60% - Akzent2 5_2012-2019" xfId="12263" xr:uid="{00000000-0005-0000-0000-000018220000}"/>
    <cellStyle name="60% - Akzent2 50" xfId="5593" xr:uid="{00000000-0005-0000-0000-000019220000}"/>
    <cellStyle name="60% - Akzent2 50 2" xfId="15011" xr:uid="{00000000-0005-0000-0000-00001A220000}"/>
    <cellStyle name="60% - Akzent2 50_est. MEAT" xfId="21994" xr:uid="{00000000-0005-0000-0000-00001B220000}"/>
    <cellStyle name="60% - Akzent2 51" xfId="5594" xr:uid="{00000000-0005-0000-0000-00001C220000}"/>
    <cellStyle name="60% - Akzent2 51 2" xfId="15012" xr:uid="{00000000-0005-0000-0000-00001D220000}"/>
    <cellStyle name="60% - Akzent2 51_est. MEAT" xfId="21995" xr:uid="{00000000-0005-0000-0000-00001E220000}"/>
    <cellStyle name="60% - Akzent2 52" xfId="5595" xr:uid="{00000000-0005-0000-0000-00001F220000}"/>
    <cellStyle name="60% - Akzent2 52 2" xfId="15013" xr:uid="{00000000-0005-0000-0000-000020220000}"/>
    <cellStyle name="60% - Akzent2 52_est. MEAT" xfId="21996" xr:uid="{00000000-0005-0000-0000-000021220000}"/>
    <cellStyle name="60% - Akzent2 53" xfId="5596" xr:uid="{00000000-0005-0000-0000-000022220000}"/>
    <cellStyle name="60% - Akzent2 53 2" xfId="15014" xr:uid="{00000000-0005-0000-0000-000023220000}"/>
    <cellStyle name="60% - Akzent2 53_est. MEAT" xfId="21997" xr:uid="{00000000-0005-0000-0000-000024220000}"/>
    <cellStyle name="60% - Akzent2 54" xfId="5597" xr:uid="{00000000-0005-0000-0000-000025220000}"/>
    <cellStyle name="60% - Akzent2 54 2" xfId="15015" xr:uid="{00000000-0005-0000-0000-000026220000}"/>
    <cellStyle name="60% - Akzent2 54_est. MEAT" xfId="21998" xr:uid="{00000000-0005-0000-0000-000027220000}"/>
    <cellStyle name="60% - Akzent2 55" xfId="5598" xr:uid="{00000000-0005-0000-0000-000028220000}"/>
    <cellStyle name="60% - Akzent2 55 2" xfId="15016" xr:uid="{00000000-0005-0000-0000-000029220000}"/>
    <cellStyle name="60% - Akzent2 55_est. MEAT" xfId="21999" xr:uid="{00000000-0005-0000-0000-00002A220000}"/>
    <cellStyle name="60% - Akzent2 56" xfId="5599" xr:uid="{00000000-0005-0000-0000-00002B220000}"/>
    <cellStyle name="60% - Akzent2 56 2" xfId="15017" xr:uid="{00000000-0005-0000-0000-00002C220000}"/>
    <cellStyle name="60% - Akzent2 56_est. MEAT" xfId="22000" xr:uid="{00000000-0005-0000-0000-00002D220000}"/>
    <cellStyle name="60% - Akzent2 57" xfId="5600" xr:uid="{00000000-0005-0000-0000-00002E220000}"/>
    <cellStyle name="60% - Akzent2 57 2" xfId="15018" xr:uid="{00000000-0005-0000-0000-00002F220000}"/>
    <cellStyle name="60% - Akzent2 57_est. MEAT" xfId="22001" xr:uid="{00000000-0005-0000-0000-000030220000}"/>
    <cellStyle name="60% - Akzent2 58" xfId="5601" xr:uid="{00000000-0005-0000-0000-000031220000}"/>
    <cellStyle name="60% - Akzent2 58 2" xfId="15019" xr:uid="{00000000-0005-0000-0000-000032220000}"/>
    <cellStyle name="60% - Akzent2 58_est. MEAT" xfId="22002" xr:uid="{00000000-0005-0000-0000-000033220000}"/>
    <cellStyle name="60% - Akzent2 59" xfId="5602" xr:uid="{00000000-0005-0000-0000-000034220000}"/>
    <cellStyle name="60% - Akzent2 59 2" xfId="15020" xr:uid="{00000000-0005-0000-0000-000035220000}"/>
    <cellStyle name="60% - Akzent2 59_est. MEAT" xfId="22003" xr:uid="{00000000-0005-0000-0000-000036220000}"/>
    <cellStyle name="60% - Akzent2 6" xfId="5603" xr:uid="{00000000-0005-0000-0000-000037220000}"/>
    <cellStyle name="60% - Akzent2 6 2" xfId="5604" xr:uid="{00000000-0005-0000-0000-000038220000}"/>
    <cellStyle name="60% - Akzent2 6 2 2" xfId="15022" xr:uid="{00000000-0005-0000-0000-000039220000}"/>
    <cellStyle name="60% - Akzent2 6 2_est. MEAT" xfId="22004" xr:uid="{00000000-0005-0000-0000-00003A220000}"/>
    <cellStyle name="60% - Akzent2 6 3" xfId="15021" xr:uid="{00000000-0005-0000-0000-00003B220000}"/>
    <cellStyle name="60% - Akzent2 6_2012-2019" xfId="12264" xr:uid="{00000000-0005-0000-0000-00003C220000}"/>
    <cellStyle name="60% - Akzent2 60" xfId="5605" xr:uid="{00000000-0005-0000-0000-00003D220000}"/>
    <cellStyle name="60% - Akzent2 60 2" xfId="15023" xr:uid="{00000000-0005-0000-0000-00003E220000}"/>
    <cellStyle name="60% - Akzent2 60_est. MEAT" xfId="22005" xr:uid="{00000000-0005-0000-0000-00003F220000}"/>
    <cellStyle name="60% - Akzent2 61" xfId="5606" xr:uid="{00000000-0005-0000-0000-000040220000}"/>
    <cellStyle name="60% - Akzent2 61 2" xfId="15024" xr:uid="{00000000-0005-0000-0000-000041220000}"/>
    <cellStyle name="60% - Akzent2 61_est. MEAT" xfId="22006" xr:uid="{00000000-0005-0000-0000-000042220000}"/>
    <cellStyle name="60% - Akzent2 62" xfId="5607" xr:uid="{00000000-0005-0000-0000-000043220000}"/>
    <cellStyle name="60% - Akzent2 62 2" xfId="15025" xr:uid="{00000000-0005-0000-0000-000044220000}"/>
    <cellStyle name="60% - Akzent2 62_est. MEAT" xfId="22007" xr:uid="{00000000-0005-0000-0000-000045220000}"/>
    <cellStyle name="60% - Akzent2 63" xfId="5608" xr:uid="{00000000-0005-0000-0000-000046220000}"/>
    <cellStyle name="60% - Akzent2 63 2" xfId="15026" xr:uid="{00000000-0005-0000-0000-000047220000}"/>
    <cellStyle name="60% - Akzent2 63_est. MEAT" xfId="22008" xr:uid="{00000000-0005-0000-0000-000048220000}"/>
    <cellStyle name="60% - Akzent2 64" xfId="5609" xr:uid="{00000000-0005-0000-0000-000049220000}"/>
    <cellStyle name="60% - Akzent2 64 2" xfId="15027" xr:uid="{00000000-0005-0000-0000-00004A220000}"/>
    <cellStyle name="60% - Akzent2 64_est. MEAT" xfId="22009" xr:uid="{00000000-0005-0000-0000-00004B220000}"/>
    <cellStyle name="60% - Akzent2 65" xfId="5610" xr:uid="{00000000-0005-0000-0000-00004C220000}"/>
    <cellStyle name="60% - Akzent2 65 2" xfId="15028" xr:uid="{00000000-0005-0000-0000-00004D220000}"/>
    <cellStyle name="60% - Akzent2 65_est. MEAT" xfId="22010" xr:uid="{00000000-0005-0000-0000-00004E220000}"/>
    <cellStyle name="60% - Akzent2 66" xfId="5611" xr:uid="{00000000-0005-0000-0000-00004F220000}"/>
    <cellStyle name="60% - Akzent2 66 2" xfId="15029" xr:uid="{00000000-0005-0000-0000-000050220000}"/>
    <cellStyle name="60% - Akzent2 66_est. MEAT" xfId="22011" xr:uid="{00000000-0005-0000-0000-000051220000}"/>
    <cellStyle name="60% - Akzent2 67" xfId="5612" xr:uid="{00000000-0005-0000-0000-000052220000}"/>
    <cellStyle name="60% - Akzent2 67 2" xfId="15030" xr:uid="{00000000-0005-0000-0000-000053220000}"/>
    <cellStyle name="60% - Akzent2 67_est. MEAT" xfId="22012" xr:uid="{00000000-0005-0000-0000-000054220000}"/>
    <cellStyle name="60% - Akzent2 68" xfId="5613" xr:uid="{00000000-0005-0000-0000-000055220000}"/>
    <cellStyle name="60% - Akzent2 68 2" xfId="15031" xr:uid="{00000000-0005-0000-0000-000056220000}"/>
    <cellStyle name="60% - Akzent2 68_est. MEAT" xfId="22013" xr:uid="{00000000-0005-0000-0000-000057220000}"/>
    <cellStyle name="60% - Akzent2 69" xfId="5614" xr:uid="{00000000-0005-0000-0000-000058220000}"/>
    <cellStyle name="60% - Akzent2 69 2" xfId="15032" xr:uid="{00000000-0005-0000-0000-000059220000}"/>
    <cellStyle name="60% - Akzent2 69_est. MEAT" xfId="22014" xr:uid="{00000000-0005-0000-0000-00005A220000}"/>
    <cellStyle name="60% - Akzent2 7" xfId="5615" xr:uid="{00000000-0005-0000-0000-00005B220000}"/>
    <cellStyle name="60% - Akzent2 7 2" xfId="5616" xr:uid="{00000000-0005-0000-0000-00005C220000}"/>
    <cellStyle name="60% - Akzent2 7 2 2" xfId="15034" xr:uid="{00000000-0005-0000-0000-00005D220000}"/>
    <cellStyle name="60% - Akzent2 7 2_est. MEAT" xfId="22015" xr:uid="{00000000-0005-0000-0000-00005E220000}"/>
    <cellStyle name="60% - Akzent2 7 3" xfId="15033" xr:uid="{00000000-0005-0000-0000-00005F220000}"/>
    <cellStyle name="60% - Akzent2 7_2012-2019" xfId="12265" xr:uid="{00000000-0005-0000-0000-000060220000}"/>
    <cellStyle name="60% - Akzent2 70" xfId="5617" xr:uid="{00000000-0005-0000-0000-000061220000}"/>
    <cellStyle name="60% - Akzent2 70 2" xfId="15035" xr:uid="{00000000-0005-0000-0000-000062220000}"/>
    <cellStyle name="60% - Akzent2 70_est. MEAT" xfId="22016" xr:uid="{00000000-0005-0000-0000-000063220000}"/>
    <cellStyle name="60% - Akzent2 71" xfId="5618" xr:uid="{00000000-0005-0000-0000-000064220000}"/>
    <cellStyle name="60% - Akzent2 71 2" xfId="15036" xr:uid="{00000000-0005-0000-0000-000065220000}"/>
    <cellStyle name="60% - Akzent2 71_est. MEAT" xfId="22017" xr:uid="{00000000-0005-0000-0000-000066220000}"/>
    <cellStyle name="60% - Akzent2 72" xfId="5619" xr:uid="{00000000-0005-0000-0000-000067220000}"/>
    <cellStyle name="60% - Akzent2 72 2" xfId="15037" xr:uid="{00000000-0005-0000-0000-000068220000}"/>
    <cellStyle name="60% - Akzent2 72_est. MEAT" xfId="22018" xr:uid="{00000000-0005-0000-0000-000069220000}"/>
    <cellStyle name="60% - Akzent2 73" xfId="5620" xr:uid="{00000000-0005-0000-0000-00006A220000}"/>
    <cellStyle name="60% - Akzent2 73 2" xfId="15038" xr:uid="{00000000-0005-0000-0000-00006B220000}"/>
    <cellStyle name="60% - Akzent2 73_est. MEAT" xfId="22019" xr:uid="{00000000-0005-0000-0000-00006C220000}"/>
    <cellStyle name="60% - Akzent2 74" xfId="5621" xr:uid="{00000000-0005-0000-0000-00006D220000}"/>
    <cellStyle name="60% - Akzent2 74 2" xfId="15039" xr:uid="{00000000-0005-0000-0000-00006E220000}"/>
    <cellStyle name="60% - Akzent2 74_est. MEAT" xfId="22020" xr:uid="{00000000-0005-0000-0000-00006F220000}"/>
    <cellStyle name="60% - Akzent2 75" xfId="5622" xr:uid="{00000000-0005-0000-0000-000070220000}"/>
    <cellStyle name="60% - Akzent2 75 2" xfId="15040" xr:uid="{00000000-0005-0000-0000-000071220000}"/>
    <cellStyle name="60% - Akzent2 75_est. MEAT" xfId="22021" xr:uid="{00000000-0005-0000-0000-000072220000}"/>
    <cellStyle name="60% - Akzent2 76" xfId="5623" xr:uid="{00000000-0005-0000-0000-000073220000}"/>
    <cellStyle name="60% - Akzent2 76 2" xfId="15041" xr:uid="{00000000-0005-0000-0000-000074220000}"/>
    <cellStyle name="60% - Akzent2 76_est. MEAT" xfId="22022" xr:uid="{00000000-0005-0000-0000-000075220000}"/>
    <cellStyle name="60% - Akzent2 77" xfId="5624" xr:uid="{00000000-0005-0000-0000-000076220000}"/>
    <cellStyle name="60% - Akzent2 77 2" xfId="15042" xr:uid="{00000000-0005-0000-0000-000077220000}"/>
    <cellStyle name="60% - Akzent2 77_est. MEAT" xfId="22023" xr:uid="{00000000-0005-0000-0000-000078220000}"/>
    <cellStyle name="60% - Akzent2 78" xfId="5625" xr:uid="{00000000-0005-0000-0000-000079220000}"/>
    <cellStyle name="60% - Akzent2 78 2" xfId="15043" xr:uid="{00000000-0005-0000-0000-00007A220000}"/>
    <cellStyle name="60% - Akzent2 78_est. MEAT" xfId="22024" xr:uid="{00000000-0005-0000-0000-00007B220000}"/>
    <cellStyle name="60% - Akzent2 79" xfId="5626" xr:uid="{00000000-0005-0000-0000-00007C220000}"/>
    <cellStyle name="60% - Akzent2 79 2" xfId="15044" xr:uid="{00000000-0005-0000-0000-00007D220000}"/>
    <cellStyle name="60% - Akzent2 79_est. MEAT" xfId="22025" xr:uid="{00000000-0005-0000-0000-00007E220000}"/>
    <cellStyle name="60% - Akzent2 8" xfId="5627" xr:uid="{00000000-0005-0000-0000-00007F220000}"/>
    <cellStyle name="60% - Akzent2 8 2" xfId="5628" xr:uid="{00000000-0005-0000-0000-000080220000}"/>
    <cellStyle name="60% - Akzent2 8 2 2" xfId="15046" xr:uid="{00000000-0005-0000-0000-000081220000}"/>
    <cellStyle name="60% - Akzent2 8 2_est. MEAT" xfId="22026" xr:uid="{00000000-0005-0000-0000-000082220000}"/>
    <cellStyle name="60% - Akzent2 8 3" xfId="15045" xr:uid="{00000000-0005-0000-0000-000083220000}"/>
    <cellStyle name="60% - Akzent2 8_2012-2019" xfId="12266" xr:uid="{00000000-0005-0000-0000-000084220000}"/>
    <cellStyle name="60% - Akzent2 80" xfId="5629" xr:uid="{00000000-0005-0000-0000-000085220000}"/>
    <cellStyle name="60% - Akzent2 80 2" xfId="15047" xr:uid="{00000000-0005-0000-0000-000086220000}"/>
    <cellStyle name="60% - Akzent2 80_est. MEAT" xfId="22027" xr:uid="{00000000-0005-0000-0000-000087220000}"/>
    <cellStyle name="60% - Akzent2 81" xfId="5630" xr:uid="{00000000-0005-0000-0000-000088220000}"/>
    <cellStyle name="60% - Akzent2 81 2" xfId="15048" xr:uid="{00000000-0005-0000-0000-000089220000}"/>
    <cellStyle name="60% - Akzent2 81_est. MEAT" xfId="22028" xr:uid="{00000000-0005-0000-0000-00008A220000}"/>
    <cellStyle name="60% - Akzent2 82" xfId="5631" xr:uid="{00000000-0005-0000-0000-00008B220000}"/>
    <cellStyle name="60% - Akzent2 82 2" xfId="15049" xr:uid="{00000000-0005-0000-0000-00008C220000}"/>
    <cellStyle name="60% - Akzent2 82_est. MEAT" xfId="22029" xr:uid="{00000000-0005-0000-0000-00008D220000}"/>
    <cellStyle name="60% - Akzent2 83" xfId="5632" xr:uid="{00000000-0005-0000-0000-00008E220000}"/>
    <cellStyle name="60% - Akzent2 83 2" xfId="15050" xr:uid="{00000000-0005-0000-0000-00008F220000}"/>
    <cellStyle name="60% - Akzent2 83_est. MEAT" xfId="22030" xr:uid="{00000000-0005-0000-0000-000090220000}"/>
    <cellStyle name="60% - Akzent2 84" xfId="5633" xr:uid="{00000000-0005-0000-0000-000091220000}"/>
    <cellStyle name="60% - Akzent2 84 2" xfId="15051" xr:uid="{00000000-0005-0000-0000-000092220000}"/>
    <cellStyle name="60% - Akzent2 84_est. MEAT" xfId="22031" xr:uid="{00000000-0005-0000-0000-000093220000}"/>
    <cellStyle name="60% - Akzent2 85" xfId="5634" xr:uid="{00000000-0005-0000-0000-000094220000}"/>
    <cellStyle name="60% - Akzent2 85 2" xfId="15052" xr:uid="{00000000-0005-0000-0000-000095220000}"/>
    <cellStyle name="60% - Akzent2 85_est. MEAT" xfId="22032" xr:uid="{00000000-0005-0000-0000-000096220000}"/>
    <cellStyle name="60% - Akzent2 86" xfId="5635" xr:uid="{00000000-0005-0000-0000-000097220000}"/>
    <cellStyle name="60% - Akzent2 86 2" xfId="15053" xr:uid="{00000000-0005-0000-0000-000098220000}"/>
    <cellStyle name="60% - Akzent2 86_est. MEAT" xfId="22033" xr:uid="{00000000-0005-0000-0000-000099220000}"/>
    <cellStyle name="60% - Akzent2 87" xfId="5636" xr:uid="{00000000-0005-0000-0000-00009A220000}"/>
    <cellStyle name="60% - Akzent2 87 2" xfId="15054" xr:uid="{00000000-0005-0000-0000-00009B220000}"/>
    <cellStyle name="60% - Akzent2 87_est. MEAT" xfId="22034" xr:uid="{00000000-0005-0000-0000-00009C220000}"/>
    <cellStyle name="60% - Akzent2 88" xfId="5637" xr:uid="{00000000-0005-0000-0000-00009D220000}"/>
    <cellStyle name="60% - Akzent2 88 2" xfId="15055" xr:uid="{00000000-0005-0000-0000-00009E220000}"/>
    <cellStyle name="60% - Akzent2 88_est. MEAT" xfId="22035" xr:uid="{00000000-0005-0000-0000-00009F220000}"/>
    <cellStyle name="60% - Akzent2 89" xfId="5638" xr:uid="{00000000-0005-0000-0000-0000A0220000}"/>
    <cellStyle name="60% - Akzent2 89 2" xfId="15056" xr:uid="{00000000-0005-0000-0000-0000A1220000}"/>
    <cellStyle name="60% - Akzent2 89_est. MEAT" xfId="22036" xr:uid="{00000000-0005-0000-0000-0000A2220000}"/>
    <cellStyle name="60% - Akzent2 9" xfId="5639" xr:uid="{00000000-0005-0000-0000-0000A3220000}"/>
    <cellStyle name="60% - Akzent2 9 2" xfId="5640" xr:uid="{00000000-0005-0000-0000-0000A4220000}"/>
    <cellStyle name="60% - Akzent2 9 2 2" xfId="15058" xr:uid="{00000000-0005-0000-0000-0000A5220000}"/>
    <cellStyle name="60% - Akzent2 9 2_est. MEAT" xfId="22037" xr:uid="{00000000-0005-0000-0000-0000A6220000}"/>
    <cellStyle name="60% - Akzent2 9 3" xfId="15057" xr:uid="{00000000-0005-0000-0000-0000A7220000}"/>
    <cellStyle name="60% - Akzent2 9_2012-2019" xfId="12267" xr:uid="{00000000-0005-0000-0000-0000A8220000}"/>
    <cellStyle name="60% - Akzent2 90" xfId="5641" xr:uid="{00000000-0005-0000-0000-0000A9220000}"/>
    <cellStyle name="60% - Akzent2 90 2" xfId="15059" xr:uid="{00000000-0005-0000-0000-0000AA220000}"/>
    <cellStyle name="60% - Akzent2 90_est. MEAT" xfId="22038" xr:uid="{00000000-0005-0000-0000-0000AB220000}"/>
    <cellStyle name="60% - Akzent2 91" xfId="5642" xr:uid="{00000000-0005-0000-0000-0000AC220000}"/>
    <cellStyle name="60% - Akzent2 91 2" xfId="15060" xr:uid="{00000000-0005-0000-0000-0000AD220000}"/>
    <cellStyle name="60% - Akzent2 91_est. MEAT" xfId="22039" xr:uid="{00000000-0005-0000-0000-0000AE220000}"/>
    <cellStyle name="60% - Akzent2 92" xfId="5643" xr:uid="{00000000-0005-0000-0000-0000AF220000}"/>
    <cellStyle name="60% - Akzent2 92 2" xfId="15061" xr:uid="{00000000-0005-0000-0000-0000B0220000}"/>
    <cellStyle name="60% - Akzent2 92_est. MEAT" xfId="22040" xr:uid="{00000000-0005-0000-0000-0000B1220000}"/>
    <cellStyle name="60% - Akzent2 93" xfId="5644" xr:uid="{00000000-0005-0000-0000-0000B2220000}"/>
    <cellStyle name="60% - Akzent2 93 2" xfId="15062" xr:uid="{00000000-0005-0000-0000-0000B3220000}"/>
    <cellStyle name="60% - Akzent2 93_est. MEAT" xfId="22041" xr:uid="{00000000-0005-0000-0000-0000B4220000}"/>
    <cellStyle name="60% - Akzent2 94" xfId="5645" xr:uid="{00000000-0005-0000-0000-0000B5220000}"/>
    <cellStyle name="60% - Akzent2 94 2" xfId="15063" xr:uid="{00000000-0005-0000-0000-0000B6220000}"/>
    <cellStyle name="60% - Akzent2 94_est. MEAT" xfId="22042" xr:uid="{00000000-0005-0000-0000-0000B7220000}"/>
    <cellStyle name="60% - Akzent2 95" xfId="5646" xr:uid="{00000000-0005-0000-0000-0000B8220000}"/>
    <cellStyle name="60% - Akzent2 95 2" xfId="15064" xr:uid="{00000000-0005-0000-0000-0000B9220000}"/>
    <cellStyle name="60% - Akzent2 95_est. MEAT" xfId="22043" xr:uid="{00000000-0005-0000-0000-0000BA220000}"/>
    <cellStyle name="60% - Akzent2 96" xfId="5647" xr:uid="{00000000-0005-0000-0000-0000BB220000}"/>
    <cellStyle name="60% - Akzent2 96 2" xfId="15065" xr:uid="{00000000-0005-0000-0000-0000BC220000}"/>
    <cellStyle name="60% - Akzent2 96_est. MEAT" xfId="22044" xr:uid="{00000000-0005-0000-0000-0000BD220000}"/>
    <cellStyle name="60% - Akzent2 97" xfId="5648" xr:uid="{00000000-0005-0000-0000-0000BE220000}"/>
    <cellStyle name="60% - Akzent2 97 2" xfId="15066" xr:uid="{00000000-0005-0000-0000-0000BF220000}"/>
    <cellStyle name="60% - Akzent2 97_est. MEAT" xfId="22045" xr:uid="{00000000-0005-0000-0000-0000C0220000}"/>
    <cellStyle name="60% - Akzent2 98" xfId="5649" xr:uid="{00000000-0005-0000-0000-0000C1220000}"/>
    <cellStyle name="60% - Akzent2 98 2" xfId="15067" xr:uid="{00000000-0005-0000-0000-0000C2220000}"/>
    <cellStyle name="60% - Akzent2 98_est. MEAT" xfId="22046" xr:uid="{00000000-0005-0000-0000-0000C3220000}"/>
    <cellStyle name="60% - Akzent2 99" xfId="5650" xr:uid="{00000000-0005-0000-0000-0000C4220000}"/>
    <cellStyle name="60% - Akzent2 99 2" xfId="15068" xr:uid="{00000000-0005-0000-0000-0000C5220000}"/>
    <cellStyle name="60% - Akzent2 99_est. MEAT" xfId="22047" xr:uid="{00000000-0005-0000-0000-0000C6220000}"/>
    <cellStyle name="60% - Akzent3 10" xfId="5651" xr:uid="{00000000-0005-0000-0000-0000C7220000}"/>
    <cellStyle name="60% - Akzent3 10 2" xfId="5652" xr:uid="{00000000-0005-0000-0000-0000C8220000}"/>
    <cellStyle name="60% - Akzent3 10 2 2" xfId="15070" xr:uid="{00000000-0005-0000-0000-0000C9220000}"/>
    <cellStyle name="60% - Akzent3 10 2_est. MEAT" xfId="22048" xr:uid="{00000000-0005-0000-0000-0000CA220000}"/>
    <cellStyle name="60% - Akzent3 10 3" xfId="15069" xr:uid="{00000000-0005-0000-0000-0000CB220000}"/>
    <cellStyle name="60% - Akzent3 10_2012-2019" xfId="12268" xr:uid="{00000000-0005-0000-0000-0000CC220000}"/>
    <cellStyle name="60% - Akzent3 100" xfId="5653" xr:uid="{00000000-0005-0000-0000-0000CD220000}"/>
    <cellStyle name="60% - Akzent3 100 2" xfId="15071" xr:uid="{00000000-0005-0000-0000-0000CE220000}"/>
    <cellStyle name="60% - Akzent3 100_est. MEAT" xfId="22049" xr:uid="{00000000-0005-0000-0000-0000CF220000}"/>
    <cellStyle name="60% - Akzent3 101" xfId="5654" xr:uid="{00000000-0005-0000-0000-0000D0220000}"/>
    <cellStyle name="60% - Akzent3 101 2" xfId="15072" xr:uid="{00000000-0005-0000-0000-0000D1220000}"/>
    <cellStyle name="60% - Akzent3 101_est. MEAT" xfId="22050" xr:uid="{00000000-0005-0000-0000-0000D2220000}"/>
    <cellStyle name="60% - Akzent3 102" xfId="5655" xr:uid="{00000000-0005-0000-0000-0000D3220000}"/>
    <cellStyle name="60% - Akzent3 102 2" xfId="15073" xr:uid="{00000000-0005-0000-0000-0000D4220000}"/>
    <cellStyle name="60% - Akzent3 102_est. MEAT" xfId="22051" xr:uid="{00000000-0005-0000-0000-0000D5220000}"/>
    <cellStyle name="60% - Akzent3 103" xfId="5656" xr:uid="{00000000-0005-0000-0000-0000D6220000}"/>
    <cellStyle name="60% - Akzent3 103 2" xfId="15074" xr:uid="{00000000-0005-0000-0000-0000D7220000}"/>
    <cellStyle name="60% - Akzent3 103_est. MEAT" xfId="22052" xr:uid="{00000000-0005-0000-0000-0000D8220000}"/>
    <cellStyle name="60% - Akzent3 104" xfId="5657" xr:uid="{00000000-0005-0000-0000-0000D9220000}"/>
    <cellStyle name="60% - Akzent3 104 2" xfId="15075" xr:uid="{00000000-0005-0000-0000-0000DA220000}"/>
    <cellStyle name="60% - Akzent3 104_est. MEAT" xfId="22053" xr:uid="{00000000-0005-0000-0000-0000DB220000}"/>
    <cellStyle name="60% - Akzent3 105" xfId="5658" xr:uid="{00000000-0005-0000-0000-0000DC220000}"/>
    <cellStyle name="60% - Akzent3 105 2" xfId="15076" xr:uid="{00000000-0005-0000-0000-0000DD220000}"/>
    <cellStyle name="60% - Akzent3 105_est. MEAT" xfId="22054" xr:uid="{00000000-0005-0000-0000-0000DE220000}"/>
    <cellStyle name="60% - Akzent3 106" xfId="5659" xr:uid="{00000000-0005-0000-0000-0000DF220000}"/>
    <cellStyle name="60% - Akzent3 106 2" xfId="15077" xr:uid="{00000000-0005-0000-0000-0000E0220000}"/>
    <cellStyle name="60% - Akzent3 106_est. MEAT" xfId="22055" xr:uid="{00000000-0005-0000-0000-0000E1220000}"/>
    <cellStyle name="60% - Akzent3 107" xfId="5660" xr:uid="{00000000-0005-0000-0000-0000E2220000}"/>
    <cellStyle name="60% - Akzent3 107 2" xfId="15078" xr:uid="{00000000-0005-0000-0000-0000E3220000}"/>
    <cellStyle name="60% - Akzent3 107_est. MEAT" xfId="22056" xr:uid="{00000000-0005-0000-0000-0000E4220000}"/>
    <cellStyle name="60% - Akzent3 108" xfId="5661" xr:uid="{00000000-0005-0000-0000-0000E5220000}"/>
    <cellStyle name="60% - Akzent3 108 2" xfId="15079" xr:uid="{00000000-0005-0000-0000-0000E6220000}"/>
    <cellStyle name="60% - Akzent3 108_est. MEAT" xfId="22057" xr:uid="{00000000-0005-0000-0000-0000E7220000}"/>
    <cellStyle name="60% - Akzent3 109" xfId="5662" xr:uid="{00000000-0005-0000-0000-0000E8220000}"/>
    <cellStyle name="60% - Akzent3 109 2" xfId="15080" xr:uid="{00000000-0005-0000-0000-0000E9220000}"/>
    <cellStyle name="60% - Akzent3 109_est. MEAT" xfId="22058" xr:uid="{00000000-0005-0000-0000-0000EA220000}"/>
    <cellStyle name="60% - Akzent3 11" xfId="5663" xr:uid="{00000000-0005-0000-0000-0000EB220000}"/>
    <cellStyle name="60% - Akzent3 11 2" xfId="5664" xr:uid="{00000000-0005-0000-0000-0000EC220000}"/>
    <cellStyle name="60% - Akzent3 11 2 2" xfId="15082" xr:uid="{00000000-0005-0000-0000-0000ED220000}"/>
    <cellStyle name="60% - Akzent3 11 2_est. MEAT" xfId="22059" xr:uid="{00000000-0005-0000-0000-0000EE220000}"/>
    <cellStyle name="60% - Akzent3 11 3" xfId="15081" xr:uid="{00000000-0005-0000-0000-0000EF220000}"/>
    <cellStyle name="60% - Akzent3 11_2012-2019" xfId="12269" xr:uid="{00000000-0005-0000-0000-0000F0220000}"/>
    <cellStyle name="60% - Akzent3 110" xfId="5665" xr:uid="{00000000-0005-0000-0000-0000F1220000}"/>
    <cellStyle name="60% - Akzent3 110 2" xfId="15083" xr:uid="{00000000-0005-0000-0000-0000F2220000}"/>
    <cellStyle name="60% - Akzent3 110_est. MEAT" xfId="22060" xr:uid="{00000000-0005-0000-0000-0000F3220000}"/>
    <cellStyle name="60% - Akzent3 111" xfId="5666" xr:uid="{00000000-0005-0000-0000-0000F4220000}"/>
    <cellStyle name="60% - Akzent3 111 2" xfId="15084" xr:uid="{00000000-0005-0000-0000-0000F5220000}"/>
    <cellStyle name="60% - Akzent3 111_est. MEAT" xfId="22061" xr:uid="{00000000-0005-0000-0000-0000F6220000}"/>
    <cellStyle name="60% - Akzent3 112" xfId="5667" xr:uid="{00000000-0005-0000-0000-0000F7220000}"/>
    <cellStyle name="60% - Akzent3 112 2" xfId="15085" xr:uid="{00000000-0005-0000-0000-0000F8220000}"/>
    <cellStyle name="60% - Akzent3 112_est. MEAT" xfId="22062" xr:uid="{00000000-0005-0000-0000-0000F9220000}"/>
    <cellStyle name="60% - Akzent3 113" xfId="5668" xr:uid="{00000000-0005-0000-0000-0000FA220000}"/>
    <cellStyle name="60% - Akzent3 113 2" xfId="15086" xr:uid="{00000000-0005-0000-0000-0000FB220000}"/>
    <cellStyle name="60% - Akzent3 113_est. MEAT" xfId="22063" xr:uid="{00000000-0005-0000-0000-0000FC220000}"/>
    <cellStyle name="60% - Akzent3 114" xfId="5669" xr:uid="{00000000-0005-0000-0000-0000FD220000}"/>
    <cellStyle name="60% - Akzent3 114 2" xfId="15087" xr:uid="{00000000-0005-0000-0000-0000FE220000}"/>
    <cellStyle name="60% - Akzent3 114_est. MEAT" xfId="22064" xr:uid="{00000000-0005-0000-0000-0000FF220000}"/>
    <cellStyle name="60% - Akzent3 115" xfId="5670" xr:uid="{00000000-0005-0000-0000-000000230000}"/>
    <cellStyle name="60% - Akzent3 115 2" xfId="15088" xr:uid="{00000000-0005-0000-0000-000001230000}"/>
    <cellStyle name="60% - Akzent3 115_est. MEAT" xfId="22065" xr:uid="{00000000-0005-0000-0000-000002230000}"/>
    <cellStyle name="60% - Akzent3 116" xfId="5671" xr:uid="{00000000-0005-0000-0000-000003230000}"/>
    <cellStyle name="60% - Akzent3 116 2" xfId="15089" xr:uid="{00000000-0005-0000-0000-000004230000}"/>
    <cellStyle name="60% - Akzent3 116_est. MEAT" xfId="22066" xr:uid="{00000000-0005-0000-0000-000005230000}"/>
    <cellStyle name="60% - Akzent3 117" xfId="5672" xr:uid="{00000000-0005-0000-0000-000006230000}"/>
    <cellStyle name="60% - Akzent3 117 2" xfId="15090" xr:uid="{00000000-0005-0000-0000-000007230000}"/>
    <cellStyle name="60% - Akzent3 117_est. MEAT" xfId="22067" xr:uid="{00000000-0005-0000-0000-000008230000}"/>
    <cellStyle name="60% - Akzent3 118" xfId="5673" xr:uid="{00000000-0005-0000-0000-000009230000}"/>
    <cellStyle name="60% - Akzent3 118 2" xfId="15091" xr:uid="{00000000-0005-0000-0000-00000A230000}"/>
    <cellStyle name="60% - Akzent3 118_est. MEAT" xfId="22068" xr:uid="{00000000-0005-0000-0000-00000B230000}"/>
    <cellStyle name="60% - Akzent3 119" xfId="5674" xr:uid="{00000000-0005-0000-0000-00000C230000}"/>
    <cellStyle name="60% - Akzent3 119 2" xfId="15092" xr:uid="{00000000-0005-0000-0000-00000D230000}"/>
    <cellStyle name="60% - Akzent3 119_est. MEAT" xfId="22069" xr:uid="{00000000-0005-0000-0000-00000E230000}"/>
    <cellStyle name="60% - Akzent3 12" xfId="5675" xr:uid="{00000000-0005-0000-0000-00000F230000}"/>
    <cellStyle name="60% - Akzent3 12 2" xfId="5676" xr:uid="{00000000-0005-0000-0000-000010230000}"/>
    <cellStyle name="60% - Akzent3 12 2 2" xfId="15094" xr:uid="{00000000-0005-0000-0000-000011230000}"/>
    <cellStyle name="60% - Akzent3 12 2_est. MEAT" xfId="22070" xr:uid="{00000000-0005-0000-0000-000012230000}"/>
    <cellStyle name="60% - Akzent3 12 3" xfId="15093" xr:uid="{00000000-0005-0000-0000-000013230000}"/>
    <cellStyle name="60% - Akzent3 12_2012-2019" xfId="12270" xr:uid="{00000000-0005-0000-0000-000014230000}"/>
    <cellStyle name="60% - Akzent3 120" xfId="5677" xr:uid="{00000000-0005-0000-0000-000015230000}"/>
    <cellStyle name="60% - Akzent3 120 2" xfId="15095" xr:uid="{00000000-0005-0000-0000-000016230000}"/>
    <cellStyle name="60% - Akzent3 120_est. MEAT" xfId="22071" xr:uid="{00000000-0005-0000-0000-000017230000}"/>
    <cellStyle name="60% - Akzent3 121" xfId="5678" xr:uid="{00000000-0005-0000-0000-000018230000}"/>
    <cellStyle name="60% - Akzent3 121 2" xfId="15096" xr:uid="{00000000-0005-0000-0000-000019230000}"/>
    <cellStyle name="60% - Akzent3 121_est. MEAT" xfId="22072" xr:uid="{00000000-0005-0000-0000-00001A230000}"/>
    <cellStyle name="60% - Akzent3 122" xfId="5679" xr:uid="{00000000-0005-0000-0000-00001B230000}"/>
    <cellStyle name="60% - Akzent3 122 2" xfId="15097" xr:uid="{00000000-0005-0000-0000-00001C230000}"/>
    <cellStyle name="60% - Akzent3 122_est. MEAT" xfId="22073" xr:uid="{00000000-0005-0000-0000-00001D230000}"/>
    <cellStyle name="60% - Akzent3 123" xfId="5680" xr:uid="{00000000-0005-0000-0000-00001E230000}"/>
    <cellStyle name="60% - Akzent3 123 2" xfId="15098" xr:uid="{00000000-0005-0000-0000-00001F230000}"/>
    <cellStyle name="60% - Akzent3 123_est. MEAT" xfId="22074" xr:uid="{00000000-0005-0000-0000-000020230000}"/>
    <cellStyle name="60% - Akzent3 124" xfId="5681" xr:uid="{00000000-0005-0000-0000-000021230000}"/>
    <cellStyle name="60% - Akzent3 124 2" xfId="15099" xr:uid="{00000000-0005-0000-0000-000022230000}"/>
    <cellStyle name="60% - Akzent3 124_est. MEAT" xfId="22075" xr:uid="{00000000-0005-0000-0000-000023230000}"/>
    <cellStyle name="60% - Akzent3 125" xfId="5682" xr:uid="{00000000-0005-0000-0000-000024230000}"/>
    <cellStyle name="60% - Akzent3 125 2" xfId="15100" xr:uid="{00000000-0005-0000-0000-000025230000}"/>
    <cellStyle name="60% - Akzent3 125_est. MEAT" xfId="22076" xr:uid="{00000000-0005-0000-0000-000026230000}"/>
    <cellStyle name="60% - Akzent3 126" xfId="5683" xr:uid="{00000000-0005-0000-0000-000027230000}"/>
    <cellStyle name="60% - Akzent3 126 2" xfId="15101" xr:uid="{00000000-0005-0000-0000-000028230000}"/>
    <cellStyle name="60% - Akzent3 126_est. MEAT" xfId="22077" xr:uid="{00000000-0005-0000-0000-000029230000}"/>
    <cellStyle name="60% - Akzent3 127" xfId="5684" xr:uid="{00000000-0005-0000-0000-00002A230000}"/>
    <cellStyle name="60% - Akzent3 127 2" xfId="15102" xr:uid="{00000000-0005-0000-0000-00002B230000}"/>
    <cellStyle name="60% - Akzent3 127_est. MEAT" xfId="22078" xr:uid="{00000000-0005-0000-0000-00002C230000}"/>
    <cellStyle name="60% - Akzent3 128" xfId="5685" xr:uid="{00000000-0005-0000-0000-00002D230000}"/>
    <cellStyle name="60% - Akzent3 128 2" xfId="15103" xr:uid="{00000000-0005-0000-0000-00002E230000}"/>
    <cellStyle name="60% - Akzent3 128_est. MEAT" xfId="22079" xr:uid="{00000000-0005-0000-0000-00002F230000}"/>
    <cellStyle name="60% - Akzent3 129" xfId="5686" xr:uid="{00000000-0005-0000-0000-000030230000}"/>
    <cellStyle name="60% - Akzent3 129 2" xfId="15104" xr:uid="{00000000-0005-0000-0000-000031230000}"/>
    <cellStyle name="60% - Akzent3 129_est. MEAT" xfId="22080" xr:uid="{00000000-0005-0000-0000-000032230000}"/>
    <cellStyle name="60% - Akzent3 13" xfId="5687" xr:uid="{00000000-0005-0000-0000-000033230000}"/>
    <cellStyle name="60% - Akzent3 13 2" xfId="5688" xr:uid="{00000000-0005-0000-0000-000034230000}"/>
    <cellStyle name="60% - Akzent3 13 2 2" xfId="15106" xr:uid="{00000000-0005-0000-0000-000035230000}"/>
    <cellStyle name="60% - Akzent3 13 2_est. MEAT" xfId="22081" xr:uid="{00000000-0005-0000-0000-000036230000}"/>
    <cellStyle name="60% - Akzent3 13 3" xfId="15105" xr:uid="{00000000-0005-0000-0000-000037230000}"/>
    <cellStyle name="60% - Akzent3 13_2012-2019" xfId="12271" xr:uid="{00000000-0005-0000-0000-000038230000}"/>
    <cellStyle name="60% - Akzent3 130" xfId="5689" xr:uid="{00000000-0005-0000-0000-000039230000}"/>
    <cellStyle name="60% - Akzent3 130 2" xfId="15107" xr:uid="{00000000-0005-0000-0000-00003A230000}"/>
    <cellStyle name="60% - Akzent3 130_est. MEAT" xfId="22082" xr:uid="{00000000-0005-0000-0000-00003B230000}"/>
    <cellStyle name="60% - Akzent3 131" xfId="5690" xr:uid="{00000000-0005-0000-0000-00003C230000}"/>
    <cellStyle name="60% - Akzent3 131 2" xfId="15108" xr:uid="{00000000-0005-0000-0000-00003D230000}"/>
    <cellStyle name="60% - Akzent3 131_est. MEAT" xfId="22083" xr:uid="{00000000-0005-0000-0000-00003E230000}"/>
    <cellStyle name="60% - Akzent3 132" xfId="5691" xr:uid="{00000000-0005-0000-0000-00003F230000}"/>
    <cellStyle name="60% - Akzent3 132 2" xfId="15109" xr:uid="{00000000-0005-0000-0000-000040230000}"/>
    <cellStyle name="60% - Akzent3 132_est. MEAT" xfId="22084" xr:uid="{00000000-0005-0000-0000-000041230000}"/>
    <cellStyle name="60% - Akzent3 133" xfId="5692" xr:uid="{00000000-0005-0000-0000-000042230000}"/>
    <cellStyle name="60% - Akzent3 133 2" xfId="15110" xr:uid="{00000000-0005-0000-0000-000043230000}"/>
    <cellStyle name="60% - Akzent3 133_est. MEAT" xfId="22085" xr:uid="{00000000-0005-0000-0000-000044230000}"/>
    <cellStyle name="60% - Akzent3 134" xfId="5693" xr:uid="{00000000-0005-0000-0000-000045230000}"/>
    <cellStyle name="60% - Akzent3 134 2" xfId="15111" xr:uid="{00000000-0005-0000-0000-000046230000}"/>
    <cellStyle name="60% - Akzent3 134_est. MEAT" xfId="22086" xr:uid="{00000000-0005-0000-0000-000047230000}"/>
    <cellStyle name="60% - Akzent3 135" xfId="5694" xr:uid="{00000000-0005-0000-0000-000048230000}"/>
    <cellStyle name="60% - Akzent3 135 2" xfId="15112" xr:uid="{00000000-0005-0000-0000-000049230000}"/>
    <cellStyle name="60% - Akzent3 135_est. MEAT" xfId="22087" xr:uid="{00000000-0005-0000-0000-00004A230000}"/>
    <cellStyle name="60% - Akzent3 136" xfId="5695" xr:uid="{00000000-0005-0000-0000-00004B230000}"/>
    <cellStyle name="60% - Akzent3 136 2" xfId="15113" xr:uid="{00000000-0005-0000-0000-00004C230000}"/>
    <cellStyle name="60% - Akzent3 136_est. MEAT" xfId="22088" xr:uid="{00000000-0005-0000-0000-00004D230000}"/>
    <cellStyle name="60% - Akzent3 137" xfId="5696" xr:uid="{00000000-0005-0000-0000-00004E230000}"/>
    <cellStyle name="60% - Akzent3 137 2" xfId="15114" xr:uid="{00000000-0005-0000-0000-00004F230000}"/>
    <cellStyle name="60% - Akzent3 137_est. MEAT" xfId="22089" xr:uid="{00000000-0005-0000-0000-000050230000}"/>
    <cellStyle name="60% - Akzent3 138" xfId="5697" xr:uid="{00000000-0005-0000-0000-000051230000}"/>
    <cellStyle name="60% - Akzent3 138 2" xfId="15115" xr:uid="{00000000-0005-0000-0000-000052230000}"/>
    <cellStyle name="60% - Akzent3 138_est. MEAT" xfId="22090" xr:uid="{00000000-0005-0000-0000-000053230000}"/>
    <cellStyle name="60% - Akzent3 139" xfId="5698" xr:uid="{00000000-0005-0000-0000-000054230000}"/>
    <cellStyle name="60% - Akzent3 139 2" xfId="15116" xr:uid="{00000000-0005-0000-0000-000055230000}"/>
    <cellStyle name="60% - Akzent3 139_est. MEAT" xfId="22091" xr:uid="{00000000-0005-0000-0000-000056230000}"/>
    <cellStyle name="60% - Akzent3 14" xfId="5699" xr:uid="{00000000-0005-0000-0000-000057230000}"/>
    <cellStyle name="60% - Akzent3 14 2" xfId="5700" xr:uid="{00000000-0005-0000-0000-000058230000}"/>
    <cellStyle name="60% - Akzent3 14 2 2" xfId="15118" xr:uid="{00000000-0005-0000-0000-000059230000}"/>
    <cellStyle name="60% - Akzent3 14 2_est. MEAT" xfId="22092" xr:uid="{00000000-0005-0000-0000-00005A230000}"/>
    <cellStyle name="60% - Akzent3 14 3" xfId="15117" xr:uid="{00000000-0005-0000-0000-00005B230000}"/>
    <cellStyle name="60% - Akzent3 14_2012-2019" xfId="12272" xr:uid="{00000000-0005-0000-0000-00005C230000}"/>
    <cellStyle name="60% - Akzent3 140" xfId="5701" xr:uid="{00000000-0005-0000-0000-00005D230000}"/>
    <cellStyle name="60% - Akzent3 140 2" xfId="15119" xr:uid="{00000000-0005-0000-0000-00005E230000}"/>
    <cellStyle name="60% - Akzent3 140_est. MEAT" xfId="22093" xr:uid="{00000000-0005-0000-0000-00005F230000}"/>
    <cellStyle name="60% - Akzent3 141" xfId="5702" xr:uid="{00000000-0005-0000-0000-000060230000}"/>
    <cellStyle name="60% - Akzent3 141 2" xfId="15120" xr:uid="{00000000-0005-0000-0000-000061230000}"/>
    <cellStyle name="60% - Akzent3 141_est. MEAT" xfId="22094" xr:uid="{00000000-0005-0000-0000-000062230000}"/>
    <cellStyle name="60% - Akzent3 142" xfId="5703" xr:uid="{00000000-0005-0000-0000-000063230000}"/>
    <cellStyle name="60% - Akzent3 142 2" xfId="15121" xr:uid="{00000000-0005-0000-0000-000064230000}"/>
    <cellStyle name="60% - Akzent3 142_est. MEAT" xfId="22095" xr:uid="{00000000-0005-0000-0000-000065230000}"/>
    <cellStyle name="60% - Akzent3 143" xfId="5704" xr:uid="{00000000-0005-0000-0000-000066230000}"/>
    <cellStyle name="60% - Akzent3 143 2" xfId="15122" xr:uid="{00000000-0005-0000-0000-000067230000}"/>
    <cellStyle name="60% - Akzent3 143_est. MEAT" xfId="22096" xr:uid="{00000000-0005-0000-0000-000068230000}"/>
    <cellStyle name="60% - Akzent3 144" xfId="5705" xr:uid="{00000000-0005-0000-0000-000069230000}"/>
    <cellStyle name="60% - Akzent3 144 2" xfId="15123" xr:uid="{00000000-0005-0000-0000-00006A230000}"/>
    <cellStyle name="60% - Akzent3 144_est. MEAT" xfId="22097" xr:uid="{00000000-0005-0000-0000-00006B230000}"/>
    <cellStyle name="60% - Akzent3 145" xfId="5706" xr:uid="{00000000-0005-0000-0000-00006C230000}"/>
    <cellStyle name="60% - Akzent3 145 2" xfId="15124" xr:uid="{00000000-0005-0000-0000-00006D230000}"/>
    <cellStyle name="60% - Akzent3 145_est. MEAT" xfId="22098" xr:uid="{00000000-0005-0000-0000-00006E230000}"/>
    <cellStyle name="60% - Akzent3 146" xfId="5707" xr:uid="{00000000-0005-0000-0000-00006F230000}"/>
    <cellStyle name="60% - Akzent3 146 2" xfId="15125" xr:uid="{00000000-0005-0000-0000-000070230000}"/>
    <cellStyle name="60% - Akzent3 146_est. MEAT" xfId="22099" xr:uid="{00000000-0005-0000-0000-000071230000}"/>
    <cellStyle name="60% - Akzent3 147" xfId="5708" xr:uid="{00000000-0005-0000-0000-000072230000}"/>
    <cellStyle name="60% - Akzent3 147 2" xfId="15126" xr:uid="{00000000-0005-0000-0000-000073230000}"/>
    <cellStyle name="60% - Akzent3 147_est. MEAT" xfId="22100" xr:uid="{00000000-0005-0000-0000-000074230000}"/>
    <cellStyle name="60% - Akzent3 148" xfId="5709" xr:uid="{00000000-0005-0000-0000-000075230000}"/>
    <cellStyle name="60% - Akzent3 148 2" xfId="15127" xr:uid="{00000000-0005-0000-0000-000076230000}"/>
    <cellStyle name="60% - Akzent3 148_est. MEAT" xfId="22101" xr:uid="{00000000-0005-0000-0000-000077230000}"/>
    <cellStyle name="60% - Akzent3 149" xfId="5710" xr:uid="{00000000-0005-0000-0000-000078230000}"/>
    <cellStyle name="60% - Akzent3 149 2" xfId="15128" xr:uid="{00000000-0005-0000-0000-000079230000}"/>
    <cellStyle name="60% - Akzent3 149_est. MEAT" xfId="22102" xr:uid="{00000000-0005-0000-0000-00007A230000}"/>
    <cellStyle name="60% - Akzent3 15" xfId="5711" xr:uid="{00000000-0005-0000-0000-00007B230000}"/>
    <cellStyle name="60% - Akzent3 15 2" xfId="15129" xr:uid="{00000000-0005-0000-0000-00007C230000}"/>
    <cellStyle name="60% - Akzent3 15_est. MEAT" xfId="22103" xr:uid="{00000000-0005-0000-0000-00007D230000}"/>
    <cellStyle name="60% - Akzent3 150" xfId="5712" xr:uid="{00000000-0005-0000-0000-00007E230000}"/>
    <cellStyle name="60% - Akzent3 150 2" xfId="15130" xr:uid="{00000000-0005-0000-0000-00007F230000}"/>
    <cellStyle name="60% - Akzent3 150_est. MEAT" xfId="22104" xr:uid="{00000000-0005-0000-0000-000080230000}"/>
    <cellStyle name="60% - Akzent3 151" xfId="5713" xr:uid="{00000000-0005-0000-0000-000081230000}"/>
    <cellStyle name="60% - Akzent3 151 2" xfId="15131" xr:uid="{00000000-0005-0000-0000-000082230000}"/>
    <cellStyle name="60% - Akzent3 151_est. MEAT" xfId="22105" xr:uid="{00000000-0005-0000-0000-000083230000}"/>
    <cellStyle name="60% - Akzent3 16" xfId="5714" xr:uid="{00000000-0005-0000-0000-000084230000}"/>
    <cellStyle name="60% - Akzent3 16 2" xfId="15132" xr:uid="{00000000-0005-0000-0000-000085230000}"/>
    <cellStyle name="60% - Akzent3 16_est. MEAT" xfId="22106" xr:uid="{00000000-0005-0000-0000-000086230000}"/>
    <cellStyle name="60% - Akzent3 17" xfId="5715" xr:uid="{00000000-0005-0000-0000-000087230000}"/>
    <cellStyle name="60% - Akzent3 17 2" xfId="15133" xr:uid="{00000000-0005-0000-0000-000088230000}"/>
    <cellStyle name="60% - Akzent3 17_est. MEAT" xfId="22107" xr:uid="{00000000-0005-0000-0000-000089230000}"/>
    <cellStyle name="60% - Akzent3 18" xfId="5716" xr:uid="{00000000-0005-0000-0000-00008A230000}"/>
    <cellStyle name="60% - Akzent3 18 2" xfId="15134" xr:uid="{00000000-0005-0000-0000-00008B230000}"/>
    <cellStyle name="60% - Akzent3 18_est. MEAT" xfId="22108" xr:uid="{00000000-0005-0000-0000-00008C230000}"/>
    <cellStyle name="60% - Akzent3 19" xfId="5717" xr:uid="{00000000-0005-0000-0000-00008D230000}"/>
    <cellStyle name="60% - Akzent3 19 2" xfId="15135" xr:uid="{00000000-0005-0000-0000-00008E230000}"/>
    <cellStyle name="60% - Akzent3 19_est. MEAT" xfId="22109" xr:uid="{00000000-0005-0000-0000-00008F230000}"/>
    <cellStyle name="60% - Akzent3 2" xfId="5718" xr:uid="{00000000-0005-0000-0000-000090230000}"/>
    <cellStyle name="60% - Akzent3 2 2" xfId="5719" xr:uid="{00000000-0005-0000-0000-000091230000}"/>
    <cellStyle name="60% - Akzent3 2 2 2" xfId="15137" xr:uid="{00000000-0005-0000-0000-000092230000}"/>
    <cellStyle name="60% - Akzent3 2 2_est. MEAT" xfId="22110" xr:uid="{00000000-0005-0000-0000-000093230000}"/>
    <cellStyle name="60% - Akzent3 2 3" xfId="15136" xr:uid="{00000000-0005-0000-0000-000094230000}"/>
    <cellStyle name="60% - Akzent3 2_2012-2019" xfId="12273" xr:uid="{00000000-0005-0000-0000-000095230000}"/>
    <cellStyle name="60% - Akzent3 20" xfId="5720" xr:uid="{00000000-0005-0000-0000-000096230000}"/>
    <cellStyle name="60% - Akzent3 20 2" xfId="15138" xr:uid="{00000000-0005-0000-0000-000097230000}"/>
    <cellStyle name="60% - Akzent3 20_est. MEAT" xfId="22111" xr:uid="{00000000-0005-0000-0000-000098230000}"/>
    <cellStyle name="60% - Akzent3 21" xfId="5721" xr:uid="{00000000-0005-0000-0000-000099230000}"/>
    <cellStyle name="60% - Akzent3 21 2" xfId="15139" xr:uid="{00000000-0005-0000-0000-00009A230000}"/>
    <cellStyle name="60% - Akzent3 21_est. MEAT" xfId="22112" xr:uid="{00000000-0005-0000-0000-00009B230000}"/>
    <cellStyle name="60% - Akzent3 22" xfId="5722" xr:uid="{00000000-0005-0000-0000-00009C230000}"/>
    <cellStyle name="60% - Akzent3 22 2" xfId="15140" xr:uid="{00000000-0005-0000-0000-00009D230000}"/>
    <cellStyle name="60% - Akzent3 22_est. MEAT" xfId="22113" xr:uid="{00000000-0005-0000-0000-00009E230000}"/>
    <cellStyle name="60% - Akzent3 23" xfId="5723" xr:uid="{00000000-0005-0000-0000-00009F230000}"/>
    <cellStyle name="60% - Akzent3 23 2" xfId="15141" xr:uid="{00000000-0005-0000-0000-0000A0230000}"/>
    <cellStyle name="60% - Akzent3 23_est. MEAT" xfId="22114" xr:uid="{00000000-0005-0000-0000-0000A1230000}"/>
    <cellStyle name="60% - Akzent3 24" xfId="5724" xr:uid="{00000000-0005-0000-0000-0000A2230000}"/>
    <cellStyle name="60% - Akzent3 24 2" xfId="15142" xr:uid="{00000000-0005-0000-0000-0000A3230000}"/>
    <cellStyle name="60% - Akzent3 24_est. MEAT" xfId="22115" xr:uid="{00000000-0005-0000-0000-0000A4230000}"/>
    <cellStyle name="60% - Akzent3 25" xfId="5725" xr:uid="{00000000-0005-0000-0000-0000A5230000}"/>
    <cellStyle name="60% - Akzent3 25 2" xfId="15143" xr:uid="{00000000-0005-0000-0000-0000A6230000}"/>
    <cellStyle name="60% - Akzent3 25_est. MEAT" xfId="22116" xr:uid="{00000000-0005-0000-0000-0000A7230000}"/>
    <cellStyle name="60% - Akzent3 26" xfId="5726" xr:uid="{00000000-0005-0000-0000-0000A8230000}"/>
    <cellStyle name="60% - Akzent3 26 2" xfId="15144" xr:uid="{00000000-0005-0000-0000-0000A9230000}"/>
    <cellStyle name="60% - Akzent3 26_est. MEAT" xfId="22117" xr:uid="{00000000-0005-0000-0000-0000AA230000}"/>
    <cellStyle name="60% - Akzent3 27" xfId="5727" xr:uid="{00000000-0005-0000-0000-0000AB230000}"/>
    <cellStyle name="60% - Akzent3 27 2" xfId="15145" xr:uid="{00000000-0005-0000-0000-0000AC230000}"/>
    <cellStyle name="60% - Akzent3 27_est. MEAT" xfId="22118" xr:uid="{00000000-0005-0000-0000-0000AD230000}"/>
    <cellStyle name="60% - Akzent3 28" xfId="5728" xr:uid="{00000000-0005-0000-0000-0000AE230000}"/>
    <cellStyle name="60% - Akzent3 28 2" xfId="15146" xr:uid="{00000000-0005-0000-0000-0000AF230000}"/>
    <cellStyle name="60% - Akzent3 28_est. MEAT" xfId="22119" xr:uid="{00000000-0005-0000-0000-0000B0230000}"/>
    <cellStyle name="60% - Akzent3 29" xfId="5729" xr:uid="{00000000-0005-0000-0000-0000B1230000}"/>
    <cellStyle name="60% - Akzent3 29 2" xfId="15147" xr:uid="{00000000-0005-0000-0000-0000B2230000}"/>
    <cellStyle name="60% - Akzent3 29_est. MEAT" xfId="22120" xr:uid="{00000000-0005-0000-0000-0000B3230000}"/>
    <cellStyle name="60% - Akzent3 3" xfId="5730" xr:uid="{00000000-0005-0000-0000-0000B4230000}"/>
    <cellStyle name="60% - Akzent3 3 2" xfId="5731" xr:uid="{00000000-0005-0000-0000-0000B5230000}"/>
    <cellStyle name="60% - Akzent3 3 2 2" xfId="15149" xr:uid="{00000000-0005-0000-0000-0000B6230000}"/>
    <cellStyle name="60% - Akzent3 3 2_est. MEAT" xfId="22121" xr:uid="{00000000-0005-0000-0000-0000B7230000}"/>
    <cellStyle name="60% - Akzent3 3 3" xfId="15148" xr:uid="{00000000-0005-0000-0000-0000B8230000}"/>
    <cellStyle name="60% - Akzent3 3_2012-2019" xfId="12274" xr:uid="{00000000-0005-0000-0000-0000B9230000}"/>
    <cellStyle name="60% - Akzent3 30" xfId="5732" xr:uid="{00000000-0005-0000-0000-0000BA230000}"/>
    <cellStyle name="60% - Akzent3 30 2" xfId="15150" xr:uid="{00000000-0005-0000-0000-0000BB230000}"/>
    <cellStyle name="60% - Akzent3 30_est. MEAT" xfId="22122" xr:uid="{00000000-0005-0000-0000-0000BC230000}"/>
    <cellStyle name="60% - Akzent3 31" xfId="5733" xr:uid="{00000000-0005-0000-0000-0000BD230000}"/>
    <cellStyle name="60% - Akzent3 31 2" xfId="15151" xr:uid="{00000000-0005-0000-0000-0000BE230000}"/>
    <cellStyle name="60% - Akzent3 31_est. MEAT" xfId="22123" xr:uid="{00000000-0005-0000-0000-0000BF230000}"/>
    <cellStyle name="60% - Akzent3 32" xfId="5734" xr:uid="{00000000-0005-0000-0000-0000C0230000}"/>
    <cellStyle name="60% - Akzent3 32 2" xfId="15152" xr:uid="{00000000-0005-0000-0000-0000C1230000}"/>
    <cellStyle name="60% - Akzent3 32_est. MEAT" xfId="22124" xr:uid="{00000000-0005-0000-0000-0000C2230000}"/>
    <cellStyle name="60% - Akzent3 33" xfId="5735" xr:uid="{00000000-0005-0000-0000-0000C3230000}"/>
    <cellStyle name="60% - Akzent3 33 2" xfId="15153" xr:uid="{00000000-0005-0000-0000-0000C4230000}"/>
    <cellStyle name="60% - Akzent3 33_est. MEAT" xfId="22125" xr:uid="{00000000-0005-0000-0000-0000C5230000}"/>
    <cellStyle name="60% - Akzent3 34" xfId="5736" xr:uid="{00000000-0005-0000-0000-0000C6230000}"/>
    <cellStyle name="60% - Akzent3 34 2" xfId="15154" xr:uid="{00000000-0005-0000-0000-0000C7230000}"/>
    <cellStyle name="60% - Akzent3 34_est. MEAT" xfId="22126" xr:uid="{00000000-0005-0000-0000-0000C8230000}"/>
    <cellStyle name="60% - Akzent3 35" xfId="5737" xr:uid="{00000000-0005-0000-0000-0000C9230000}"/>
    <cellStyle name="60% - Akzent3 35 2" xfId="15155" xr:uid="{00000000-0005-0000-0000-0000CA230000}"/>
    <cellStyle name="60% - Akzent3 35_est. MEAT" xfId="22127" xr:uid="{00000000-0005-0000-0000-0000CB230000}"/>
    <cellStyle name="60% - Akzent3 36" xfId="5738" xr:uid="{00000000-0005-0000-0000-0000CC230000}"/>
    <cellStyle name="60% - Akzent3 36 2" xfId="15156" xr:uid="{00000000-0005-0000-0000-0000CD230000}"/>
    <cellStyle name="60% - Akzent3 36_est. MEAT" xfId="22128" xr:uid="{00000000-0005-0000-0000-0000CE230000}"/>
    <cellStyle name="60% - Akzent3 37" xfId="5739" xr:uid="{00000000-0005-0000-0000-0000CF230000}"/>
    <cellStyle name="60% - Akzent3 37 2" xfId="15157" xr:uid="{00000000-0005-0000-0000-0000D0230000}"/>
    <cellStyle name="60% - Akzent3 37_est. MEAT" xfId="22129" xr:uid="{00000000-0005-0000-0000-0000D1230000}"/>
    <cellStyle name="60% - Akzent3 38" xfId="5740" xr:uid="{00000000-0005-0000-0000-0000D2230000}"/>
    <cellStyle name="60% - Akzent3 38 2" xfId="15158" xr:uid="{00000000-0005-0000-0000-0000D3230000}"/>
    <cellStyle name="60% - Akzent3 38_est. MEAT" xfId="22130" xr:uid="{00000000-0005-0000-0000-0000D4230000}"/>
    <cellStyle name="60% - Akzent3 39" xfId="5741" xr:uid="{00000000-0005-0000-0000-0000D5230000}"/>
    <cellStyle name="60% - Akzent3 39 2" xfId="15159" xr:uid="{00000000-0005-0000-0000-0000D6230000}"/>
    <cellStyle name="60% - Akzent3 39_est. MEAT" xfId="22131" xr:uid="{00000000-0005-0000-0000-0000D7230000}"/>
    <cellStyle name="60% - Akzent3 4" xfId="5742" xr:uid="{00000000-0005-0000-0000-0000D8230000}"/>
    <cellStyle name="60% - Akzent3 4 2" xfId="5743" xr:uid="{00000000-0005-0000-0000-0000D9230000}"/>
    <cellStyle name="60% - Akzent3 4 2 2" xfId="15161" xr:uid="{00000000-0005-0000-0000-0000DA230000}"/>
    <cellStyle name="60% - Akzent3 4 2_est. MEAT" xfId="22132" xr:uid="{00000000-0005-0000-0000-0000DB230000}"/>
    <cellStyle name="60% - Akzent3 4 3" xfId="15160" xr:uid="{00000000-0005-0000-0000-0000DC230000}"/>
    <cellStyle name="60% - Akzent3 4_2012-2019" xfId="12275" xr:uid="{00000000-0005-0000-0000-0000DD230000}"/>
    <cellStyle name="60% - Akzent3 40" xfId="5744" xr:uid="{00000000-0005-0000-0000-0000DE230000}"/>
    <cellStyle name="60% - Akzent3 40 2" xfId="15162" xr:uid="{00000000-0005-0000-0000-0000DF230000}"/>
    <cellStyle name="60% - Akzent3 40_est. MEAT" xfId="22133" xr:uid="{00000000-0005-0000-0000-0000E0230000}"/>
    <cellStyle name="60% - Akzent3 41" xfId="5745" xr:uid="{00000000-0005-0000-0000-0000E1230000}"/>
    <cellStyle name="60% - Akzent3 41 2" xfId="15163" xr:uid="{00000000-0005-0000-0000-0000E2230000}"/>
    <cellStyle name="60% - Akzent3 41_est. MEAT" xfId="22134" xr:uid="{00000000-0005-0000-0000-0000E3230000}"/>
    <cellStyle name="60% - Akzent3 42" xfId="5746" xr:uid="{00000000-0005-0000-0000-0000E4230000}"/>
    <cellStyle name="60% - Akzent3 42 2" xfId="15164" xr:uid="{00000000-0005-0000-0000-0000E5230000}"/>
    <cellStyle name="60% - Akzent3 42_est. MEAT" xfId="22135" xr:uid="{00000000-0005-0000-0000-0000E6230000}"/>
    <cellStyle name="60% - Akzent3 43" xfId="5747" xr:uid="{00000000-0005-0000-0000-0000E7230000}"/>
    <cellStyle name="60% - Akzent3 43 2" xfId="15165" xr:uid="{00000000-0005-0000-0000-0000E8230000}"/>
    <cellStyle name="60% - Akzent3 43_est. MEAT" xfId="22136" xr:uid="{00000000-0005-0000-0000-0000E9230000}"/>
    <cellStyle name="60% - Akzent3 44" xfId="5748" xr:uid="{00000000-0005-0000-0000-0000EA230000}"/>
    <cellStyle name="60% - Akzent3 44 2" xfId="15166" xr:uid="{00000000-0005-0000-0000-0000EB230000}"/>
    <cellStyle name="60% - Akzent3 44_est. MEAT" xfId="22137" xr:uid="{00000000-0005-0000-0000-0000EC230000}"/>
    <cellStyle name="60% - Akzent3 45" xfId="5749" xr:uid="{00000000-0005-0000-0000-0000ED230000}"/>
    <cellStyle name="60% - Akzent3 45 2" xfId="15167" xr:uid="{00000000-0005-0000-0000-0000EE230000}"/>
    <cellStyle name="60% - Akzent3 45_est. MEAT" xfId="22138" xr:uid="{00000000-0005-0000-0000-0000EF230000}"/>
    <cellStyle name="60% - Akzent3 46" xfId="5750" xr:uid="{00000000-0005-0000-0000-0000F0230000}"/>
    <cellStyle name="60% - Akzent3 46 2" xfId="15168" xr:uid="{00000000-0005-0000-0000-0000F1230000}"/>
    <cellStyle name="60% - Akzent3 46_est. MEAT" xfId="22139" xr:uid="{00000000-0005-0000-0000-0000F2230000}"/>
    <cellStyle name="60% - Akzent3 47" xfId="5751" xr:uid="{00000000-0005-0000-0000-0000F3230000}"/>
    <cellStyle name="60% - Akzent3 47 2" xfId="15169" xr:uid="{00000000-0005-0000-0000-0000F4230000}"/>
    <cellStyle name="60% - Akzent3 47_est. MEAT" xfId="22140" xr:uid="{00000000-0005-0000-0000-0000F5230000}"/>
    <cellStyle name="60% - Akzent3 48" xfId="5752" xr:uid="{00000000-0005-0000-0000-0000F6230000}"/>
    <cellStyle name="60% - Akzent3 48 2" xfId="15170" xr:uid="{00000000-0005-0000-0000-0000F7230000}"/>
    <cellStyle name="60% - Akzent3 48_est. MEAT" xfId="22141" xr:uid="{00000000-0005-0000-0000-0000F8230000}"/>
    <cellStyle name="60% - Akzent3 49" xfId="5753" xr:uid="{00000000-0005-0000-0000-0000F9230000}"/>
    <cellStyle name="60% - Akzent3 49 2" xfId="15171" xr:uid="{00000000-0005-0000-0000-0000FA230000}"/>
    <cellStyle name="60% - Akzent3 49_est. MEAT" xfId="22142" xr:uid="{00000000-0005-0000-0000-0000FB230000}"/>
    <cellStyle name="60% - Akzent3 5" xfId="5754" xr:uid="{00000000-0005-0000-0000-0000FC230000}"/>
    <cellStyle name="60% - Akzent3 5 2" xfId="5755" xr:uid="{00000000-0005-0000-0000-0000FD230000}"/>
    <cellStyle name="60% - Akzent3 5 2 2" xfId="15173" xr:uid="{00000000-0005-0000-0000-0000FE230000}"/>
    <cellStyle name="60% - Akzent3 5 2_est. MEAT" xfId="22143" xr:uid="{00000000-0005-0000-0000-0000FF230000}"/>
    <cellStyle name="60% - Akzent3 5 3" xfId="15172" xr:uid="{00000000-0005-0000-0000-000000240000}"/>
    <cellStyle name="60% - Akzent3 5_2012-2019" xfId="12276" xr:uid="{00000000-0005-0000-0000-000001240000}"/>
    <cellStyle name="60% - Akzent3 50" xfId="5756" xr:uid="{00000000-0005-0000-0000-000002240000}"/>
    <cellStyle name="60% - Akzent3 50 2" xfId="15174" xr:uid="{00000000-0005-0000-0000-000003240000}"/>
    <cellStyle name="60% - Akzent3 50_est. MEAT" xfId="22144" xr:uid="{00000000-0005-0000-0000-000004240000}"/>
    <cellStyle name="60% - Akzent3 51" xfId="5757" xr:uid="{00000000-0005-0000-0000-000005240000}"/>
    <cellStyle name="60% - Akzent3 51 2" xfId="15175" xr:uid="{00000000-0005-0000-0000-000006240000}"/>
    <cellStyle name="60% - Akzent3 51_est. MEAT" xfId="22145" xr:uid="{00000000-0005-0000-0000-000007240000}"/>
    <cellStyle name="60% - Akzent3 52" xfId="5758" xr:uid="{00000000-0005-0000-0000-000008240000}"/>
    <cellStyle name="60% - Akzent3 52 2" xfId="15176" xr:uid="{00000000-0005-0000-0000-000009240000}"/>
    <cellStyle name="60% - Akzent3 52_est. MEAT" xfId="22146" xr:uid="{00000000-0005-0000-0000-00000A240000}"/>
    <cellStyle name="60% - Akzent3 53" xfId="5759" xr:uid="{00000000-0005-0000-0000-00000B240000}"/>
    <cellStyle name="60% - Akzent3 53 2" xfId="15177" xr:uid="{00000000-0005-0000-0000-00000C240000}"/>
    <cellStyle name="60% - Akzent3 53_est. MEAT" xfId="22147" xr:uid="{00000000-0005-0000-0000-00000D240000}"/>
    <cellStyle name="60% - Akzent3 54" xfId="5760" xr:uid="{00000000-0005-0000-0000-00000E240000}"/>
    <cellStyle name="60% - Akzent3 54 2" xfId="15178" xr:uid="{00000000-0005-0000-0000-00000F240000}"/>
    <cellStyle name="60% - Akzent3 54_est. MEAT" xfId="22148" xr:uid="{00000000-0005-0000-0000-000010240000}"/>
    <cellStyle name="60% - Akzent3 55" xfId="5761" xr:uid="{00000000-0005-0000-0000-000011240000}"/>
    <cellStyle name="60% - Akzent3 55 2" xfId="15179" xr:uid="{00000000-0005-0000-0000-000012240000}"/>
    <cellStyle name="60% - Akzent3 55_est. MEAT" xfId="22149" xr:uid="{00000000-0005-0000-0000-000013240000}"/>
    <cellStyle name="60% - Akzent3 56" xfId="5762" xr:uid="{00000000-0005-0000-0000-000014240000}"/>
    <cellStyle name="60% - Akzent3 56 2" xfId="15180" xr:uid="{00000000-0005-0000-0000-000015240000}"/>
    <cellStyle name="60% - Akzent3 56_est. MEAT" xfId="22150" xr:uid="{00000000-0005-0000-0000-000016240000}"/>
    <cellStyle name="60% - Akzent3 57" xfId="5763" xr:uid="{00000000-0005-0000-0000-000017240000}"/>
    <cellStyle name="60% - Akzent3 57 2" xfId="15181" xr:uid="{00000000-0005-0000-0000-000018240000}"/>
    <cellStyle name="60% - Akzent3 57_est. MEAT" xfId="22151" xr:uid="{00000000-0005-0000-0000-000019240000}"/>
    <cellStyle name="60% - Akzent3 58" xfId="5764" xr:uid="{00000000-0005-0000-0000-00001A240000}"/>
    <cellStyle name="60% - Akzent3 58 2" xfId="15182" xr:uid="{00000000-0005-0000-0000-00001B240000}"/>
    <cellStyle name="60% - Akzent3 58_est. MEAT" xfId="22152" xr:uid="{00000000-0005-0000-0000-00001C240000}"/>
    <cellStyle name="60% - Akzent3 59" xfId="5765" xr:uid="{00000000-0005-0000-0000-00001D240000}"/>
    <cellStyle name="60% - Akzent3 59 2" xfId="15183" xr:uid="{00000000-0005-0000-0000-00001E240000}"/>
    <cellStyle name="60% - Akzent3 59_est. MEAT" xfId="22153" xr:uid="{00000000-0005-0000-0000-00001F240000}"/>
    <cellStyle name="60% - Akzent3 6" xfId="5766" xr:uid="{00000000-0005-0000-0000-000020240000}"/>
    <cellStyle name="60% - Akzent3 6 2" xfId="5767" xr:uid="{00000000-0005-0000-0000-000021240000}"/>
    <cellStyle name="60% - Akzent3 6 2 2" xfId="15185" xr:uid="{00000000-0005-0000-0000-000022240000}"/>
    <cellStyle name="60% - Akzent3 6 2_est. MEAT" xfId="22154" xr:uid="{00000000-0005-0000-0000-000023240000}"/>
    <cellStyle name="60% - Akzent3 6 3" xfId="15184" xr:uid="{00000000-0005-0000-0000-000024240000}"/>
    <cellStyle name="60% - Akzent3 6_2012-2019" xfId="12277" xr:uid="{00000000-0005-0000-0000-000025240000}"/>
    <cellStyle name="60% - Akzent3 60" xfId="5768" xr:uid="{00000000-0005-0000-0000-000026240000}"/>
    <cellStyle name="60% - Akzent3 60 2" xfId="15186" xr:uid="{00000000-0005-0000-0000-000027240000}"/>
    <cellStyle name="60% - Akzent3 60_est. MEAT" xfId="22155" xr:uid="{00000000-0005-0000-0000-000028240000}"/>
    <cellStyle name="60% - Akzent3 61" xfId="5769" xr:uid="{00000000-0005-0000-0000-000029240000}"/>
    <cellStyle name="60% - Akzent3 61 2" xfId="15187" xr:uid="{00000000-0005-0000-0000-00002A240000}"/>
    <cellStyle name="60% - Akzent3 61_est. MEAT" xfId="22156" xr:uid="{00000000-0005-0000-0000-00002B240000}"/>
    <cellStyle name="60% - Akzent3 62" xfId="5770" xr:uid="{00000000-0005-0000-0000-00002C240000}"/>
    <cellStyle name="60% - Akzent3 62 2" xfId="15188" xr:uid="{00000000-0005-0000-0000-00002D240000}"/>
    <cellStyle name="60% - Akzent3 62_est. MEAT" xfId="22157" xr:uid="{00000000-0005-0000-0000-00002E240000}"/>
    <cellStyle name="60% - Akzent3 63" xfId="5771" xr:uid="{00000000-0005-0000-0000-00002F240000}"/>
    <cellStyle name="60% - Akzent3 63 2" xfId="15189" xr:uid="{00000000-0005-0000-0000-000030240000}"/>
    <cellStyle name="60% - Akzent3 63_est. MEAT" xfId="22158" xr:uid="{00000000-0005-0000-0000-000031240000}"/>
    <cellStyle name="60% - Akzent3 64" xfId="5772" xr:uid="{00000000-0005-0000-0000-000032240000}"/>
    <cellStyle name="60% - Akzent3 64 2" xfId="15190" xr:uid="{00000000-0005-0000-0000-000033240000}"/>
    <cellStyle name="60% - Akzent3 64_est. MEAT" xfId="22159" xr:uid="{00000000-0005-0000-0000-000034240000}"/>
    <cellStyle name="60% - Akzent3 65" xfId="5773" xr:uid="{00000000-0005-0000-0000-000035240000}"/>
    <cellStyle name="60% - Akzent3 65 2" xfId="15191" xr:uid="{00000000-0005-0000-0000-000036240000}"/>
    <cellStyle name="60% - Akzent3 65_est. MEAT" xfId="22160" xr:uid="{00000000-0005-0000-0000-000037240000}"/>
    <cellStyle name="60% - Akzent3 66" xfId="5774" xr:uid="{00000000-0005-0000-0000-000038240000}"/>
    <cellStyle name="60% - Akzent3 66 2" xfId="15192" xr:uid="{00000000-0005-0000-0000-000039240000}"/>
    <cellStyle name="60% - Akzent3 66_est. MEAT" xfId="22161" xr:uid="{00000000-0005-0000-0000-00003A240000}"/>
    <cellStyle name="60% - Akzent3 67" xfId="5775" xr:uid="{00000000-0005-0000-0000-00003B240000}"/>
    <cellStyle name="60% - Akzent3 67 2" xfId="15193" xr:uid="{00000000-0005-0000-0000-00003C240000}"/>
    <cellStyle name="60% - Akzent3 67_est. MEAT" xfId="22162" xr:uid="{00000000-0005-0000-0000-00003D240000}"/>
    <cellStyle name="60% - Akzent3 68" xfId="5776" xr:uid="{00000000-0005-0000-0000-00003E240000}"/>
    <cellStyle name="60% - Akzent3 68 2" xfId="15194" xr:uid="{00000000-0005-0000-0000-00003F240000}"/>
    <cellStyle name="60% - Akzent3 68_est. MEAT" xfId="22163" xr:uid="{00000000-0005-0000-0000-000040240000}"/>
    <cellStyle name="60% - Akzent3 69" xfId="5777" xr:uid="{00000000-0005-0000-0000-000041240000}"/>
    <cellStyle name="60% - Akzent3 69 2" xfId="15195" xr:uid="{00000000-0005-0000-0000-000042240000}"/>
    <cellStyle name="60% - Akzent3 69_est. MEAT" xfId="22164" xr:uid="{00000000-0005-0000-0000-000043240000}"/>
    <cellStyle name="60% - Akzent3 7" xfId="5778" xr:uid="{00000000-0005-0000-0000-000044240000}"/>
    <cellStyle name="60% - Akzent3 7 2" xfId="5779" xr:uid="{00000000-0005-0000-0000-000045240000}"/>
    <cellStyle name="60% - Akzent3 7 2 2" xfId="15197" xr:uid="{00000000-0005-0000-0000-000046240000}"/>
    <cellStyle name="60% - Akzent3 7 2_est. MEAT" xfId="22165" xr:uid="{00000000-0005-0000-0000-000047240000}"/>
    <cellStyle name="60% - Akzent3 7 3" xfId="15196" xr:uid="{00000000-0005-0000-0000-000048240000}"/>
    <cellStyle name="60% - Akzent3 7_2012-2019" xfId="12278" xr:uid="{00000000-0005-0000-0000-000049240000}"/>
    <cellStyle name="60% - Akzent3 70" xfId="5780" xr:uid="{00000000-0005-0000-0000-00004A240000}"/>
    <cellStyle name="60% - Akzent3 70 2" xfId="15198" xr:uid="{00000000-0005-0000-0000-00004B240000}"/>
    <cellStyle name="60% - Akzent3 70_est. MEAT" xfId="22166" xr:uid="{00000000-0005-0000-0000-00004C240000}"/>
    <cellStyle name="60% - Akzent3 71" xfId="5781" xr:uid="{00000000-0005-0000-0000-00004D240000}"/>
    <cellStyle name="60% - Akzent3 71 2" xfId="15199" xr:uid="{00000000-0005-0000-0000-00004E240000}"/>
    <cellStyle name="60% - Akzent3 71_est. MEAT" xfId="22167" xr:uid="{00000000-0005-0000-0000-00004F240000}"/>
    <cellStyle name="60% - Akzent3 72" xfId="5782" xr:uid="{00000000-0005-0000-0000-000050240000}"/>
    <cellStyle name="60% - Akzent3 72 2" xfId="15200" xr:uid="{00000000-0005-0000-0000-000051240000}"/>
    <cellStyle name="60% - Akzent3 72_est. MEAT" xfId="22168" xr:uid="{00000000-0005-0000-0000-000052240000}"/>
    <cellStyle name="60% - Akzent3 73" xfId="5783" xr:uid="{00000000-0005-0000-0000-000053240000}"/>
    <cellStyle name="60% - Akzent3 73 2" xfId="15201" xr:uid="{00000000-0005-0000-0000-000054240000}"/>
    <cellStyle name="60% - Akzent3 73_est. MEAT" xfId="22169" xr:uid="{00000000-0005-0000-0000-000055240000}"/>
    <cellStyle name="60% - Akzent3 74" xfId="5784" xr:uid="{00000000-0005-0000-0000-000056240000}"/>
    <cellStyle name="60% - Akzent3 74 2" xfId="15202" xr:uid="{00000000-0005-0000-0000-000057240000}"/>
    <cellStyle name="60% - Akzent3 74_est. MEAT" xfId="22170" xr:uid="{00000000-0005-0000-0000-000058240000}"/>
    <cellStyle name="60% - Akzent3 75" xfId="5785" xr:uid="{00000000-0005-0000-0000-000059240000}"/>
    <cellStyle name="60% - Akzent3 75 2" xfId="15203" xr:uid="{00000000-0005-0000-0000-00005A240000}"/>
    <cellStyle name="60% - Akzent3 75_est. MEAT" xfId="22171" xr:uid="{00000000-0005-0000-0000-00005B240000}"/>
    <cellStyle name="60% - Akzent3 76" xfId="5786" xr:uid="{00000000-0005-0000-0000-00005C240000}"/>
    <cellStyle name="60% - Akzent3 76 2" xfId="15204" xr:uid="{00000000-0005-0000-0000-00005D240000}"/>
    <cellStyle name="60% - Akzent3 76_est. MEAT" xfId="22172" xr:uid="{00000000-0005-0000-0000-00005E240000}"/>
    <cellStyle name="60% - Akzent3 77" xfId="5787" xr:uid="{00000000-0005-0000-0000-00005F240000}"/>
    <cellStyle name="60% - Akzent3 77 2" xfId="15205" xr:uid="{00000000-0005-0000-0000-000060240000}"/>
    <cellStyle name="60% - Akzent3 77_est. MEAT" xfId="22173" xr:uid="{00000000-0005-0000-0000-000061240000}"/>
    <cellStyle name="60% - Akzent3 78" xfId="5788" xr:uid="{00000000-0005-0000-0000-000062240000}"/>
    <cellStyle name="60% - Akzent3 78 2" xfId="15206" xr:uid="{00000000-0005-0000-0000-000063240000}"/>
    <cellStyle name="60% - Akzent3 78_est. MEAT" xfId="22174" xr:uid="{00000000-0005-0000-0000-000064240000}"/>
    <cellStyle name="60% - Akzent3 79" xfId="5789" xr:uid="{00000000-0005-0000-0000-000065240000}"/>
    <cellStyle name="60% - Akzent3 79 2" xfId="15207" xr:uid="{00000000-0005-0000-0000-000066240000}"/>
    <cellStyle name="60% - Akzent3 79_est. MEAT" xfId="22175" xr:uid="{00000000-0005-0000-0000-000067240000}"/>
    <cellStyle name="60% - Akzent3 8" xfId="5790" xr:uid="{00000000-0005-0000-0000-000068240000}"/>
    <cellStyle name="60% - Akzent3 8 2" xfId="5791" xr:uid="{00000000-0005-0000-0000-000069240000}"/>
    <cellStyle name="60% - Akzent3 8 2 2" xfId="15209" xr:uid="{00000000-0005-0000-0000-00006A240000}"/>
    <cellStyle name="60% - Akzent3 8 2_est. MEAT" xfId="22176" xr:uid="{00000000-0005-0000-0000-00006B240000}"/>
    <cellStyle name="60% - Akzent3 8 3" xfId="15208" xr:uid="{00000000-0005-0000-0000-00006C240000}"/>
    <cellStyle name="60% - Akzent3 8_2012-2019" xfId="12279" xr:uid="{00000000-0005-0000-0000-00006D240000}"/>
    <cellStyle name="60% - Akzent3 80" xfId="5792" xr:uid="{00000000-0005-0000-0000-00006E240000}"/>
    <cellStyle name="60% - Akzent3 80 2" xfId="15210" xr:uid="{00000000-0005-0000-0000-00006F240000}"/>
    <cellStyle name="60% - Akzent3 80_est. MEAT" xfId="22177" xr:uid="{00000000-0005-0000-0000-000070240000}"/>
    <cellStyle name="60% - Akzent3 81" xfId="5793" xr:uid="{00000000-0005-0000-0000-000071240000}"/>
    <cellStyle name="60% - Akzent3 81 2" xfId="15211" xr:uid="{00000000-0005-0000-0000-000072240000}"/>
    <cellStyle name="60% - Akzent3 81_est. MEAT" xfId="22178" xr:uid="{00000000-0005-0000-0000-000073240000}"/>
    <cellStyle name="60% - Akzent3 82" xfId="5794" xr:uid="{00000000-0005-0000-0000-000074240000}"/>
    <cellStyle name="60% - Akzent3 82 2" xfId="15212" xr:uid="{00000000-0005-0000-0000-000075240000}"/>
    <cellStyle name="60% - Akzent3 82_est. MEAT" xfId="22179" xr:uid="{00000000-0005-0000-0000-000076240000}"/>
    <cellStyle name="60% - Akzent3 83" xfId="5795" xr:uid="{00000000-0005-0000-0000-000077240000}"/>
    <cellStyle name="60% - Akzent3 83 2" xfId="15213" xr:uid="{00000000-0005-0000-0000-000078240000}"/>
    <cellStyle name="60% - Akzent3 83_est. MEAT" xfId="22180" xr:uid="{00000000-0005-0000-0000-000079240000}"/>
    <cellStyle name="60% - Akzent3 84" xfId="5796" xr:uid="{00000000-0005-0000-0000-00007A240000}"/>
    <cellStyle name="60% - Akzent3 84 2" xfId="15214" xr:uid="{00000000-0005-0000-0000-00007B240000}"/>
    <cellStyle name="60% - Akzent3 84_est. MEAT" xfId="22181" xr:uid="{00000000-0005-0000-0000-00007C240000}"/>
    <cellStyle name="60% - Akzent3 85" xfId="5797" xr:uid="{00000000-0005-0000-0000-00007D240000}"/>
    <cellStyle name="60% - Akzent3 85 2" xfId="15215" xr:uid="{00000000-0005-0000-0000-00007E240000}"/>
    <cellStyle name="60% - Akzent3 85_est. MEAT" xfId="22182" xr:uid="{00000000-0005-0000-0000-00007F240000}"/>
    <cellStyle name="60% - Akzent3 86" xfId="5798" xr:uid="{00000000-0005-0000-0000-000080240000}"/>
    <cellStyle name="60% - Akzent3 86 2" xfId="15216" xr:uid="{00000000-0005-0000-0000-000081240000}"/>
    <cellStyle name="60% - Akzent3 86_est. MEAT" xfId="22183" xr:uid="{00000000-0005-0000-0000-000082240000}"/>
    <cellStyle name="60% - Akzent3 87" xfId="5799" xr:uid="{00000000-0005-0000-0000-000083240000}"/>
    <cellStyle name="60% - Akzent3 87 2" xfId="15217" xr:uid="{00000000-0005-0000-0000-000084240000}"/>
    <cellStyle name="60% - Akzent3 87_est. MEAT" xfId="22184" xr:uid="{00000000-0005-0000-0000-000085240000}"/>
    <cellStyle name="60% - Akzent3 88" xfId="5800" xr:uid="{00000000-0005-0000-0000-000086240000}"/>
    <cellStyle name="60% - Akzent3 88 2" xfId="15218" xr:uid="{00000000-0005-0000-0000-000087240000}"/>
    <cellStyle name="60% - Akzent3 88_est. MEAT" xfId="22185" xr:uid="{00000000-0005-0000-0000-000088240000}"/>
    <cellStyle name="60% - Akzent3 89" xfId="5801" xr:uid="{00000000-0005-0000-0000-000089240000}"/>
    <cellStyle name="60% - Akzent3 89 2" xfId="15219" xr:uid="{00000000-0005-0000-0000-00008A240000}"/>
    <cellStyle name="60% - Akzent3 89_est. MEAT" xfId="22186" xr:uid="{00000000-0005-0000-0000-00008B240000}"/>
    <cellStyle name="60% - Akzent3 9" xfId="5802" xr:uid="{00000000-0005-0000-0000-00008C240000}"/>
    <cellStyle name="60% - Akzent3 9 2" xfId="5803" xr:uid="{00000000-0005-0000-0000-00008D240000}"/>
    <cellStyle name="60% - Akzent3 9 2 2" xfId="15221" xr:uid="{00000000-0005-0000-0000-00008E240000}"/>
    <cellStyle name="60% - Akzent3 9 2_est. MEAT" xfId="22187" xr:uid="{00000000-0005-0000-0000-00008F240000}"/>
    <cellStyle name="60% - Akzent3 9 3" xfId="15220" xr:uid="{00000000-0005-0000-0000-000090240000}"/>
    <cellStyle name="60% - Akzent3 9_2012-2019" xfId="12280" xr:uid="{00000000-0005-0000-0000-000091240000}"/>
    <cellStyle name="60% - Akzent3 90" xfId="5804" xr:uid="{00000000-0005-0000-0000-000092240000}"/>
    <cellStyle name="60% - Akzent3 90 2" xfId="15222" xr:uid="{00000000-0005-0000-0000-000093240000}"/>
    <cellStyle name="60% - Akzent3 90_est. MEAT" xfId="22188" xr:uid="{00000000-0005-0000-0000-000094240000}"/>
    <cellStyle name="60% - Akzent3 91" xfId="5805" xr:uid="{00000000-0005-0000-0000-000095240000}"/>
    <cellStyle name="60% - Akzent3 91 2" xfId="15223" xr:uid="{00000000-0005-0000-0000-000096240000}"/>
    <cellStyle name="60% - Akzent3 91_est. MEAT" xfId="22189" xr:uid="{00000000-0005-0000-0000-000097240000}"/>
    <cellStyle name="60% - Akzent3 92" xfId="5806" xr:uid="{00000000-0005-0000-0000-000098240000}"/>
    <cellStyle name="60% - Akzent3 92 2" xfId="15224" xr:uid="{00000000-0005-0000-0000-000099240000}"/>
    <cellStyle name="60% - Akzent3 92_est. MEAT" xfId="22190" xr:uid="{00000000-0005-0000-0000-00009A240000}"/>
    <cellStyle name="60% - Akzent3 93" xfId="5807" xr:uid="{00000000-0005-0000-0000-00009B240000}"/>
    <cellStyle name="60% - Akzent3 93 2" xfId="15225" xr:uid="{00000000-0005-0000-0000-00009C240000}"/>
    <cellStyle name="60% - Akzent3 93_est. MEAT" xfId="22191" xr:uid="{00000000-0005-0000-0000-00009D240000}"/>
    <cellStyle name="60% - Akzent3 94" xfId="5808" xr:uid="{00000000-0005-0000-0000-00009E240000}"/>
    <cellStyle name="60% - Akzent3 94 2" xfId="15226" xr:uid="{00000000-0005-0000-0000-00009F240000}"/>
    <cellStyle name="60% - Akzent3 94_est. MEAT" xfId="22192" xr:uid="{00000000-0005-0000-0000-0000A0240000}"/>
    <cellStyle name="60% - Akzent3 95" xfId="5809" xr:uid="{00000000-0005-0000-0000-0000A1240000}"/>
    <cellStyle name="60% - Akzent3 95 2" xfId="15227" xr:uid="{00000000-0005-0000-0000-0000A2240000}"/>
    <cellStyle name="60% - Akzent3 95_est. MEAT" xfId="22193" xr:uid="{00000000-0005-0000-0000-0000A3240000}"/>
    <cellStyle name="60% - Akzent3 96" xfId="5810" xr:uid="{00000000-0005-0000-0000-0000A4240000}"/>
    <cellStyle name="60% - Akzent3 96 2" xfId="15228" xr:uid="{00000000-0005-0000-0000-0000A5240000}"/>
    <cellStyle name="60% - Akzent3 96_est. MEAT" xfId="22194" xr:uid="{00000000-0005-0000-0000-0000A6240000}"/>
    <cellStyle name="60% - Akzent3 97" xfId="5811" xr:uid="{00000000-0005-0000-0000-0000A7240000}"/>
    <cellStyle name="60% - Akzent3 97 2" xfId="15229" xr:uid="{00000000-0005-0000-0000-0000A8240000}"/>
    <cellStyle name="60% - Akzent3 97_est. MEAT" xfId="22195" xr:uid="{00000000-0005-0000-0000-0000A9240000}"/>
    <cellStyle name="60% - Akzent3 98" xfId="5812" xr:uid="{00000000-0005-0000-0000-0000AA240000}"/>
    <cellStyle name="60% - Akzent3 98 2" xfId="15230" xr:uid="{00000000-0005-0000-0000-0000AB240000}"/>
    <cellStyle name="60% - Akzent3 98_est. MEAT" xfId="22196" xr:uid="{00000000-0005-0000-0000-0000AC240000}"/>
    <cellStyle name="60% - Akzent3 99" xfId="5813" xr:uid="{00000000-0005-0000-0000-0000AD240000}"/>
    <cellStyle name="60% - Akzent3 99 2" xfId="15231" xr:uid="{00000000-0005-0000-0000-0000AE240000}"/>
    <cellStyle name="60% - Akzent3 99_est. MEAT" xfId="22197" xr:uid="{00000000-0005-0000-0000-0000AF240000}"/>
    <cellStyle name="60% - Akzent4 10" xfId="5814" xr:uid="{00000000-0005-0000-0000-0000B0240000}"/>
    <cellStyle name="60% - Akzent4 10 2" xfId="5815" xr:uid="{00000000-0005-0000-0000-0000B1240000}"/>
    <cellStyle name="60% - Akzent4 10 2 2" xfId="15233" xr:uid="{00000000-0005-0000-0000-0000B2240000}"/>
    <cellStyle name="60% - Akzent4 10 2_est. MEAT" xfId="22198" xr:uid="{00000000-0005-0000-0000-0000B3240000}"/>
    <cellStyle name="60% - Akzent4 10 3" xfId="15232" xr:uid="{00000000-0005-0000-0000-0000B4240000}"/>
    <cellStyle name="60% - Akzent4 10_2012-2019" xfId="12281" xr:uid="{00000000-0005-0000-0000-0000B5240000}"/>
    <cellStyle name="60% - Akzent4 100" xfId="5816" xr:uid="{00000000-0005-0000-0000-0000B6240000}"/>
    <cellStyle name="60% - Akzent4 100 2" xfId="15234" xr:uid="{00000000-0005-0000-0000-0000B7240000}"/>
    <cellStyle name="60% - Akzent4 100_est. MEAT" xfId="22199" xr:uid="{00000000-0005-0000-0000-0000B8240000}"/>
    <cellStyle name="60% - Akzent4 101" xfId="5817" xr:uid="{00000000-0005-0000-0000-0000B9240000}"/>
    <cellStyle name="60% - Akzent4 101 2" xfId="15235" xr:uid="{00000000-0005-0000-0000-0000BA240000}"/>
    <cellStyle name="60% - Akzent4 101_est. MEAT" xfId="22200" xr:uid="{00000000-0005-0000-0000-0000BB240000}"/>
    <cellStyle name="60% - Akzent4 102" xfId="5818" xr:uid="{00000000-0005-0000-0000-0000BC240000}"/>
    <cellStyle name="60% - Akzent4 102 2" xfId="15236" xr:uid="{00000000-0005-0000-0000-0000BD240000}"/>
    <cellStyle name="60% - Akzent4 102_est. MEAT" xfId="22201" xr:uid="{00000000-0005-0000-0000-0000BE240000}"/>
    <cellStyle name="60% - Akzent4 103" xfId="5819" xr:uid="{00000000-0005-0000-0000-0000BF240000}"/>
    <cellStyle name="60% - Akzent4 103 2" xfId="15237" xr:uid="{00000000-0005-0000-0000-0000C0240000}"/>
    <cellStyle name="60% - Akzent4 103_est. MEAT" xfId="22202" xr:uid="{00000000-0005-0000-0000-0000C1240000}"/>
    <cellStyle name="60% - Akzent4 104" xfId="5820" xr:uid="{00000000-0005-0000-0000-0000C2240000}"/>
    <cellStyle name="60% - Akzent4 104 2" xfId="15238" xr:uid="{00000000-0005-0000-0000-0000C3240000}"/>
    <cellStyle name="60% - Akzent4 104_est. MEAT" xfId="22203" xr:uid="{00000000-0005-0000-0000-0000C4240000}"/>
    <cellStyle name="60% - Akzent4 105" xfId="5821" xr:uid="{00000000-0005-0000-0000-0000C5240000}"/>
    <cellStyle name="60% - Akzent4 105 2" xfId="15239" xr:uid="{00000000-0005-0000-0000-0000C6240000}"/>
    <cellStyle name="60% - Akzent4 105_est. MEAT" xfId="22204" xr:uid="{00000000-0005-0000-0000-0000C7240000}"/>
    <cellStyle name="60% - Akzent4 106" xfId="5822" xr:uid="{00000000-0005-0000-0000-0000C8240000}"/>
    <cellStyle name="60% - Akzent4 106 2" xfId="15240" xr:uid="{00000000-0005-0000-0000-0000C9240000}"/>
    <cellStyle name="60% - Akzent4 106_est. MEAT" xfId="22205" xr:uid="{00000000-0005-0000-0000-0000CA240000}"/>
    <cellStyle name="60% - Akzent4 107" xfId="5823" xr:uid="{00000000-0005-0000-0000-0000CB240000}"/>
    <cellStyle name="60% - Akzent4 107 2" xfId="15241" xr:uid="{00000000-0005-0000-0000-0000CC240000}"/>
    <cellStyle name="60% - Akzent4 107_est. MEAT" xfId="22206" xr:uid="{00000000-0005-0000-0000-0000CD240000}"/>
    <cellStyle name="60% - Akzent4 108" xfId="5824" xr:uid="{00000000-0005-0000-0000-0000CE240000}"/>
    <cellStyle name="60% - Akzent4 108 2" xfId="15242" xr:uid="{00000000-0005-0000-0000-0000CF240000}"/>
    <cellStyle name="60% - Akzent4 108_est. MEAT" xfId="22207" xr:uid="{00000000-0005-0000-0000-0000D0240000}"/>
    <cellStyle name="60% - Akzent4 109" xfId="5825" xr:uid="{00000000-0005-0000-0000-0000D1240000}"/>
    <cellStyle name="60% - Akzent4 109 2" xfId="15243" xr:uid="{00000000-0005-0000-0000-0000D2240000}"/>
    <cellStyle name="60% - Akzent4 109_est. MEAT" xfId="22208" xr:uid="{00000000-0005-0000-0000-0000D3240000}"/>
    <cellStyle name="60% - Akzent4 11" xfId="5826" xr:uid="{00000000-0005-0000-0000-0000D4240000}"/>
    <cellStyle name="60% - Akzent4 11 2" xfId="5827" xr:uid="{00000000-0005-0000-0000-0000D5240000}"/>
    <cellStyle name="60% - Akzent4 11 2 2" xfId="15245" xr:uid="{00000000-0005-0000-0000-0000D6240000}"/>
    <cellStyle name="60% - Akzent4 11 2_est. MEAT" xfId="22209" xr:uid="{00000000-0005-0000-0000-0000D7240000}"/>
    <cellStyle name="60% - Akzent4 11 3" xfId="15244" xr:uid="{00000000-0005-0000-0000-0000D8240000}"/>
    <cellStyle name="60% - Akzent4 11_2012-2019" xfId="12282" xr:uid="{00000000-0005-0000-0000-0000D9240000}"/>
    <cellStyle name="60% - Akzent4 110" xfId="5828" xr:uid="{00000000-0005-0000-0000-0000DA240000}"/>
    <cellStyle name="60% - Akzent4 110 2" xfId="15246" xr:uid="{00000000-0005-0000-0000-0000DB240000}"/>
    <cellStyle name="60% - Akzent4 110_est. MEAT" xfId="22210" xr:uid="{00000000-0005-0000-0000-0000DC240000}"/>
    <cellStyle name="60% - Akzent4 111" xfId="5829" xr:uid="{00000000-0005-0000-0000-0000DD240000}"/>
    <cellStyle name="60% - Akzent4 111 2" xfId="15247" xr:uid="{00000000-0005-0000-0000-0000DE240000}"/>
    <cellStyle name="60% - Akzent4 111_est. MEAT" xfId="22211" xr:uid="{00000000-0005-0000-0000-0000DF240000}"/>
    <cellStyle name="60% - Akzent4 112" xfId="5830" xr:uid="{00000000-0005-0000-0000-0000E0240000}"/>
    <cellStyle name="60% - Akzent4 112 2" xfId="15248" xr:uid="{00000000-0005-0000-0000-0000E1240000}"/>
    <cellStyle name="60% - Akzent4 112_est. MEAT" xfId="22212" xr:uid="{00000000-0005-0000-0000-0000E2240000}"/>
    <cellStyle name="60% - Akzent4 113" xfId="5831" xr:uid="{00000000-0005-0000-0000-0000E3240000}"/>
    <cellStyle name="60% - Akzent4 113 2" xfId="15249" xr:uid="{00000000-0005-0000-0000-0000E4240000}"/>
    <cellStyle name="60% - Akzent4 113_est. MEAT" xfId="22213" xr:uid="{00000000-0005-0000-0000-0000E5240000}"/>
    <cellStyle name="60% - Akzent4 114" xfId="5832" xr:uid="{00000000-0005-0000-0000-0000E6240000}"/>
    <cellStyle name="60% - Akzent4 114 2" xfId="15250" xr:uid="{00000000-0005-0000-0000-0000E7240000}"/>
    <cellStyle name="60% - Akzent4 114_est. MEAT" xfId="22214" xr:uid="{00000000-0005-0000-0000-0000E8240000}"/>
    <cellStyle name="60% - Akzent4 115" xfId="5833" xr:uid="{00000000-0005-0000-0000-0000E9240000}"/>
    <cellStyle name="60% - Akzent4 115 2" xfId="15251" xr:uid="{00000000-0005-0000-0000-0000EA240000}"/>
    <cellStyle name="60% - Akzent4 115_est. MEAT" xfId="22215" xr:uid="{00000000-0005-0000-0000-0000EB240000}"/>
    <cellStyle name="60% - Akzent4 116" xfId="5834" xr:uid="{00000000-0005-0000-0000-0000EC240000}"/>
    <cellStyle name="60% - Akzent4 116 2" xfId="15252" xr:uid="{00000000-0005-0000-0000-0000ED240000}"/>
    <cellStyle name="60% - Akzent4 116_est. MEAT" xfId="22216" xr:uid="{00000000-0005-0000-0000-0000EE240000}"/>
    <cellStyle name="60% - Akzent4 117" xfId="5835" xr:uid="{00000000-0005-0000-0000-0000EF240000}"/>
    <cellStyle name="60% - Akzent4 117 2" xfId="15253" xr:uid="{00000000-0005-0000-0000-0000F0240000}"/>
    <cellStyle name="60% - Akzent4 117_est. MEAT" xfId="22217" xr:uid="{00000000-0005-0000-0000-0000F1240000}"/>
    <cellStyle name="60% - Akzent4 118" xfId="5836" xr:uid="{00000000-0005-0000-0000-0000F2240000}"/>
    <cellStyle name="60% - Akzent4 118 2" xfId="15254" xr:uid="{00000000-0005-0000-0000-0000F3240000}"/>
    <cellStyle name="60% - Akzent4 118_est. MEAT" xfId="22218" xr:uid="{00000000-0005-0000-0000-0000F4240000}"/>
    <cellStyle name="60% - Akzent4 119" xfId="5837" xr:uid="{00000000-0005-0000-0000-0000F5240000}"/>
    <cellStyle name="60% - Akzent4 119 2" xfId="15255" xr:uid="{00000000-0005-0000-0000-0000F6240000}"/>
    <cellStyle name="60% - Akzent4 119_est. MEAT" xfId="22219" xr:uid="{00000000-0005-0000-0000-0000F7240000}"/>
    <cellStyle name="60% - Akzent4 12" xfId="5838" xr:uid="{00000000-0005-0000-0000-0000F8240000}"/>
    <cellStyle name="60% - Akzent4 12 2" xfId="5839" xr:uid="{00000000-0005-0000-0000-0000F9240000}"/>
    <cellStyle name="60% - Akzent4 12 2 2" xfId="15257" xr:uid="{00000000-0005-0000-0000-0000FA240000}"/>
    <cellStyle name="60% - Akzent4 12 2_est. MEAT" xfId="22220" xr:uid="{00000000-0005-0000-0000-0000FB240000}"/>
    <cellStyle name="60% - Akzent4 12 3" xfId="15256" xr:uid="{00000000-0005-0000-0000-0000FC240000}"/>
    <cellStyle name="60% - Akzent4 12_2012-2019" xfId="12283" xr:uid="{00000000-0005-0000-0000-0000FD240000}"/>
    <cellStyle name="60% - Akzent4 120" xfId="5840" xr:uid="{00000000-0005-0000-0000-0000FE240000}"/>
    <cellStyle name="60% - Akzent4 120 2" xfId="15258" xr:uid="{00000000-0005-0000-0000-0000FF240000}"/>
    <cellStyle name="60% - Akzent4 120_est. MEAT" xfId="22221" xr:uid="{00000000-0005-0000-0000-000000250000}"/>
    <cellStyle name="60% - Akzent4 121" xfId="5841" xr:uid="{00000000-0005-0000-0000-000001250000}"/>
    <cellStyle name="60% - Akzent4 121 2" xfId="15259" xr:uid="{00000000-0005-0000-0000-000002250000}"/>
    <cellStyle name="60% - Akzent4 121_est. MEAT" xfId="22222" xr:uid="{00000000-0005-0000-0000-000003250000}"/>
    <cellStyle name="60% - Akzent4 122" xfId="5842" xr:uid="{00000000-0005-0000-0000-000004250000}"/>
    <cellStyle name="60% - Akzent4 122 2" xfId="15260" xr:uid="{00000000-0005-0000-0000-000005250000}"/>
    <cellStyle name="60% - Akzent4 122_est. MEAT" xfId="22223" xr:uid="{00000000-0005-0000-0000-000006250000}"/>
    <cellStyle name="60% - Akzent4 123" xfId="5843" xr:uid="{00000000-0005-0000-0000-000007250000}"/>
    <cellStyle name="60% - Akzent4 123 2" xfId="15261" xr:uid="{00000000-0005-0000-0000-000008250000}"/>
    <cellStyle name="60% - Akzent4 123_est. MEAT" xfId="22224" xr:uid="{00000000-0005-0000-0000-000009250000}"/>
    <cellStyle name="60% - Akzent4 124" xfId="5844" xr:uid="{00000000-0005-0000-0000-00000A250000}"/>
    <cellStyle name="60% - Akzent4 124 2" xfId="15262" xr:uid="{00000000-0005-0000-0000-00000B250000}"/>
    <cellStyle name="60% - Akzent4 124_est. MEAT" xfId="22225" xr:uid="{00000000-0005-0000-0000-00000C250000}"/>
    <cellStyle name="60% - Akzent4 125" xfId="5845" xr:uid="{00000000-0005-0000-0000-00000D250000}"/>
    <cellStyle name="60% - Akzent4 125 2" xfId="15263" xr:uid="{00000000-0005-0000-0000-00000E250000}"/>
    <cellStyle name="60% - Akzent4 125_est. MEAT" xfId="22226" xr:uid="{00000000-0005-0000-0000-00000F250000}"/>
    <cellStyle name="60% - Akzent4 126" xfId="5846" xr:uid="{00000000-0005-0000-0000-000010250000}"/>
    <cellStyle name="60% - Akzent4 126 2" xfId="15264" xr:uid="{00000000-0005-0000-0000-000011250000}"/>
    <cellStyle name="60% - Akzent4 126_est. MEAT" xfId="22227" xr:uid="{00000000-0005-0000-0000-000012250000}"/>
    <cellStyle name="60% - Akzent4 127" xfId="5847" xr:uid="{00000000-0005-0000-0000-000013250000}"/>
    <cellStyle name="60% - Akzent4 127 2" xfId="15265" xr:uid="{00000000-0005-0000-0000-000014250000}"/>
    <cellStyle name="60% - Akzent4 127_est. MEAT" xfId="22228" xr:uid="{00000000-0005-0000-0000-000015250000}"/>
    <cellStyle name="60% - Akzent4 128" xfId="5848" xr:uid="{00000000-0005-0000-0000-000016250000}"/>
    <cellStyle name="60% - Akzent4 128 2" xfId="15266" xr:uid="{00000000-0005-0000-0000-000017250000}"/>
    <cellStyle name="60% - Akzent4 128_est. MEAT" xfId="22229" xr:uid="{00000000-0005-0000-0000-000018250000}"/>
    <cellStyle name="60% - Akzent4 129" xfId="5849" xr:uid="{00000000-0005-0000-0000-000019250000}"/>
    <cellStyle name="60% - Akzent4 129 2" xfId="15267" xr:uid="{00000000-0005-0000-0000-00001A250000}"/>
    <cellStyle name="60% - Akzent4 129_est. MEAT" xfId="22230" xr:uid="{00000000-0005-0000-0000-00001B250000}"/>
    <cellStyle name="60% - Akzent4 13" xfId="5850" xr:uid="{00000000-0005-0000-0000-00001C250000}"/>
    <cellStyle name="60% - Akzent4 13 2" xfId="5851" xr:uid="{00000000-0005-0000-0000-00001D250000}"/>
    <cellStyle name="60% - Akzent4 13 2 2" xfId="15269" xr:uid="{00000000-0005-0000-0000-00001E250000}"/>
    <cellStyle name="60% - Akzent4 13 2_est. MEAT" xfId="22231" xr:uid="{00000000-0005-0000-0000-00001F250000}"/>
    <cellStyle name="60% - Akzent4 13 3" xfId="15268" xr:uid="{00000000-0005-0000-0000-000020250000}"/>
    <cellStyle name="60% - Akzent4 13_2012-2019" xfId="12284" xr:uid="{00000000-0005-0000-0000-000021250000}"/>
    <cellStyle name="60% - Akzent4 130" xfId="5852" xr:uid="{00000000-0005-0000-0000-000022250000}"/>
    <cellStyle name="60% - Akzent4 130 2" xfId="15270" xr:uid="{00000000-0005-0000-0000-000023250000}"/>
    <cellStyle name="60% - Akzent4 130_est. MEAT" xfId="22232" xr:uid="{00000000-0005-0000-0000-000024250000}"/>
    <cellStyle name="60% - Akzent4 131" xfId="5853" xr:uid="{00000000-0005-0000-0000-000025250000}"/>
    <cellStyle name="60% - Akzent4 131 2" xfId="15271" xr:uid="{00000000-0005-0000-0000-000026250000}"/>
    <cellStyle name="60% - Akzent4 131_est. MEAT" xfId="22233" xr:uid="{00000000-0005-0000-0000-000027250000}"/>
    <cellStyle name="60% - Akzent4 132" xfId="5854" xr:uid="{00000000-0005-0000-0000-000028250000}"/>
    <cellStyle name="60% - Akzent4 132 2" xfId="15272" xr:uid="{00000000-0005-0000-0000-000029250000}"/>
    <cellStyle name="60% - Akzent4 132_est. MEAT" xfId="22234" xr:uid="{00000000-0005-0000-0000-00002A250000}"/>
    <cellStyle name="60% - Akzent4 133" xfId="5855" xr:uid="{00000000-0005-0000-0000-00002B250000}"/>
    <cellStyle name="60% - Akzent4 133 2" xfId="15273" xr:uid="{00000000-0005-0000-0000-00002C250000}"/>
    <cellStyle name="60% - Akzent4 133_est. MEAT" xfId="22235" xr:uid="{00000000-0005-0000-0000-00002D250000}"/>
    <cellStyle name="60% - Akzent4 134" xfId="5856" xr:uid="{00000000-0005-0000-0000-00002E250000}"/>
    <cellStyle name="60% - Akzent4 134 2" xfId="15274" xr:uid="{00000000-0005-0000-0000-00002F250000}"/>
    <cellStyle name="60% - Akzent4 134_est. MEAT" xfId="22236" xr:uid="{00000000-0005-0000-0000-000030250000}"/>
    <cellStyle name="60% - Akzent4 135" xfId="5857" xr:uid="{00000000-0005-0000-0000-000031250000}"/>
    <cellStyle name="60% - Akzent4 135 2" xfId="15275" xr:uid="{00000000-0005-0000-0000-000032250000}"/>
    <cellStyle name="60% - Akzent4 135_est. MEAT" xfId="22237" xr:uid="{00000000-0005-0000-0000-000033250000}"/>
    <cellStyle name="60% - Akzent4 136" xfId="5858" xr:uid="{00000000-0005-0000-0000-000034250000}"/>
    <cellStyle name="60% - Akzent4 136 2" xfId="15276" xr:uid="{00000000-0005-0000-0000-000035250000}"/>
    <cellStyle name="60% - Akzent4 136_est. MEAT" xfId="22238" xr:uid="{00000000-0005-0000-0000-000036250000}"/>
    <cellStyle name="60% - Akzent4 137" xfId="5859" xr:uid="{00000000-0005-0000-0000-000037250000}"/>
    <cellStyle name="60% - Akzent4 137 2" xfId="15277" xr:uid="{00000000-0005-0000-0000-000038250000}"/>
    <cellStyle name="60% - Akzent4 137_est. MEAT" xfId="22239" xr:uid="{00000000-0005-0000-0000-000039250000}"/>
    <cellStyle name="60% - Akzent4 138" xfId="5860" xr:uid="{00000000-0005-0000-0000-00003A250000}"/>
    <cellStyle name="60% - Akzent4 138 2" xfId="15278" xr:uid="{00000000-0005-0000-0000-00003B250000}"/>
    <cellStyle name="60% - Akzent4 138_est. MEAT" xfId="22240" xr:uid="{00000000-0005-0000-0000-00003C250000}"/>
    <cellStyle name="60% - Akzent4 139" xfId="5861" xr:uid="{00000000-0005-0000-0000-00003D250000}"/>
    <cellStyle name="60% - Akzent4 139 2" xfId="15279" xr:uid="{00000000-0005-0000-0000-00003E250000}"/>
    <cellStyle name="60% - Akzent4 139_est. MEAT" xfId="22241" xr:uid="{00000000-0005-0000-0000-00003F250000}"/>
    <cellStyle name="60% - Akzent4 14" xfId="5862" xr:uid="{00000000-0005-0000-0000-000040250000}"/>
    <cellStyle name="60% - Akzent4 14 2" xfId="5863" xr:uid="{00000000-0005-0000-0000-000041250000}"/>
    <cellStyle name="60% - Akzent4 14 2 2" xfId="15281" xr:uid="{00000000-0005-0000-0000-000042250000}"/>
    <cellStyle name="60% - Akzent4 14 2_est. MEAT" xfId="22242" xr:uid="{00000000-0005-0000-0000-000043250000}"/>
    <cellStyle name="60% - Akzent4 14 3" xfId="15280" xr:uid="{00000000-0005-0000-0000-000044250000}"/>
    <cellStyle name="60% - Akzent4 14_2012-2019" xfId="12285" xr:uid="{00000000-0005-0000-0000-000045250000}"/>
    <cellStyle name="60% - Akzent4 140" xfId="5864" xr:uid="{00000000-0005-0000-0000-000046250000}"/>
    <cellStyle name="60% - Akzent4 140 2" xfId="15282" xr:uid="{00000000-0005-0000-0000-000047250000}"/>
    <cellStyle name="60% - Akzent4 140_est. MEAT" xfId="22243" xr:uid="{00000000-0005-0000-0000-000048250000}"/>
    <cellStyle name="60% - Akzent4 141" xfId="5865" xr:uid="{00000000-0005-0000-0000-000049250000}"/>
    <cellStyle name="60% - Akzent4 141 2" xfId="15283" xr:uid="{00000000-0005-0000-0000-00004A250000}"/>
    <cellStyle name="60% - Akzent4 141_est. MEAT" xfId="22244" xr:uid="{00000000-0005-0000-0000-00004B250000}"/>
    <cellStyle name="60% - Akzent4 142" xfId="5866" xr:uid="{00000000-0005-0000-0000-00004C250000}"/>
    <cellStyle name="60% - Akzent4 142 2" xfId="15284" xr:uid="{00000000-0005-0000-0000-00004D250000}"/>
    <cellStyle name="60% - Akzent4 142_est. MEAT" xfId="22245" xr:uid="{00000000-0005-0000-0000-00004E250000}"/>
    <cellStyle name="60% - Akzent4 143" xfId="5867" xr:uid="{00000000-0005-0000-0000-00004F250000}"/>
    <cellStyle name="60% - Akzent4 143 2" xfId="15285" xr:uid="{00000000-0005-0000-0000-000050250000}"/>
    <cellStyle name="60% - Akzent4 143_est. MEAT" xfId="22246" xr:uid="{00000000-0005-0000-0000-000051250000}"/>
    <cellStyle name="60% - Akzent4 144" xfId="5868" xr:uid="{00000000-0005-0000-0000-000052250000}"/>
    <cellStyle name="60% - Akzent4 144 2" xfId="15286" xr:uid="{00000000-0005-0000-0000-000053250000}"/>
    <cellStyle name="60% - Akzent4 144_est. MEAT" xfId="22247" xr:uid="{00000000-0005-0000-0000-000054250000}"/>
    <cellStyle name="60% - Akzent4 145" xfId="5869" xr:uid="{00000000-0005-0000-0000-000055250000}"/>
    <cellStyle name="60% - Akzent4 145 2" xfId="15287" xr:uid="{00000000-0005-0000-0000-000056250000}"/>
    <cellStyle name="60% - Akzent4 145_est. MEAT" xfId="22248" xr:uid="{00000000-0005-0000-0000-000057250000}"/>
    <cellStyle name="60% - Akzent4 146" xfId="5870" xr:uid="{00000000-0005-0000-0000-000058250000}"/>
    <cellStyle name="60% - Akzent4 146 2" xfId="15288" xr:uid="{00000000-0005-0000-0000-000059250000}"/>
    <cellStyle name="60% - Akzent4 146_est. MEAT" xfId="22249" xr:uid="{00000000-0005-0000-0000-00005A250000}"/>
    <cellStyle name="60% - Akzent4 147" xfId="5871" xr:uid="{00000000-0005-0000-0000-00005B250000}"/>
    <cellStyle name="60% - Akzent4 147 2" xfId="15289" xr:uid="{00000000-0005-0000-0000-00005C250000}"/>
    <cellStyle name="60% - Akzent4 147_est. MEAT" xfId="22250" xr:uid="{00000000-0005-0000-0000-00005D250000}"/>
    <cellStyle name="60% - Akzent4 148" xfId="5872" xr:uid="{00000000-0005-0000-0000-00005E250000}"/>
    <cellStyle name="60% - Akzent4 148 2" xfId="15290" xr:uid="{00000000-0005-0000-0000-00005F250000}"/>
    <cellStyle name="60% - Akzent4 148_est. MEAT" xfId="22251" xr:uid="{00000000-0005-0000-0000-000060250000}"/>
    <cellStyle name="60% - Akzent4 149" xfId="5873" xr:uid="{00000000-0005-0000-0000-000061250000}"/>
    <cellStyle name="60% - Akzent4 149 2" xfId="15291" xr:uid="{00000000-0005-0000-0000-000062250000}"/>
    <cellStyle name="60% - Akzent4 149_est. MEAT" xfId="22252" xr:uid="{00000000-0005-0000-0000-000063250000}"/>
    <cellStyle name="60% - Akzent4 15" xfId="5874" xr:uid="{00000000-0005-0000-0000-000064250000}"/>
    <cellStyle name="60% - Akzent4 15 2" xfId="15292" xr:uid="{00000000-0005-0000-0000-000065250000}"/>
    <cellStyle name="60% - Akzent4 15_est. MEAT" xfId="22253" xr:uid="{00000000-0005-0000-0000-000066250000}"/>
    <cellStyle name="60% - Akzent4 150" xfId="5875" xr:uid="{00000000-0005-0000-0000-000067250000}"/>
    <cellStyle name="60% - Akzent4 150 2" xfId="15293" xr:uid="{00000000-0005-0000-0000-000068250000}"/>
    <cellStyle name="60% - Akzent4 150_est. MEAT" xfId="22254" xr:uid="{00000000-0005-0000-0000-000069250000}"/>
    <cellStyle name="60% - Akzent4 151" xfId="5876" xr:uid="{00000000-0005-0000-0000-00006A250000}"/>
    <cellStyle name="60% - Akzent4 151 2" xfId="15294" xr:uid="{00000000-0005-0000-0000-00006B250000}"/>
    <cellStyle name="60% - Akzent4 151_est. MEAT" xfId="22255" xr:uid="{00000000-0005-0000-0000-00006C250000}"/>
    <cellStyle name="60% - Akzent4 16" xfId="5877" xr:uid="{00000000-0005-0000-0000-00006D250000}"/>
    <cellStyle name="60% - Akzent4 16 2" xfId="15295" xr:uid="{00000000-0005-0000-0000-00006E250000}"/>
    <cellStyle name="60% - Akzent4 16_est. MEAT" xfId="22256" xr:uid="{00000000-0005-0000-0000-00006F250000}"/>
    <cellStyle name="60% - Akzent4 17" xfId="5878" xr:uid="{00000000-0005-0000-0000-000070250000}"/>
    <cellStyle name="60% - Akzent4 17 2" xfId="15296" xr:uid="{00000000-0005-0000-0000-000071250000}"/>
    <cellStyle name="60% - Akzent4 17_est. MEAT" xfId="22257" xr:uid="{00000000-0005-0000-0000-000072250000}"/>
    <cellStyle name="60% - Akzent4 18" xfId="5879" xr:uid="{00000000-0005-0000-0000-000073250000}"/>
    <cellStyle name="60% - Akzent4 18 2" xfId="15297" xr:uid="{00000000-0005-0000-0000-000074250000}"/>
    <cellStyle name="60% - Akzent4 18_est. MEAT" xfId="22258" xr:uid="{00000000-0005-0000-0000-000075250000}"/>
    <cellStyle name="60% - Akzent4 19" xfId="5880" xr:uid="{00000000-0005-0000-0000-000076250000}"/>
    <cellStyle name="60% - Akzent4 19 2" xfId="15298" xr:uid="{00000000-0005-0000-0000-000077250000}"/>
    <cellStyle name="60% - Akzent4 19_est. MEAT" xfId="22259" xr:uid="{00000000-0005-0000-0000-000078250000}"/>
    <cellStyle name="60% - Akzent4 2" xfId="5881" xr:uid="{00000000-0005-0000-0000-000079250000}"/>
    <cellStyle name="60% - Akzent4 2 2" xfId="5882" xr:uid="{00000000-0005-0000-0000-00007A250000}"/>
    <cellStyle name="60% - Akzent4 2 2 2" xfId="15300" xr:uid="{00000000-0005-0000-0000-00007B250000}"/>
    <cellStyle name="60% - Akzent4 2 2_est. MEAT" xfId="22260" xr:uid="{00000000-0005-0000-0000-00007C250000}"/>
    <cellStyle name="60% - Akzent4 2 3" xfId="15299" xr:uid="{00000000-0005-0000-0000-00007D250000}"/>
    <cellStyle name="60% - Akzent4 2_2012-2019" xfId="12286" xr:uid="{00000000-0005-0000-0000-00007E250000}"/>
    <cellStyle name="60% - Akzent4 20" xfId="5883" xr:uid="{00000000-0005-0000-0000-00007F250000}"/>
    <cellStyle name="60% - Akzent4 20 2" xfId="15301" xr:uid="{00000000-0005-0000-0000-000080250000}"/>
    <cellStyle name="60% - Akzent4 20_est. MEAT" xfId="22261" xr:uid="{00000000-0005-0000-0000-000081250000}"/>
    <cellStyle name="60% - Akzent4 21" xfId="5884" xr:uid="{00000000-0005-0000-0000-000082250000}"/>
    <cellStyle name="60% - Akzent4 21 2" xfId="15302" xr:uid="{00000000-0005-0000-0000-000083250000}"/>
    <cellStyle name="60% - Akzent4 21_est. MEAT" xfId="22262" xr:uid="{00000000-0005-0000-0000-000084250000}"/>
    <cellStyle name="60% - Akzent4 22" xfId="5885" xr:uid="{00000000-0005-0000-0000-000085250000}"/>
    <cellStyle name="60% - Akzent4 22 2" xfId="15303" xr:uid="{00000000-0005-0000-0000-000086250000}"/>
    <cellStyle name="60% - Akzent4 22_est. MEAT" xfId="22263" xr:uid="{00000000-0005-0000-0000-000087250000}"/>
    <cellStyle name="60% - Akzent4 23" xfId="5886" xr:uid="{00000000-0005-0000-0000-000088250000}"/>
    <cellStyle name="60% - Akzent4 23 2" xfId="15304" xr:uid="{00000000-0005-0000-0000-000089250000}"/>
    <cellStyle name="60% - Akzent4 23_est. MEAT" xfId="22264" xr:uid="{00000000-0005-0000-0000-00008A250000}"/>
    <cellStyle name="60% - Akzent4 24" xfId="5887" xr:uid="{00000000-0005-0000-0000-00008B250000}"/>
    <cellStyle name="60% - Akzent4 24 2" xfId="15305" xr:uid="{00000000-0005-0000-0000-00008C250000}"/>
    <cellStyle name="60% - Akzent4 24_est. MEAT" xfId="22265" xr:uid="{00000000-0005-0000-0000-00008D250000}"/>
    <cellStyle name="60% - Akzent4 25" xfId="5888" xr:uid="{00000000-0005-0000-0000-00008E250000}"/>
    <cellStyle name="60% - Akzent4 25 2" xfId="15306" xr:uid="{00000000-0005-0000-0000-00008F250000}"/>
    <cellStyle name="60% - Akzent4 25_est. MEAT" xfId="22266" xr:uid="{00000000-0005-0000-0000-000090250000}"/>
    <cellStyle name="60% - Akzent4 26" xfId="5889" xr:uid="{00000000-0005-0000-0000-000091250000}"/>
    <cellStyle name="60% - Akzent4 26 2" xfId="15307" xr:uid="{00000000-0005-0000-0000-000092250000}"/>
    <cellStyle name="60% - Akzent4 26_est. MEAT" xfId="22267" xr:uid="{00000000-0005-0000-0000-000093250000}"/>
    <cellStyle name="60% - Akzent4 27" xfId="5890" xr:uid="{00000000-0005-0000-0000-000094250000}"/>
    <cellStyle name="60% - Akzent4 27 2" xfId="15308" xr:uid="{00000000-0005-0000-0000-000095250000}"/>
    <cellStyle name="60% - Akzent4 27_est. MEAT" xfId="22268" xr:uid="{00000000-0005-0000-0000-000096250000}"/>
    <cellStyle name="60% - Akzent4 28" xfId="5891" xr:uid="{00000000-0005-0000-0000-000097250000}"/>
    <cellStyle name="60% - Akzent4 28 2" xfId="15309" xr:uid="{00000000-0005-0000-0000-000098250000}"/>
    <cellStyle name="60% - Akzent4 28_est. MEAT" xfId="22269" xr:uid="{00000000-0005-0000-0000-000099250000}"/>
    <cellStyle name="60% - Akzent4 29" xfId="5892" xr:uid="{00000000-0005-0000-0000-00009A250000}"/>
    <cellStyle name="60% - Akzent4 29 2" xfId="15310" xr:uid="{00000000-0005-0000-0000-00009B250000}"/>
    <cellStyle name="60% - Akzent4 29_est. MEAT" xfId="22270" xr:uid="{00000000-0005-0000-0000-00009C250000}"/>
    <cellStyle name="60% - Akzent4 3" xfId="5893" xr:uid="{00000000-0005-0000-0000-00009D250000}"/>
    <cellStyle name="60% - Akzent4 3 2" xfId="5894" xr:uid="{00000000-0005-0000-0000-00009E250000}"/>
    <cellStyle name="60% - Akzent4 3 2 2" xfId="15312" xr:uid="{00000000-0005-0000-0000-00009F250000}"/>
    <cellStyle name="60% - Akzent4 3 2_est. MEAT" xfId="22271" xr:uid="{00000000-0005-0000-0000-0000A0250000}"/>
    <cellStyle name="60% - Akzent4 3 3" xfId="15311" xr:uid="{00000000-0005-0000-0000-0000A1250000}"/>
    <cellStyle name="60% - Akzent4 3_2012-2019" xfId="12287" xr:uid="{00000000-0005-0000-0000-0000A2250000}"/>
    <cellStyle name="60% - Akzent4 30" xfId="5895" xr:uid="{00000000-0005-0000-0000-0000A3250000}"/>
    <cellStyle name="60% - Akzent4 30 2" xfId="15313" xr:uid="{00000000-0005-0000-0000-0000A4250000}"/>
    <cellStyle name="60% - Akzent4 30_est. MEAT" xfId="22272" xr:uid="{00000000-0005-0000-0000-0000A5250000}"/>
    <cellStyle name="60% - Akzent4 31" xfId="5896" xr:uid="{00000000-0005-0000-0000-0000A6250000}"/>
    <cellStyle name="60% - Akzent4 31 2" xfId="15314" xr:uid="{00000000-0005-0000-0000-0000A7250000}"/>
    <cellStyle name="60% - Akzent4 31_est. MEAT" xfId="22273" xr:uid="{00000000-0005-0000-0000-0000A8250000}"/>
    <cellStyle name="60% - Akzent4 32" xfId="5897" xr:uid="{00000000-0005-0000-0000-0000A9250000}"/>
    <cellStyle name="60% - Akzent4 32 2" xfId="15315" xr:uid="{00000000-0005-0000-0000-0000AA250000}"/>
    <cellStyle name="60% - Akzent4 32_est. MEAT" xfId="22274" xr:uid="{00000000-0005-0000-0000-0000AB250000}"/>
    <cellStyle name="60% - Akzent4 33" xfId="5898" xr:uid="{00000000-0005-0000-0000-0000AC250000}"/>
    <cellStyle name="60% - Akzent4 33 2" xfId="15316" xr:uid="{00000000-0005-0000-0000-0000AD250000}"/>
    <cellStyle name="60% - Akzent4 33_est. MEAT" xfId="22275" xr:uid="{00000000-0005-0000-0000-0000AE250000}"/>
    <cellStyle name="60% - Akzent4 34" xfId="5899" xr:uid="{00000000-0005-0000-0000-0000AF250000}"/>
    <cellStyle name="60% - Akzent4 34 2" xfId="15317" xr:uid="{00000000-0005-0000-0000-0000B0250000}"/>
    <cellStyle name="60% - Akzent4 34_est. MEAT" xfId="22276" xr:uid="{00000000-0005-0000-0000-0000B1250000}"/>
    <cellStyle name="60% - Akzent4 35" xfId="5900" xr:uid="{00000000-0005-0000-0000-0000B2250000}"/>
    <cellStyle name="60% - Akzent4 35 2" xfId="15318" xr:uid="{00000000-0005-0000-0000-0000B3250000}"/>
    <cellStyle name="60% - Akzent4 35_est. MEAT" xfId="22277" xr:uid="{00000000-0005-0000-0000-0000B4250000}"/>
    <cellStyle name="60% - Akzent4 36" xfId="5901" xr:uid="{00000000-0005-0000-0000-0000B5250000}"/>
    <cellStyle name="60% - Akzent4 36 2" xfId="15319" xr:uid="{00000000-0005-0000-0000-0000B6250000}"/>
    <cellStyle name="60% - Akzent4 36_est. MEAT" xfId="22278" xr:uid="{00000000-0005-0000-0000-0000B7250000}"/>
    <cellStyle name="60% - Akzent4 37" xfId="5902" xr:uid="{00000000-0005-0000-0000-0000B8250000}"/>
    <cellStyle name="60% - Akzent4 37 2" xfId="15320" xr:uid="{00000000-0005-0000-0000-0000B9250000}"/>
    <cellStyle name="60% - Akzent4 37_est. MEAT" xfId="22279" xr:uid="{00000000-0005-0000-0000-0000BA250000}"/>
    <cellStyle name="60% - Akzent4 38" xfId="5903" xr:uid="{00000000-0005-0000-0000-0000BB250000}"/>
    <cellStyle name="60% - Akzent4 38 2" xfId="15321" xr:uid="{00000000-0005-0000-0000-0000BC250000}"/>
    <cellStyle name="60% - Akzent4 38_est. MEAT" xfId="22280" xr:uid="{00000000-0005-0000-0000-0000BD250000}"/>
    <cellStyle name="60% - Akzent4 39" xfId="5904" xr:uid="{00000000-0005-0000-0000-0000BE250000}"/>
    <cellStyle name="60% - Akzent4 39 2" xfId="15322" xr:uid="{00000000-0005-0000-0000-0000BF250000}"/>
    <cellStyle name="60% - Akzent4 39_est. MEAT" xfId="22281" xr:uid="{00000000-0005-0000-0000-0000C0250000}"/>
    <cellStyle name="60% - Akzent4 4" xfId="5905" xr:uid="{00000000-0005-0000-0000-0000C1250000}"/>
    <cellStyle name="60% - Akzent4 4 2" xfId="5906" xr:uid="{00000000-0005-0000-0000-0000C2250000}"/>
    <cellStyle name="60% - Akzent4 4 2 2" xfId="15324" xr:uid="{00000000-0005-0000-0000-0000C3250000}"/>
    <cellStyle name="60% - Akzent4 4 2_est. MEAT" xfId="22282" xr:uid="{00000000-0005-0000-0000-0000C4250000}"/>
    <cellStyle name="60% - Akzent4 4 3" xfId="15323" xr:uid="{00000000-0005-0000-0000-0000C5250000}"/>
    <cellStyle name="60% - Akzent4 4_2012-2019" xfId="12288" xr:uid="{00000000-0005-0000-0000-0000C6250000}"/>
    <cellStyle name="60% - Akzent4 40" xfId="5907" xr:uid="{00000000-0005-0000-0000-0000C7250000}"/>
    <cellStyle name="60% - Akzent4 40 2" xfId="15325" xr:uid="{00000000-0005-0000-0000-0000C8250000}"/>
    <cellStyle name="60% - Akzent4 40_est. MEAT" xfId="22283" xr:uid="{00000000-0005-0000-0000-0000C9250000}"/>
    <cellStyle name="60% - Akzent4 41" xfId="5908" xr:uid="{00000000-0005-0000-0000-0000CA250000}"/>
    <cellStyle name="60% - Akzent4 41 2" xfId="15326" xr:uid="{00000000-0005-0000-0000-0000CB250000}"/>
    <cellStyle name="60% - Akzent4 41_est. MEAT" xfId="22284" xr:uid="{00000000-0005-0000-0000-0000CC250000}"/>
    <cellStyle name="60% - Akzent4 42" xfId="5909" xr:uid="{00000000-0005-0000-0000-0000CD250000}"/>
    <cellStyle name="60% - Akzent4 42 2" xfId="15327" xr:uid="{00000000-0005-0000-0000-0000CE250000}"/>
    <cellStyle name="60% - Akzent4 42_est. MEAT" xfId="22285" xr:uid="{00000000-0005-0000-0000-0000CF250000}"/>
    <cellStyle name="60% - Akzent4 43" xfId="5910" xr:uid="{00000000-0005-0000-0000-0000D0250000}"/>
    <cellStyle name="60% - Akzent4 43 2" xfId="15328" xr:uid="{00000000-0005-0000-0000-0000D1250000}"/>
    <cellStyle name="60% - Akzent4 43_est. MEAT" xfId="22286" xr:uid="{00000000-0005-0000-0000-0000D2250000}"/>
    <cellStyle name="60% - Akzent4 44" xfId="5911" xr:uid="{00000000-0005-0000-0000-0000D3250000}"/>
    <cellStyle name="60% - Akzent4 44 2" xfId="15329" xr:uid="{00000000-0005-0000-0000-0000D4250000}"/>
    <cellStyle name="60% - Akzent4 44_est. MEAT" xfId="22287" xr:uid="{00000000-0005-0000-0000-0000D5250000}"/>
    <cellStyle name="60% - Akzent4 45" xfId="5912" xr:uid="{00000000-0005-0000-0000-0000D6250000}"/>
    <cellStyle name="60% - Akzent4 45 2" xfId="15330" xr:uid="{00000000-0005-0000-0000-0000D7250000}"/>
    <cellStyle name="60% - Akzent4 45_est. MEAT" xfId="22288" xr:uid="{00000000-0005-0000-0000-0000D8250000}"/>
    <cellStyle name="60% - Akzent4 46" xfId="5913" xr:uid="{00000000-0005-0000-0000-0000D9250000}"/>
    <cellStyle name="60% - Akzent4 46 2" xfId="15331" xr:uid="{00000000-0005-0000-0000-0000DA250000}"/>
    <cellStyle name="60% - Akzent4 46_est. MEAT" xfId="22289" xr:uid="{00000000-0005-0000-0000-0000DB250000}"/>
    <cellStyle name="60% - Akzent4 47" xfId="5914" xr:uid="{00000000-0005-0000-0000-0000DC250000}"/>
    <cellStyle name="60% - Akzent4 47 2" xfId="15332" xr:uid="{00000000-0005-0000-0000-0000DD250000}"/>
    <cellStyle name="60% - Akzent4 47_est. MEAT" xfId="22290" xr:uid="{00000000-0005-0000-0000-0000DE250000}"/>
    <cellStyle name="60% - Akzent4 48" xfId="5915" xr:uid="{00000000-0005-0000-0000-0000DF250000}"/>
    <cellStyle name="60% - Akzent4 48 2" xfId="15333" xr:uid="{00000000-0005-0000-0000-0000E0250000}"/>
    <cellStyle name="60% - Akzent4 48_est. MEAT" xfId="22291" xr:uid="{00000000-0005-0000-0000-0000E1250000}"/>
    <cellStyle name="60% - Akzent4 49" xfId="5916" xr:uid="{00000000-0005-0000-0000-0000E2250000}"/>
    <cellStyle name="60% - Akzent4 49 2" xfId="15334" xr:uid="{00000000-0005-0000-0000-0000E3250000}"/>
    <cellStyle name="60% - Akzent4 49_est. MEAT" xfId="22292" xr:uid="{00000000-0005-0000-0000-0000E4250000}"/>
    <cellStyle name="60% - Akzent4 5" xfId="5917" xr:uid="{00000000-0005-0000-0000-0000E5250000}"/>
    <cellStyle name="60% - Akzent4 5 2" xfId="5918" xr:uid="{00000000-0005-0000-0000-0000E6250000}"/>
    <cellStyle name="60% - Akzent4 5 2 2" xfId="15336" xr:uid="{00000000-0005-0000-0000-0000E7250000}"/>
    <cellStyle name="60% - Akzent4 5 2_est. MEAT" xfId="22293" xr:uid="{00000000-0005-0000-0000-0000E8250000}"/>
    <cellStyle name="60% - Akzent4 5 3" xfId="15335" xr:uid="{00000000-0005-0000-0000-0000E9250000}"/>
    <cellStyle name="60% - Akzent4 5_2012-2019" xfId="12289" xr:uid="{00000000-0005-0000-0000-0000EA250000}"/>
    <cellStyle name="60% - Akzent4 50" xfId="5919" xr:uid="{00000000-0005-0000-0000-0000EB250000}"/>
    <cellStyle name="60% - Akzent4 50 2" xfId="15337" xr:uid="{00000000-0005-0000-0000-0000EC250000}"/>
    <cellStyle name="60% - Akzent4 50_est. MEAT" xfId="22294" xr:uid="{00000000-0005-0000-0000-0000ED250000}"/>
    <cellStyle name="60% - Akzent4 51" xfId="5920" xr:uid="{00000000-0005-0000-0000-0000EE250000}"/>
    <cellStyle name="60% - Akzent4 51 2" xfId="15338" xr:uid="{00000000-0005-0000-0000-0000EF250000}"/>
    <cellStyle name="60% - Akzent4 51_est. MEAT" xfId="22295" xr:uid="{00000000-0005-0000-0000-0000F0250000}"/>
    <cellStyle name="60% - Akzent4 52" xfId="5921" xr:uid="{00000000-0005-0000-0000-0000F1250000}"/>
    <cellStyle name="60% - Akzent4 52 2" xfId="15339" xr:uid="{00000000-0005-0000-0000-0000F2250000}"/>
    <cellStyle name="60% - Akzent4 52_est. MEAT" xfId="22296" xr:uid="{00000000-0005-0000-0000-0000F3250000}"/>
    <cellStyle name="60% - Akzent4 53" xfId="5922" xr:uid="{00000000-0005-0000-0000-0000F4250000}"/>
    <cellStyle name="60% - Akzent4 53 2" xfId="15340" xr:uid="{00000000-0005-0000-0000-0000F5250000}"/>
    <cellStyle name="60% - Akzent4 53_est. MEAT" xfId="22297" xr:uid="{00000000-0005-0000-0000-0000F6250000}"/>
    <cellStyle name="60% - Akzent4 54" xfId="5923" xr:uid="{00000000-0005-0000-0000-0000F7250000}"/>
    <cellStyle name="60% - Akzent4 54 2" xfId="15341" xr:uid="{00000000-0005-0000-0000-0000F8250000}"/>
    <cellStyle name="60% - Akzent4 54_est. MEAT" xfId="22298" xr:uid="{00000000-0005-0000-0000-0000F9250000}"/>
    <cellStyle name="60% - Akzent4 55" xfId="5924" xr:uid="{00000000-0005-0000-0000-0000FA250000}"/>
    <cellStyle name="60% - Akzent4 55 2" xfId="15342" xr:uid="{00000000-0005-0000-0000-0000FB250000}"/>
    <cellStyle name="60% - Akzent4 55_est. MEAT" xfId="22299" xr:uid="{00000000-0005-0000-0000-0000FC250000}"/>
    <cellStyle name="60% - Akzent4 56" xfId="5925" xr:uid="{00000000-0005-0000-0000-0000FD250000}"/>
    <cellStyle name="60% - Akzent4 56 2" xfId="15343" xr:uid="{00000000-0005-0000-0000-0000FE250000}"/>
    <cellStyle name="60% - Akzent4 56_est. MEAT" xfId="22300" xr:uid="{00000000-0005-0000-0000-0000FF250000}"/>
    <cellStyle name="60% - Akzent4 57" xfId="5926" xr:uid="{00000000-0005-0000-0000-000000260000}"/>
    <cellStyle name="60% - Akzent4 57 2" xfId="15344" xr:uid="{00000000-0005-0000-0000-000001260000}"/>
    <cellStyle name="60% - Akzent4 57_est. MEAT" xfId="22301" xr:uid="{00000000-0005-0000-0000-000002260000}"/>
    <cellStyle name="60% - Akzent4 58" xfId="5927" xr:uid="{00000000-0005-0000-0000-000003260000}"/>
    <cellStyle name="60% - Akzent4 58 2" xfId="15345" xr:uid="{00000000-0005-0000-0000-000004260000}"/>
    <cellStyle name="60% - Akzent4 58_est. MEAT" xfId="22302" xr:uid="{00000000-0005-0000-0000-000005260000}"/>
    <cellStyle name="60% - Akzent4 59" xfId="5928" xr:uid="{00000000-0005-0000-0000-000006260000}"/>
    <cellStyle name="60% - Akzent4 59 2" xfId="15346" xr:uid="{00000000-0005-0000-0000-000007260000}"/>
    <cellStyle name="60% - Akzent4 59_est. MEAT" xfId="22303" xr:uid="{00000000-0005-0000-0000-000008260000}"/>
    <cellStyle name="60% - Akzent4 6" xfId="5929" xr:uid="{00000000-0005-0000-0000-000009260000}"/>
    <cellStyle name="60% - Akzent4 6 2" xfId="5930" xr:uid="{00000000-0005-0000-0000-00000A260000}"/>
    <cellStyle name="60% - Akzent4 6 2 2" xfId="15348" xr:uid="{00000000-0005-0000-0000-00000B260000}"/>
    <cellStyle name="60% - Akzent4 6 2_est. MEAT" xfId="22304" xr:uid="{00000000-0005-0000-0000-00000C260000}"/>
    <cellStyle name="60% - Akzent4 6 3" xfId="15347" xr:uid="{00000000-0005-0000-0000-00000D260000}"/>
    <cellStyle name="60% - Akzent4 6_2012-2019" xfId="12290" xr:uid="{00000000-0005-0000-0000-00000E260000}"/>
    <cellStyle name="60% - Akzent4 60" xfId="5931" xr:uid="{00000000-0005-0000-0000-00000F260000}"/>
    <cellStyle name="60% - Akzent4 60 2" xfId="15349" xr:uid="{00000000-0005-0000-0000-000010260000}"/>
    <cellStyle name="60% - Akzent4 60_est. MEAT" xfId="22305" xr:uid="{00000000-0005-0000-0000-000011260000}"/>
    <cellStyle name="60% - Akzent4 61" xfId="5932" xr:uid="{00000000-0005-0000-0000-000012260000}"/>
    <cellStyle name="60% - Akzent4 61 2" xfId="15350" xr:uid="{00000000-0005-0000-0000-000013260000}"/>
    <cellStyle name="60% - Akzent4 61_est. MEAT" xfId="22306" xr:uid="{00000000-0005-0000-0000-000014260000}"/>
    <cellStyle name="60% - Akzent4 62" xfId="5933" xr:uid="{00000000-0005-0000-0000-000015260000}"/>
    <cellStyle name="60% - Akzent4 62 2" xfId="15351" xr:uid="{00000000-0005-0000-0000-000016260000}"/>
    <cellStyle name="60% - Akzent4 62_est. MEAT" xfId="22307" xr:uid="{00000000-0005-0000-0000-000017260000}"/>
    <cellStyle name="60% - Akzent4 63" xfId="5934" xr:uid="{00000000-0005-0000-0000-000018260000}"/>
    <cellStyle name="60% - Akzent4 63 2" xfId="15352" xr:uid="{00000000-0005-0000-0000-000019260000}"/>
    <cellStyle name="60% - Akzent4 63_est. MEAT" xfId="22308" xr:uid="{00000000-0005-0000-0000-00001A260000}"/>
    <cellStyle name="60% - Akzent4 64" xfId="5935" xr:uid="{00000000-0005-0000-0000-00001B260000}"/>
    <cellStyle name="60% - Akzent4 64 2" xfId="15353" xr:uid="{00000000-0005-0000-0000-00001C260000}"/>
    <cellStyle name="60% - Akzent4 64_est. MEAT" xfId="22309" xr:uid="{00000000-0005-0000-0000-00001D260000}"/>
    <cellStyle name="60% - Akzent4 65" xfId="5936" xr:uid="{00000000-0005-0000-0000-00001E260000}"/>
    <cellStyle name="60% - Akzent4 65 2" xfId="15354" xr:uid="{00000000-0005-0000-0000-00001F260000}"/>
    <cellStyle name="60% - Akzent4 65_est. MEAT" xfId="22310" xr:uid="{00000000-0005-0000-0000-000020260000}"/>
    <cellStyle name="60% - Akzent4 66" xfId="5937" xr:uid="{00000000-0005-0000-0000-000021260000}"/>
    <cellStyle name="60% - Akzent4 66 2" xfId="15355" xr:uid="{00000000-0005-0000-0000-000022260000}"/>
    <cellStyle name="60% - Akzent4 66_est. MEAT" xfId="22311" xr:uid="{00000000-0005-0000-0000-000023260000}"/>
    <cellStyle name="60% - Akzent4 67" xfId="5938" xr:uid="{00000000-0005-0000-0000-000024260000}"/>
    <cellStyle name="60% - Akzent4 67 2" xfId="15356" xr:uid="{00000000-0005-0000-0000-000025260000}"/>
    <cellStyle name="60% - Akzent4 67_est. MEAT" xfId="22312" xr:uid="{00000000-0005-0000-0000-000026260000}"/>
    <cellStyle name="60% - Akzent4 68" xfId="5939" xr:uid="{00000000-0005-0000-0000-000027260000}"/>
    <cellStyle name="60% - Akzent4 68 2" xfId="15357" xr:uid="{00000000-0005-0000-0000-000028260000}"/>
    <cellStyle name="60% - Akzent4 68_est. MEAT" xfId="22313" xr:uid="{00000000-0005-0000-0000-000029260000}"/>
    <cellStyle name="60% - Akzent4 69" xfId="5940" xr:uid="{00000000-0005-0000-0000-00002A260000}"/>
    <cellStyle name="60% - Akzent4 69 2" xfId="15358" xr:uid="{00000000-0005-0000-0000-00002B260000}"/>
    <cellStyle name="60% - Akzent4 69_est. MEAT" xfId="22314" xr:uid="{00000000-0005-0000-0000-00002C260000}"/>
    <cellStyle name="60% - Akzent4 7" xfId="5941" xr:uid="{00000000-0005-0000-0000-00002D260000}"/>
    <cellStyle name="60% - Akzent4 7 2" xfId="5942" xr:uid="{00000000-0005-0000-0000-00002E260000}"/>
    <cellStyle name="60% - Akzent4 7 2 2" xfId="15360" xr:uid="{00000000-0005-0000-0000-00002F260000}"/>
    <cellStyle name="60% - Akzent4 7 2_est. MEAT" xfId="22315" xr:uid="{00000000-0005-0000-0000-000030260000}"/>
    <cellStyle name="60% - Akzent4 7 3" xfId="15359" xr:uid="{00000000-0005-0000-0000-000031260000}"/>
    <cellStyle name="60% - Akzent4 7_2012-2019" xfId="12291" xr:uid="{00000000-0005-0000-0000-000032260000}"/>
    <cellStyle name="60% - Akzent4 70" xfId="5943" xr:uid="{00000000-0005-0000-0000-000033260000}"/>
    <cellStyle name="60% - Akzent4 70 2" xfId="15361" xr:uid="{00000000-0005-0000-0000-000034260000}"/>
    <cellStyle name="60% - Akzent4 70_est. MEAT" xfId="22316" xr:uid="{00000000-0005-0000-0000-000035260000}"/>
    <cellStyle name="60% - Akzent4 71" xfId="5944" xr:uid="{00000000-0005-0000-0000-000036260000}"/>
    <cellStyle name="60% - Akzent4 71 2" xfId="15362" xr:uid="{00000000-0005-0000-0000-000037260000}"/>
    <cellStyle name="60% - Akzent4 71_est. MEAT" xfId="22317" xr:uid="{00000000-0005-0000-0000-000038260000}"/>
    <cellStyle name="60% - Akzent4 72" xfId="5945" xr:uid="{00000000-0005-0000-0000-000039260000}"/>
    <cellStyle name="60% - Akzent4 72 2" xfId="15363" xr:uid="{00000000-0005-0000-0000-00003A260000}"/>
    <cellStyle name="60% - Akzent4 72_est. MEAT" xfId="22318" xr:uid="{00000000-0005-0000-0000-00003B260000}"/>
    <cellStyle name="60% - Akzent4 73" xfId="5946" xr:uid="{00000000-0005-0000-0000-00003C260000}"/>
    <cellStyle name="60% - Akzent4 73 2" xfId="15364" xr:uid="{00000000-0005-0000-0000-00003D260000}"/>
    <cellStyle name="60% - Akzent4 73_est. MEAT" xfId="22319" xr:uid="{00000000-0005-0000-0000-00003E260000}"/>
    <cellStyle name="60% - Akzent4 74" xfId="5947" xr:uid="{00000000-0005-0000-0000-00003F260000}"/>
    <cellStyle name="60% - Akzent4 74 2" xfId="15365" xr:uid="{00000000-0005-0000-0000-000040260000}"/>
    <cellStyle name="60% - Akzent4 74_est. MEAT" xfId="22320" xr:uid="{00000000-0005-0000-0000-000041260000}"/>
    <cellStyle name="60% - Akzent4 75" xfId="5948" xr:uid="{00000000-0005-0000-0000-000042260000}"/>
    <cellStyle name="60% - Akzent4 75 2" xfId="15366" xr:uid="{00000000-0005-0000-0000-000043260000}"/>
    <cellStyle name="60% - Akzent4 75_est. MEAT" xfId="22321" xr:uid="{00000000-0005-0000-0000-000044260000}"/>
    <cellStyle name="60% - Akzent4 76" xfId="5949" xr:uid="{00000000-0005-0000-0000-000045260000}"/>
    <cellStyle name="60% - Akzent4 76 2" xfId="15367" xr:uid="{00000000-0005-0000-0000-000046260000}"/>
    <cellStyle name="60% - Akzent4 76_est. MEAT" xfId="22322" xr:uid="{00000000-0005-0000-0000-000047260000}"/>
    <cellStyle name="60% - Akzent4 77" xfId="5950" xr:uid="{00000000-0005-0000-0000-000048260000}"/>
    <cellStyle name="60% - Akzent4 77 2" xfId="15368" xr:uid="{00000000-0005-0000-0000-000049260000}"/>
    <cellStyle name="60% - Akzent4 77_est. MEAT" xfId="22323" xr:uid="{00000000-0005-0000-0000-00004A260000}"/>
    <cellStyle name="60% - Akzent4 78" xfId="5951" xr:uid="{00000000-0005-0000-0000-00004B260000}"/>
    <cellStyle name="60% - Akzent4 78 2" xfId="15369" xr:uid="{00000000-0005-0000-0000-00004C260000}"/>
    <cellStyle name="60% - Akzent4 78_est. MEAT" xfId="22324" xr:uid="{00000000-0005-0000-0000-00004D260000}"/>
    <cellStyle name="60% - Akzent4 79" xfId="5952" xr:uid="{00000000-0005-0000-0000-00004E260000}"/>
    <cellStyle name="60% - Akzent4 79 2" xfId="15370" xr:uid="{00000000-0005-0000-0000-00004F260000}"/>
    <cellStyle name="60% - Akzent4 79_est. MEAT" xfId="22325" xr:uid="{00000000-0005-0000-0000-000050260000}"/>
    <cellStyle name="60% - Akzent4 8" xfId="5953" xr:uid="{00000000-0005-0000-0000-000051260000}"/>
    <cellStyle name="60% - Akzent4 8 2" xfId="5954" xr:uid="{00000000-0005-0000-0000-000052260000}"/>
    <cellStyle name="60% - Akzent4 8 2 2" xfId="15372" xr:uid="{00000000-0005-0000-0000-000053260000}"/>
    <cellStyle name="60% - Akzent4 8 2_est. MEAT" xfId="22326" xr:uid="{00000000-0005-0000-0000-000054260000}"/>
    <cellStyle name="60% - Akzent4 8 3" xfId="15371" xr:uid="{00000000-0005-0000-0000-000055260000}"/>
    <cellStyle name="60% - Akzent4 8_2012-2019" xfId="12292" xr:uid="{00000000-0005-0000-0000-000056260000}"/>
    <cellStyle name="60% - Akzent4 80" xfId="5955" xr:uid="{00000000-0005-0000-0000-000057260000}"/>
    <cellStyle name="60% - Akzent4 80 2" xfId="15373" xr:uid="{00000000-0005-0000-0000-000058260000}"/>
    <cellStyle name="60% - Akzent4 80_est. MEAT" xfId="22327" xr:uid="{00000000-0005-0000-0000-000059260000}"/>
    <cellStyle name="60% - Akzent4 81" xfId="5956" xr:uid="{00000000-0005-0000-0000-00005A260000}"/>
    <cellStyle name="60% - Akzent4 81 2" xfId="15374" xr:uid="{00000000-0005-0000-0000-00005B260000}"/>
    <cellStyle name="60% - Akzent4 81_est. MEAT" xfId="22328" xr:uid="{00000000-0005-0000-0000-00005C260000}"/>
    <cellStyle name="60% - Akzent4 82" xfId="5957" xr:uid="{00000000-0005-0000-0000-00005D260000}"/>
    <cellStyle name="60% - Akzent4 82 2" xfId="15375" xr:uid="{00000000-0005-0000-0000-00005E260000}"/>
    <cellStyle name="60% - Akzent4 82_est. MEAT" xfId="22329" xr:uid="{00000000-0005-0000-0000-00005F260000}"/>
    <cellStyle name="60% - Akzent4 83" xfId="5958" xr:uid="{00000000-0005-0000-0000-000060260000}"/>
    <cellStyle name="60% - Akzent4 83 2" xfId="15376" xr:uid="{00000000-0005-0000-0000-000061260000}"/>
    <cellStyle name="60% - Akzent4 83_est. MEAT" xfId="22330" xr:uid="{00000000-0005-0000-0000-000062260000}"/>
    <cellStyle name="60% - Akzent4 84" xfId="5959" xr:uid="{00000000-0005-0000-0000-000063260000}"/>
    <cellStyle name="60% - Akzent4 84 2" xfId="15377" xr:uid="{00000000-0005-0000-0000-000064260000}"/>
    <cellStyle name="60% - Akzent4 84_est. MEAT" xfId="22331" xr:uid="{00000000-0005-0000-0000-000065260000}"/>
    <cellStyle name="60% - Akzent4 85" xfId="5960" xr:uid="{00000000-0005-0000-0000-000066260000}"/>
    <cellStyle name="60% - Akzent4 85 2" xfId="15378" xr:uid="{00000000-0005-0000-0000-000067260000}"/>
    <cellStyle name="60% - Akzent4 85_est. MEAT" xfId="22332" xr:uid="{00000000-0005-0000-0000-000068260000}"/>
    <cellStyle name="60% - Akzent4 86" xfId="5961" xr:uid="{00000000-0005-0000-0000-000069260000}"/>
    <cellStyle name="60% - Akzent4 86 2" xfId="15379" xr:uid="{00000000-0005-0000-0000-00006A260000}"/>
    <cellStyle name="60% - Akzent4 86_est. MEAT" xfId="22333" xr:uid="{00000000-0005-0000-0000-00006B260000}"/>
    <cellStyle name="60% - Akzent4 87" xfId="5962" xr:uid="{00000000-0005-0000-0000-00006C260000}"/>
    <cellStyle name="60% - Akzent4 87 2" xfId="15380" xr:uid="{00000000-0005-0000-0000-00006D260000}"/>
    <cellStyle name="60% - Akzent4 87_est. MEAT" xfId="22334" xr:uid="{00000000-0005-0000-0000-00006E260000}"/>
    <cellStyle name="60% - Akzent4 88" xfId="5963" xr:uid="{00000000-0005-0000-0000-00006F260000}"/>
    <cellStyle name="60% - Akzent4 88 2" xfId="15381" xr:uid="{00000000-0005-0000-0000-000070260000}"/>
    <cellStyle name="60% - Akzent4 88_est. MEAT" xfId="22335" xr:uid="{00000000-0005-0000-0000-000071260000}"/>
    <cellStyle name="60% - Akzent4 89" xfId="5964" xr:uid="{00000000-0005-0000-0000-000072260000}"/>
    <cellStyle name="60% - Akzent4 89 2" xfId="15382" xr:uid="{00000000-0005-0000-0000-000073260000}"/>
    <cellStyle name="60% - Akzent4 89_est. MEAT" xfId="22336" xr:uid="{00000000-0005-0000-0000-000074260000}"/>
    <cellStyle name="60% - Akzent4 9" xfId="5965" xr:uid="{00000000-0005-0000-0000-000075260000}"/>
    <cellStyle name="60% - Akzent4 9 2" xfId="5966" xr:uid="{00000000-0005-0000-0000-000076260000}"/>
    <cellStyle name="60% - Akzent4 9 2 2" xfId="15384" xr:uid="{00000000-0005-0000-0000-000077260000}"/>
    <cellStyle name="60% - Akzent4 9 2_est. MEAT" xfId="22337" xr:uid="{00000000-0005-0000-0000-000078260000}"/>
    <cellStyle name="60% - Akzent4 9 3" xfId="15383" xr:uid="{00000000-0005-0000-0000-000079260000}"/>
    <cellStyle name="60% - Akzent4 9_2012-2019" xfId="12293" xr:uid="{00000000-0005-0000-0000-00007A260000}"/>
    <cellStyle name="60% - Akzent4 90" xfId="5967" xr:uid="{00000000-0005-0000-0000-00007B260000}"/>
    <cellStyle name="60% - Akzent4 90 2" xfId="15385" xr:uid="{00000000-0005-0000-0000-00007C260000}"/>
    <cellStyle name="60% - Akzent4 90_est. MEAT" xfId="22338" xr:uid="{00000000-0005-0000-0000-00007D260000}"/>
    <cellStyle name="60% - Akzent4 91" xfId="5968" xr:uid="{00000000-0005-0000-0000-00007E260000}"/>
    <cellStyle name="60% - Akzent4 91 2" xfId="15386" xr:uid="{00000000-0005-0000-0000-00007F260000}"/>
    <cellStyle name="60% - Akzent4 91_est. MEAT" xfId="22339" xr:uid="{00000000-0005-0000-0000-000080260000}"/>
    <cellStyle name="60% - Akzent4 92" xfId="5969" xr:uid="{00000000-0005-0000-0000-000081260000}"/>
    <cellStyle name="60% - Akzent4 92 2" xfId="15387" xr:uid="{00000000-0005-0000-0000-000082260000}"/>
    <cellStyle name="60% - Akzent4 92_est. MEAT" xfId="22340" xr:uid="{00000000-0005-0000-0000-000083260000}"/>
    <cellStyle name="60% - Akzent4 93" xfId="5970" xr:uid="{00000000-0005-0000-0000-000084260000}"/>
    <cellStyle name="60% - Akzent4 93 2" xfId="15388" xr:uid="{00000000-0005-0000-0000-000085260000}"/>
    <cellStyle name="60% - Akzent4 93_est. MEAT" xfId="22341" xr:uid="{00000000-0005-0000-0000-000086260000}"/>
    <cellStyle name="60% - Akzent4 94" xfId="5971" xr:uid="{00000000-0005-0000-0000-000087260000}"/>
    <cellStyle name="60% - Akzent4 94 2" xfId="15389" xr:uid="{00000000-0005-0000-0000-000088260000}"/>
    <cellStyle name="60% - Akzent4 94_est. MEAT" xfId="22342" xr:uid="{00000000-0005-0000-0000-000089260000}"/>
    <cellStyle name="60% - Akzent4 95" xfId="5972" xr:uid="{00000000-0005-0000-0000-00008A260000}"/>
    <cellStyle name="60% - Akzent4 95 2" xfId="15390" xr:uid="{00000000-0005-0000-0000-00008B260000}"/>
    <cellStyle name="60% - Akzent4 95_est. MEAT" xfId="22343" xr:uid="{00000000-0005-0000-0000-00008C260000}"/>
    <cellStyle name="60% - Akzent4 96" xfId="5973" xr:uid="{00000000-0005-0000-0000-00008D260000}"/>
    <cellStyle name="60% - Akzent4 96 2" xfId="15391" xr:uid="{00000000-0005-0000-0000-00008E260000}"/>
    <cellStyle name="60% - Akzent4 96_est. MEAT" xfId="22344" xr:uid="{00000000-0005-0000-0000-00008F260000}"/>
    <cellStyle name="60% - Akzent4 97" xfId="5974" xr:uid="{00000000-0005-0000-0000-000090260000}"/>
    <cellStyle name="60% - Akzent4 97 2" xfId="15392" xr:uid="{00000000-0005-0000-0000-000091260000}"/>
    <cellStyle name="60% - Akzent4 97_est. MEAT" xfId="22345" xr:uid="{00000000-0005-0000-0000-000092260000}"/>
    <cellStyle name="60% - Akzent4 98" xfId="5975" xr:uid="{00000000-0005-0000-0000-000093260000}"/>
    <cellStyle name="60% - Akzent4 98 2" xfId="15393" xr:uid="{00000000-0005-0000-0000-000094260000}"/>
    <cellStyle name="60% - Akzent4 98_est. MEAT" xfId="22346" xr:uid="{00000000-0005-0000-0000-000095260000}"/>
    <cellStyle name="60% - Akzent4 99" xfId="5976" xr:uid="{00000000-0005-0000-0000-000096260000}"/>
    <cellStyle name="60% - Akzent4 99 2" xfId="15394" xr:uid="{00000000-0005-0000-0000-000097260000}"/>
    <cellStyle name="60% - Akzent4 99_est. MEAT" xfId="22347" xr:uid="{00000000-0005-0000-0000-000098260000}"/>
    <cellStyle name="60% - Akzent5 10" xfId="5977" xr:uid="{00000000-0005-0000-0000-000099260000}"/>
    <cellStyle name="60% - Akzent5 10 2" xfId="5978" xr:uid="{00000000-0005-0000-0000-00009A260000}"/>
    <cellStyle name="60% - Akzent5 10 2 2" xfId="15396" xr:uid="{00000000-0005-0000-0000-00009B260000}"/>
    <cellStyle name="60% - Akzent5 10 2_est. MEAT" xfId="22348" xr:uid="{00000000-0005-0000-0000-00009C260000}"/>
    <cellStyle name="60% - Akzent5 10 3" xfId="15395" xr:uid="{00000000-0005-0000-0000-00009D260000}"/>
    <cellStyle name="60% - Akzent5 10_2012-2019" xfId="12294" xr:uid="{00000000-0005-0000-0000-00009E260000}"/>
    <cellStyle name="60% - Akzent5 100" xfId="5979" xr:uid="{00000000-0005-0000-0000-00009F260000}"/>
    <cellStyle name="60% - Akzent5 100 2" xfId="15397" xr:uid="{00000000-0005-0000-0000-0000A0260000}"/>
    <cellStyle name="60% - Akzent5 100_est. MEAT" xfId="22349" xr:uid="{00000000-0005-0000-0000-0000A1260000}"/>
    <cellStyle name="60% - Akzent5 101" xfId="5980" xr:uid="{00000000-0005-0000-0000-0000A2260000}"/>
    <cellStyle name="60% - Akzent5 101 2" xfId="15398" xr:uid="{00000000-0005-0000-0000-0000A3260000}"/>
    <cellStyle name="60% - Akzent5 101_est. MEAT" xfId="22350" xr:uid="{00000000-0005-0000-0000-0000A4260000}"/>
    <cellStyle name="60% - Akzent5 102" xfId="5981" xr:uid="{00000000-0005-0000-0000-0000A5260000}"/>
    <cellStyle name="60% - Akzent5 102 2" xfId="15399" xr:uid="{00000000-0005-0000-0000-0000A6260000}"/>
    <cellStyle name="60% - Akzent5 102_est. MEAT" xfId="22351" xr:uid="{00000000-0005-0000-0000-0000A7260000}"/>
    <cellStyle name="60% - Akzent5 103" xfId="5982" xr:uid="{00000000-0005-0000-0000-0000A8260000}"/>
    <cellStyle name="60% - Akzent5 103 2" xfId="15400" xr:uid="{00000000-0005-0000-0000-0000A9260000}"/>
    <cellStyle name="60% - Akzent5 103_est. MEAT" xfId="22352" xr:uid="{00000000-0005-0000-0000-0000AA260000}"/>
    <cellStyle name="60% - Akzent5 104" xfId="5983" xr:uid="{00000000-0005-0000-0000-0000AB260000}"/>
    <cellStyle name="60% - Akzent5 104 2" xfId="15401" xr:uid="{00000000-0005-0000-0000-0000AC260000}"/>
    <cellStyle name="60% - Akzent5 104_est. MEAT" xfId="22353" xr:uid="{00000000-0005-0000-0000-0000AD260000}"/>
    <cellStyle name="60% - Akzent5 105" xfId="5984" xr:uid="{00000000-0005-0000-0000-0000AE260000}"/>
    <cellStyle name="60% - Akzent5 105 2" xfId="15402" xr:uid="{00000000-0005-0000-0000-0000AF260000}"/>
    <cellStyle name="60% - Akzent5 105_est. MEAT" xfId="22354" xr:uid="{00000000-0005-0000-0000-0000B0260000}"/>
    <cellStyle name="60% - Akzent5 106" xfId="5985" xr:uid="{00000000-0005-0000-0000-0000B1260000}"/>
    <cellStyle name="60% - Akzent5 106 2" xfId="15403" xr:uid="{00000000-0005-0000-0000-0000B2260000}"/>
    <cellStyle name="60% - Akzent5 106_est. MEAT" xfId="22355" xr:uid="{00000000-0005-0000-0000-0000B3260000}"/>
    <cellStyle name="60% - Akzent5 107" xfId="5986" xr:uid="{00000000-0005-0000-0000-0000B4260000}"/>
    <cellStyle name="60% - Akzent5 107 2" xfId="15404" xr:uid="{00000000-0005-0000-0000-0000B5260000}"/>
    <cellStyle name="60% - Akzent5 107_est. MEAT" xfId="22356" xr:uid="{00000000-0005-0000-0000-0000B6260000}"/>
    <cellStyle name="60% - Akzent5 108" xfId="5987" xr:uid="{00000000-0005-0000-0000-0000B7260000}"/>
    <cellStyle name="60% - Akzent5 108 2" xfId="15405" xr:uid="{00000000-0005-0000-0000-0000B8260000}"/>
    <cellStyle name="60% - Akzent5 108_est. MEAT" xfId="22357" xr:uid="{00000000-0005-0000-0000-0000B9260000}"/>
    <cellStyle name="60% - Akzent5 109" xfId="5988" xr:uid="{00000000-0005-0000-0000-0000BA260000}"/>
    <cellStyle name="60% - Akzent5 109 2" xfId="15406" xr:uid="{00000000-0005-0000-0000-0000BB260000}"/>
    <cellStyle name="60% - Akzent5 109_est. MEAT" xfId="22358" xr:uid="{00000000-0005-0000-0000-0000BC260000}"/>
    <cellStyle name="60% - Akzent5 11" xfId="5989" xr:uid="{00000000-0005-0000-0000-0000BD260000}"/>
    <cellStyle name="60% - Akzent5 11 2" xfId="5990" xr:uid="{00000000-0005-0000-0000-0000BE260000}"/>
    <cellStyle name="60% - Akzent5 11 2 2" xfId="15408" xr:uid="{00000000-0005-0000-0000-0000BF260000}"/>
    <cellStyle name="60% - Akzent5 11 2_est. MEAT" xfId="22359" xr:uid="{00000000-0005-0000-0000-0000C0260000}"/>
    <cellStyle name="60% - Akzent5 11 3" xfId="15407" xr:uid="{00000000-0005-0000-0000-0000C1260000}"/>
    <cellStyle name="60% - Akzent5 11_2012-2019" xfId="12295" xr:uid="{00000000-0005-0000-0000-0000C2260000}"/>
    <cellStyle name="60% - Akzent5 110" xfId="5991" xr:uid="{00000000-0005-0000-0000-0000C3260000}"/>
    <cellStyle name="60% - Akzent5 110 2" xfId="15409" xr:uid="{00000000-0005-0000-0000-0000C4260000}"/>
    <cellStyle name="60% - Akzent5 110_est. MEAT" xfId="22360" xr:uid="{00000000-0005-0000-0000-0000C5260000}"/>
    <cellStyle name="60% - Akzent5 111" xfId="5992" xr:uid="{00000000-0005-0000-0000-0000C6260000}"/>
    <cellStyle name="60% - Akzent5 111 2" xfId="15410" xr:uid="{00000000-0005-0000-0000-0000C7260000}"/>
    <cellStyle name="60% - Akzent5 111_est. MEAT" xfId="22361" xr:uid="{00000000-0005-0000-0000-0000C8260000}"/>
    <cellStyle name="60% - Akzent5 112" xfId="5993" xr:uid="{00000000-0005-0000-0000-0000C9260000}"/>
    <cellStyle name="60% - Akzent5 112 2" xfId="15411" xr:uid="{00000000-0005-0000-0000-0000CA260000}"/>
    <cellStyle name="60% - Akzent5 112_est. MEAT" xfId="22362" xr:uid="{00000000-0005-0000-0000-0000CB260000}"/>
    <cellStyle name="60% - Akzent5 113" xfId="5994" xr:uid="{00000000-0005-0000-0000-0000CC260000}"/>
    <cellStyle name="60% - Akzent5 113 2" xfId="15412" xr:uid="{00000000-0005-0000-0000-0000CD260000}"/>
    <cellStyle name="60% - Akzent5 113_est. MEAT" xfId="22363" xr:uid="{00000000-0005-0000-0000-0000CE260000}"/>
    <cellStyle name="60% - Akzent5 114" xfId="5995" xr:uid="{00000000-0005-0000-0000-0000CF260000}"/>
    <cellStyle name="60% - Akzent5 114 2" xfId="15413" xr:uid="{00000000-0005-0000-0000-0000D0260000}"/>
    <cellStyle name="60% - Akzent5 114_est. MEAT" xfId="22364" xr:uid="{00000000-0005-0000-0000-0000D1260000}"/>
    <cellStyle name="60% - Akzent5 115" xfId="5996" xr:uid="{00000000-0005-0000-0000-0000D2260000}"/>
    <cellStyle name="60% - Akzent5 115 2" xfId="15414" xr:uid="{00000000-0005-0000-0000-0000D3260000}"/>
    <cellStyle name="60% - Akzent5 115_est. MEAT" xfId="22365" xr:uid="{00000000-0005-0000-0000-0000D4260000}"/>
    <cellStyle name="60% - Akzent5 116" xfId="5997" xr:uid="{00000000-0005-0000-0000-0000D5260000}"/>
    <cellStyle name="60% - Akzent5 116 2" xfId="15415" xr:uid="{00000000-0005-0000-0000-0000D6260000}"/>
    <cellStyle name="60% - Akzent5 116_est. MEAT" xfId="22366" xr:uid="{00000000-0005-0000-0000-0000D7260000}"/>
    <cellStyle name="60% - Akzent5 117" xfId="5998" xr:uid="{00000000-0005-0000-0000-0000D8260000}"/>
    <cellStyle name="60% - Akzent5 117 2" xfId="15416" xr:uid="{00000000-0005-0000-0000-0000D9260000}"/>
    <cellStyle name="60% - Akzent5 117_est. MEAT" xfId="22367" xr:uid="{00000000-0005-0000-0000-0000DA260000}"/>
    <cellStyle name="60% - Akzent5 118" xfId="5999" xr:uid="{00000000-0005-0000-0000-0000DB260000}"/>
    <cellStyle name="60% - Akzent5 118 2" xfId="15417" xr:uid="{00000000-0005-0000-0000-0000DC260000}"/>
    <cellStyle name="60% - Akzent5 118_est. MEAT" xfId="22368" xr:uid="{00000000-0005-0000-0000-0000DD260000}"/>
    <cellStyle name="60% - Akzent5 119" xfId="6000" xr:uid="{00000000-0005-0000-0000-0000DE260000}"/>
    <cellStyle name="60% - Akzent5 119 2" xfId="15418" xr:uid="{00000000-0005-0000-0000-0000DF260000}"/>
    <cellStyle name="60% - Akzent5 119_est. MEAT" xfId="22369" xr:uid="{00000000-0005-0000-0000-0000E0260000}"/>
    <cellStyle name="60% - Akzent5 12" xfId="6001" xr:uid="{00000000-0005-0000-0000-0000E1260000}"/>
    <cellStyle name="60% - Akzent5 12 2" xfId="6002" xr:uid="{00000000-0005-0000-0000-0000E2260000}"/>
    <cellStyle name="60% - Akzent5 12 2 2" xfId="15420" xr:uid="{00000000-0005-0000-0000-0000E3260000}"/>
    <cellStyle name="60% - Akzent5 12 2_est. MEAT" xfId="22370" xr:uid="{00000000-0005-0000-0000-0000E4260000}"/>
    <cellStyle name="60% - Akzent5 12 3" xfId="15419" xr:uid="{00000000-0005-0000-0000-0000E5260000}"/>
    <cellStyle name="60% - Akzent5 12_2012-2019" xfId="12296" xr:uid="{00000000-0005-0000-0000-0000E6260000}"/>
    <cellStyle name="60% - Akzent5 120" xfId="6003" xr:uid="{00000000-0005-0000-0000-0000E7260000}"/>
    <cellStyle name="60% - Akzent5 120 2" xfId="15421" xr:uid="{00000000-0005-0000-0000-0000E8260000}"/>
    <cellStyle name="60% - Akzent5 120_est. MEAT" xfId="22371" xr:uid="{00000000-0005-0000-0000-0000E9260000}"/>
    <cellStyle name="60% - Akzent5 121" xfId="6004" xr:uid="{00000000-0005-0000-0000-0000EA260000}"/>
    <cellStyle name="60% - Akzent5 121 2" xfId="15422" xr:uid="{00000000-0005-0000-0000-0000EB260000}"/>
    <cellStyle name="60% - Akzent5 121_est. MEAT" xfId="22372" xr:uid="{00000000-0005-0000-0000-0000EC260000}"/>
    <cellStyle name="60% - Akzent5 122" xfId="6005" xr:uid="{00000000-0005-0000-0000-0000ED260000}"/>
    <cellStyle name="60% - Akzent5 122 2" xfId="15423" xr:uid="{00000000-0005-0000-0000-0000EE260000}"/>
    <cellStyle name="60% - Akzent5 122_est. MEAT" xfId="22373" xr:uid="{00000000-0005-0000-0000-0000EF260000}"/>
    <cellStyle name="60% - Akzent5 123" xfId="6006" xr:uid="{00000000-0005-0000-0000-0000F0260000}"/>
    <cellStyle name="60% - Akzent5 123 2" xfId="15424" xr:uid="{00000000-0005-0000-0000-0000F1260000}"/>
    <cellStyle name="60% - Akzent5 123_est. MEAT" xfId="22374" xr:uid="{00000000-0005-0000-0000-0000F2260000}"/>
    <cellStyle name="60% - Akzent5 124" xfId="6007" xr:uid="{00000000-0005-0000-0000-0000F3260000}"/>
    <cellStyle name="60% - Akzent5 124 2" xfId="15425" xr:uid="{00000000-0005-0000-0000-0000F4260000}"/>
    <cellStyle name="60% - Akzent5 124_est. MEAT" xfId="22375" xr:uid="{00000000-0005-0000-0000-0000F5260000}"/>
    <cellStyle name="60% - Akzent5 125" xfId="6008" xr:uid="{00000000-0005-0000-0000-0000F6260000}"/>
    <cellStyle name="60% - Akzent5 125 2" xfId="15426" xr:uid="{00000000-0005-0000-0000-0000F7260000}"/>
    <cellStyle name="60% - Akzent5 125_est. MEAT" xfId="22376" xr:uid="{00000000-0005-0000-0000-0000F8260000}"/>
    <cellStyle name="60% - Akzent5 126" xfId="6009" xr:uid="{00000000-0005-0000-0000-0000F9260000}"/>
    <cellStyle name="60% - Akzent5 126 2" xfId="15427" xr:uid="{00000000-0005-0000-0000-0000FA260000}"/>
    <cellStyle name="60% - Akzent5 126_est. MEAT" xfId="22377" xr:uid="{00000000-0005-0000-0000-0000FB260000}"/>
    <cellStyle name="60% - Akzent5 127" xfId="6010" xr:uid="{00000000-0005-0000-0000-0000FC260000}"/>
    <cellStyle name="60% - Akzent5 127 2" xfId="15428" xr:uid="{00000000-0005-0000-0000-0000FD260000}"/>
    <cellStyle name="60% - Akzent5 127_est. MEAT" xfId="22378" xr:uid="{00000000-0005-0000-0000-0000FE260000}"/>
    <cellStyle name="60% - Akzent5 128" xfId="6011" xr:uid="{00000000-0005-0000-0000-0000FF260000}"/>
    <cellStyle name="60% - Akzent5 128 2" xfId="15429" xr:uid="{00000000-0005-0000-0000-000000270000}"/>
    <cellStyle name="60% - Akzent5 128_est. MEAT" xfId="22379" xr:uid="{00000000-0005-0000-0000-000001270000}"/>
    <cellStyle name="60% - Akzent5 129" xfId="6012" xr:uid="{00000000-0005-0000-0000-000002270000}"/>
    <cellStyle name="60% - Akzent5 129 2" xfId="15430" xr:uid="{00000000-0005-0000-0000-000003270000}"/>
    <cellStyle name="60% - Akzent5 129_est. MEAT" xfId="22380" xr:uid="{00000000-0005-0000-0000-000004270000}"/>
    <cellStyle name="60% - Akzent5 13" xfId="6013" xr:uid="{00000000-0005-0000-0000-000005270000}"/>
    <cellStyle name="60% - Akzent5 13 2" xfId="6014" xr:uid="{00000000-0005-0000-0000-000006270000}"/>
    <cellStyle name="60% - Akzent5 13 2 2" xfId="15432" xr:uid="{00000000-0005-0000-0000-000007270000}"/>
    <cellStyle name="60% - Akzent5 13 2_est. MEAT" xfId="22381" xr:uid="{00000000-0005-0000-0000-000008270000}"/>
    <cellStyle name="60% - Akzent5 13 3" xfId="15431" xr:uid="{00000000-0005-0000-0000-000009270000}"/>
    <cellStyle name="60% - Akzent5 13_2012-2019" xfId="12297" xr:uid="{00000000-0005-0000-0000-00000A270000}"/>
    <cellStyle name="60% - Akzent5 130" xfId="6015" xr:uid="{00000000-0005-0000-0000-00000B270000}"/>
    <cellStyle name="60% - Akzent5 130 2" xfId="15433" xr:uid="{00000000-0005-0000-0000-00000C270000}"/>
    <cellStyle name="60% - Akzent5 130_est. MEAT" xfId="22382" xr:uid="{00000000-0005-0000-0000-00000D270000}"/>
    <cellStyle name="60% - Akzent5 131" xfId="6016" xr:uid="{00000000-0005-0000-0000-00000E270000}"/>
    <cellStyle name="60% - Akzent5 131 2" xfId="15434" xr:uid="{00000000-0005-0000-0000-00000F270000}"/>
    <cellStyle name="60% - Akzent5 131_est. MEAT" xfId="22383" xr:uid="{00000000-0005-0000-0000-000010270000}"/>
    <cellStyle name="60% - Akzent5 132" xfId="6017" xr:uid="{00000000-0005-0000-0000-000011270000}"/>
    <cellStyle name="60% - Akzent5 132 2" xfId="15435" xr:uid="{00000000-0005-0000-0000-000012270000}"/>
    <cellStyle name="60% - Akzent5 132_est. MEAT" xfId="22384" xr:uid="{00000000-0005-0000-0000-000013270000}"/>
    <cellStyle name="60% - Akzent5 133" xfId="6018" xr:uid="{00000000-0005-0000-0000-000014270000}"/>
    <cellStyle name="60% - Akzent5 133 2" xfId="15436" xr:uid="{00000000-0005-0000-0000-000015270000}"/>
    <cellStyle name="60% - Akzent5 133_est. MEAT" xfId="22385" xr:uid="{00000000-0005-0000-0000-000016270000}"/>
    <cellStyle name="60% - Akzent5 134" xfId="6019" xr:uid="{00000000-0005-0000-0000-000017270000}"/>
    <cellStyle name="60% - Akzent5 134 2" xfId="15437" xr:uid="{00000000-0005-0000-0000-000018270000}"/>
    <cellStyle name="60% - Akzent5 134_est. MEAT" xfId="22386" xr:uid="{00000000-0005-0000-0000-000019270000}"/>
    <cellStyle name="60% - Akzent5 135" xfId="6020" xr:uid="{00000000-0005-0000-0000-00001A270000}"/>
    <cellStyle name="60% - Akzent5 135 2" xfId="15438" xr:uid="{00000000-0005-0000-0000-00001B270000}"/>
    <cellStyle name="60% - Akzent5 135_est. MEAT" xfId="22387" xr:uid="{00000000-0005-0000-0000-00001C270000}"/>
    <cellStyle name="60% - Akzent5 136" xfId="6021" xr:uid="{00000000-0005-0000-0000-00001D270000}"/>
    <cellStyle name="60% - Akzent5 136 2" xfId="15439" xr:uid="{00000000-0005-0000-0000-00001E270000}"/>
    <cellStyle name="60% - Akzent5 136_est. MEAT" xfId="22388" xr:uid="{00000000-0005-0000-0000-00001F270000}"/>
    <cellStyle name="60% - Akzent5 137" xfId="6022" xr:uid="{00000000-0005-0000-0000-000020270000}"/>
    <cellStyle name="60% - Akzent5 137 2" xfId="15440" xr:uid="{00000000-0005-0000-0000-000021270000}"/>
    <cellStyle name="60% - Akzent5 137_est. MEAT" xfId="22389" xr:uid="{00000000-0005-0000-0000-000022270000}"/>
    <cellStyle name="60% - Akzent5 138" xfId="6023" xr:uid="{00000000-0005-0000-0000-000023270000}"/>
    <cellStyle name="60% - Akzent5 138 2" xfId="15441" xr:uid="{00000000-0005-0000-0000-000024270000}"/>
    <cellStyle name="60% - Akzent5 138_est. MEAT" xfId="22390" xr:uid="{00000000-0005-0000-0000-000025270000}"/>
    <cellStyle name="60% - Akzent5 139" xfId="6024" xr:uid="{00000000-0005-0000-0000-000026270000}"/>
    <cellStyle name="60% - Akzent5 139 2" xfId="15442" xr:uid="{00000000-0005-0000-0000-000027270000}"/>
    <cellStyle name="60% - Akzent5 139_est. MEAT" xfId="22391" xr:uid="{00000000-0005-0000-0000-000028270000}"/>
    <cellStyle name="60% - Akzent5 14" xfId="6025" xr:uid="{00000000-0005-0000-0000-000029270000}"/>
    <cellStyle name="60% - Akzent5 14 2" xfId="6026" xr:uid="{00000000-0005-0000-0000-00002A270000}"/>
    <cellStyle name="60% - Akzent5 14 2 2" xfId="15444" xr:uid="{00000000-0005-0000-0000-00002B270000}"/>
    <cellStyle name="60% - Akzent5 14 2_est. MEAT" xfId="22392" xr:uid="{00000000-0005-0000-0000-00002C270000}"/>
    <cellStyle name="60% - Akzent5 14 3" xfId="15443" xr:uid="{00000000-0005-0000-0000-00002D270000}"/>
    <cellStyle name="60% - Akzent5 14_2012-2019" xfId="12298" xr:uid="{00000000-0005-0000-0000-00002E270000}"/>
    <cellStyle name="60% - Akzent5 140" xfId="6027" xr:uid="{00000000-0005-0000-0000-00002F270000}"/>
    <cellStyle name="60% - Akzent5 140 2" xfId="15445" xr:uid="{00000000-0005-0000-0000-000030270000}"/>
    <cellStyle name="60% - Akzent5 140_est. MEAT" xfId="22393" xr:uid="{00000000-0005-0000-0000-000031270000}"/>
    <cellStyle name="60% - Akzent5 141" xfId="6028" xr:uid="{00000000-0005-0000-0000-000032270000}"/>
    <cellStyle name="60% - Akzent5 141 2" xfId="15446" xr:uid="{00000000-0005-0000-0000-000033270000}"/>
    <cellStyle name="60% - Akzent5 141_est. MEAT" xfId="22394" xr:uid="{00000000-0005-0000-0000-000034270000}"/>
    <cellStyle name="60% - Akzent5 142" xfId="6029" xr:uid="{00000000-0005-0000-0000-000035270000}"/>
    <cellStyle name="60% - Akzent5 142 2" xfId="15447" xr:uid="{00000000-0005-0000-0000-000036270000}"/>
    <cellStyle name="60% - Akzent5 142_est. MEAT" xfId="22395" xr:uid="{00000000-0005-0000-0000-000037270000}"/>
    <cellStyle name="60% - Akzent5 143" xfId="6030" xr:uid="{00000000-0005-0000-0000-000038270000}"/>
    <cellStyle name="60% - Akzent5 143 2" xfId="15448" xr:uid="{00000000-0005-0000-0000-000039270000}"/>
    <cellStyle name="60% - Akzent5 143_est. MEAT" xfId="22396" xr:uid="{00000000-0005-0000-0000-00003A270000}"/>
    <cellStyle name="60% - Akzent5 144" xfId="6031" xr:uid="{00000000-0005-0000-0000-00003B270000}"/>
    <cellStyle name="60% - Akzent5 144 2" xfId="15449" xr:uid="{00000000-0005-0000-0000-00003C270000}"/>
    <cellStyle name="60% - Akzent5 144_est. MEAT" xfId="22397" xr:uid="{00000000-0005-0000-0000-00003D270000}"/>
    <cellStyle name="60% - Akzent5 145" xfId="6032" xr:uid="{00000000-0005-0000-0000-00003E270000}"/>
    <cellStyle name="60% - Akzent5 145 2" xfId="15450" xr:uid="{00000000-0005-0000-0000-00003F270000}"/>
    <cellStyle name="60% - Akzent5 145_est. MEAT" xfId="22398" xr:uid="{00000000-0005-0000-0000-000040270000}"/>
    <cellStyle name="60% - Akzent5 146" xfId="6033" xr:uid="{00000000-0005-0000-0000-000041270000}"/>
    <cellStyle name="60% - Akzent5 146 2" xfId="15451" xr:uid="{00000000-0005-0000-0000-000042270000}"/>
    <cellStyle name="60% - Akzent5 146_est. MEAT" xfId="22399" xr:uid="{00000000-0005-0000-0000-000043270000}"/>
    <cellStyle name="60% - Akzent5 147" xfId="6034" xr:uid="{00000000-0005-0000-0000-000044270000}"/>
    <cellStyle name="60% - Akzent5 147 2" xfId="15452" xr:uid="{00000000-0005-0000-0000-000045270000}"/>
    <cellStyle name="60% - Akzent5 147_est. MEAT" xfId="22400" xr:uid="{00000000-0005-0000-0000-000046270000}"/>
    <cellStyle name="60% - Akzent5 148" xfId="6035" xr:uid="{00000000-0005-0000-0000-000047270000}"/>
    <cellStyle name="60% - Akzent5 148 2" xfId="15453" xr:uid="{00000000-0005-0000-0000-000048270000}"/>
    <cellStyle name="60% - Akzent5 148_est. MEAT" xfId="22401" xr:uid="{00000000-0005-0000-0000-000049270000}"/>
    <cellStyle name="60% - Akzent5 149" xfId="6036" xr:uid="{00000000-0005-0000-0000-00004A270000}"/>
    <cellStyle name="60% - Akzent5 149 2" xfId="15454" xr:uid="{00000000-0005-0000-0000-00004B270000}"/>
    <cellStyle name="60% - Akzent5 149_est. MEAT" xfId="22402" xr:uid="{00000000-0005-0000-0000-00004C270000}"/>
    <cellStyle name="60% - Akzent5 15" xfId="6037" xr:uid="{00000000-0005-0000-0000-00004D270000}"/>
    <cellStyle name="60% - Akzent5 15 2" xfId="15455" xr:uid="{00000000-0005-0000-0000-00004E270000}"/>
    <cellStyle name="60% - Akzent5 15_est. MEAT" xfId="22403" xr:uid="{00000000-0005-0000-0000-00004F270000}"/>
    <cellStyle name="60% - Akzent5 150" xfId="6038" xr:uid="{00000000-0005-0000-0000-000050270000}"/>
    <cellStyle name="60% - Akzent5 150 2" xfId="15456" xr:uid="{00000000-0005-0000-0000-000051270000}"/>
    <cellStyle name="60% - Akzent5 150_est. MEAT" xfId="22404" xr:uid="{00000000-0005-0000-0000-000052270000}"/>
    <cellStyle name="60% - Akzent5 151" xfId="6039" xr:uid="{00000000-0005-0000-0000-000053270000}"/>
    <cellStyle name="60% - Akzent5 151 2" xfId="15457" xr:uid="{00000000-0005-0000-0000-000054270000}"/>
    <cellStyle name="60% - Akzent5 151_est. MEAT" xfId="22405" xr:uid="{00000000-0005-0000-0000-000055270000}"/>
    <cellStyle name="60% - Akzent5 16" xfId="6040" xr:uid="{00000000-0005-0000-0000-000056270000}"/>
    <cellStyle name="60% - Akzent5 16 2" xfId="15458" xr:uid="{00000000-0005-0000-0000-000057270000}"/>
    <cellStyle name="60% - Akzent5 16_est. MEAT" xfId="22406" xr:uid="{00000000-0005-0000-0000-000058270000}"/>
    <cellStyle name="60% - Akzent5 17" xfId="6041" xr:uid="{00000000-0005-0000-0000-000059270000}"/>
    <cellStyle name="60% - Akzent5 17 2" xfId="15459" xr:uid="{00000000-0005-0000-0000-00005A270000}"/>
    <cellStyle name="60% - Akzent5 17_est. MEAT" xfId="22407" xr:uid="{00000000-0005-0000-0000-00005B270000}"/>
    <cellStyle name="60% - Akzent5 18" xfId="6042" xr:uid="{00000000-0005-0000-0000-00005C270000}"/>
    <cellStyle name="60% - Akzent5 18 2" xfId="15460" xr:uid="{00000000-0005-0000-0000-00005D270000}"/>
    <cellStyle name="60% - Akzent5 18_est. MEAT" xfId="22408" xr:uid="{00000000-0005-0000-0000-00005E270000}"/>
    <cellStyle name="60% - Akzent5 19" xfId="6043" xr:uid="{00000000-0005-0000-0000-00005F270000}"/>
    <cellStyle name="60% - Akzent5 19 2" xfId="15461" xr:uid="{00000000-0005-0000-0000-000060270000}"/>
    <cellStyle name="60% - Akzent5 19_est. MEAT" xfId="22409" xr:uid="{00000000-0005-0000-0000-000061270000}"/>
    <cellStyle name="60% - Akzent5 2" xfId="6044" xr:uid="{00000000-0005-0000-0000-000062270000}"/>
    <cellStyle name="60% - Akzent5 2 2" xfId="6045" xr:uid="{00000000-0005-0000-0000-000063270000}"/>
    <cellStyle name="60% - Akzent5 2 2 2" xfId="15463" xr:uid="{00000000-0005-0000-0000-000064270000}"/>
    <cellStyle name="60% - Akzent5 2 2_est. MEAT" xfId="22410" xr:uid="{00000000-0005-0000-0000-000065270000}"/>
    <cellStyle name="60% - Akzent5 2 3" xfId="15462" xr:uid="{00000000-0005-0000-0000-000066270000}"/>
    <cellStyle name="60% - Akzent5 2_2012-2019" xfId="12299" xr:uid="{00000000-0005-0000-0000-000067270000}"/>
    <cellStyle name="60% - Akzent5 20" xfId="6046" xr:uid="{00000000-0005-0000-0000-000068270000}"/>
    <cellStyle name="60% - Akzent5 20 2" xfId="15464" xr:uid="{00000000-0005-0000-0000-000069270000}"/>
    <cellStyle name="60% - Akzent5 20_est. MEAT" xfId="22411" xr:uid="{00000000-0005-0000-0000-00006A270000}"/>
    <cellStyle name="60% - Akzent5 21" xfId="6047" xr:uid="{00000000-0005-0000-0000-00006B270000}"/>
    <cellStyle name="60% - Akzent5 21 2" xfId="15465" xr:uid="{00000000-0005-0000-0000-00006C270000}"/>
    <cellStyle name="60% - Akzent5 21_est. MEAT" xfId="22412" xr:uid="{00000000-0005-0000-0000-00006D270000}"/>
    <cellStyle name="60% - Akzent5 22" xfId="6048" xr:uid="{00000000-0005-0000-0000-00006E270000}"/>
    <cellStyle name="60% - Akzent5 22 2" xfId="15466" xr:uid="{00000000-0005-0000-0000-00006F270000}"/>
    <cellStyle name="60% - Akzent5 22_est. MEAT" xfId="22413" xr:uid="{00000000-0005-0000-0000-000070270000}"/>
    <cellStyle name="60% - Akzent5 23" xfId="6049" xr:uid="{00000000-0005-0000-0000-000071270000}"/>
    <cellStyle name="60% - Akzent5 23 2" xfId="15467" xr:uid="{00000000-0005-0000-0000-000072270000}"/>
    <cellStyle name="60% - Akzent5 23_est. MEAT" xfId="22414" xr:uid="{00000000-0005-0000-0000-000073270000}"/>
    <cellStyle name="60% - Akzent5 24" xfId="6050" xr:uid="{00000000-0005-0000-0000-000074270000}"/>
    <cellStyle name="60% - Akzent5 24 2" xfId="15468" xr:uid="{00000000-0005-0000-0000-000075270000}"/>
    <cellStyle name="60% - Akzent5 24_est. MEAT" xfId="22415" xr:uid="{00000000-0005-0000-0000-000076270000}"/>
    <cellStyle name="60% - Akzent5 25" xfId="6051" xr:uid="{00000000-0005-0000-0000-000077270000}"/>
    <cellStyle name="60% - Akzent5 25 2" xfId="15469" xr:uid="{00000000-0005-0000-0000-000078270000}"/>
    <cellStyle name="60% - Akzent5 25_est. MEAT" xfId="22416" xr:uid="{00000000-0005-0000-0000-000079270000}"/>
    <cellStyle name="60% - Akzent5 26" xfId="6052" xr:uid="{00000000-0005-0000-0000-00007A270000}"/>
    <cellStyle name="60% - Akzent5 26 2" xfId="15470" xr:uid="{00000000-0005-0000-0000-00007B270000}"/>
    <cellStyle name="60% - Akzent5 26_est. MEAT" xfId="22417" xr:uid="{00000000-0005-0000-0000-00007C270000}"/>
    <cellStyle name="60% - Akzent5 27" xfId="6053" xr:uid="{00000000-0005-0000-0000-00007D270000}"/>
    <cellStyle name="60% - Akzent5 27 2" xfId="15471" xr:uid="{00000000-0005-0000-0000-00007E270000}"/>
    <cellStyle name="60% - Akzent5 27_est. MEAT" xfId="22418" xr:uid="{00000000-0005-0000-0000-00007F270000}"/>
    <cellStyle name="60% - Akzent5 28" xfId="6054" xr:uid="{00000000-0005-0000-0000-000080270000}"/>
    <cellStyle name="60% - Akzent5 28 2" xfId="15472" xr:uid="{00000000-0005-0000-0000-000081270000}"/>
    <cellStyle name="60% - Akzent5 28_est. MEAT" xfId="22419" xr:uid="{00000000-0005-0000-0000-000082270000}"/>
    <cellStyle name="60% - Akzent5 29" xfId="6055" xr:uid="{00000000-0005-0000-0000-000083270000}"/>
    <cellStyle name="60% - Akzent5 29 2" xfId="15473" xr:uid="{00000000-0005-0000-0000-000084270000}"/>
    <cellStyle name="60% - Akzent5 29_est. MEAT" xfId="22420" xr:uid="{00000000-0005-0000-0000-000085270000}"/>
    <cellStyle name="60% - Akzent5 3" xfId="6056" xr:uid="{00000000-0005-0000-0000-000086270000}"/>
    <cellStyle name="60% - Akzent5 3 2" xfId="6057" xr:uid="{00000000-0005-0000-0000-000087270000}"/>
    <cellStyle name="60% - Akzent5 3 2 2" xfId="15475" xr:uid="{00000000-0005-0000-0000-000088270000}"/>
    <cellStyle name="60% - Akzent5 3 2_est. MEAT" xfId="22421" xr:uid="{00000000-0005-0000-0000-000089270000}"/>
    <cellStyle name="60% - Akzent5 3 3" xfId="15474" xr:uid="{00000000-0005-0000-0000-00008A270000}"/>
    <cellStyle name="60% - Akzent5 3_2012-2019" xfId="12300" xr:uid="{00000000-0005-0000-0000-00008B270000}"/>
    <cellStyle name="60% - Akzent5 30" xfId="6058" xr:uid="{00000000-0005-0000-0000-00008C270000}"/>
    <cellStyle name="60% - Akzent5 30 2" xfId="15476" xr:uid="{00000000-0005-0000-0000-00008D270000}"/>
    <cellStyle name="60% - Akzent5 30_est. MEAT" xfId="22422" xr:uid="{00000000-0005-0000-0000-00008E270000}"/>
    <cellStyle name="60% - Akzent5 31" xfId="6059" xr:uid="{00000000-0005-0000-0000-00008F270000}"/>
    <cellStyle name="60% - Akzent5 31 2" xfId="15477" xr:uid="{00000000-0005-0000-0000-000090270000}"/>
    <cellStyle name="60% - Akzent5 31_est. MEAT" xfId="22423" xr:uid="{00000000-0005-0000-0000-000091270000}"/>
    <cellStyle name="60% - Akzent5 32" xfId="6060" xr:uid="{00000000-0005-0000-0000-000092270000}"/>
    <cellStyle name="60% - Akzent5 32 2" xfId="15478" xr:uid="{00000000-0005-0000-0000-000093270000}"/>
    <cellStyle name="60% - Akzent5 32_est. MEAT" xfId="22424" xr:uid="{00000000-0005-0000-0000-000094270000}"/>
    <cellStyle name="60% - Akzent5 33" xfId="6061" xr:uid="{00000000-0005-0000-0000-000095270000}"/>
    <cellStyle name="60% - Akzent5 33 2" xfId="15479" xr:uid="{00000000-0005-0000-0000-000096270000}"/>
    <cellStyle name="60% - Akzent5 33_est. MEAT" xfId="22425" xr:uid="{00000000-0005-0000-0000-000097270000}"/>
    <cellStyle name="60% - Akzent5 34" xfId="6062" xr:uid="{00000000-0005-0000-0000-000098270000}"/>
    <cellStyle name="60% - Akzent5 34 2" xfId="15480" xr:uid="{00000000-0005-0000-0000-000099270000}"/>
    <cellStyle name="60% - Akzent5 34_est. MEAT" xfId="22426" xr:uid="{00000000-0005-0000-0000-00009A270000}"/>
    <cellStyle name="60% - Akzent5 35" xfId="6063" xr:uid="{00000000-0005-0000-0000-00009B270000}"/>
    <cellStyle name="60% - Akzent5 35 2" xfId="15481" xr:uid="{00000000-0005-0000-0000-00009C270000}"/>
    <cellStyle name="60% - Akzent5 35_est. MEAT" xfId="22427" xr:uid="{00000000-0005-0000-0000-00009D270000}"/>
    <cellStyle name="60% - Akzent5 36" xfId="6064" xr:uid="{00000000-0005-0000-0000-00009E270000}"/>
    <cellStyle name="60% - Akzent5 36 2" xfId="15482" xr:uid="{00000000-0005-0000-0000-00009F270000}"/>
    <cellStyle name="60% - Akzent5 36_est. MEAT" xfId="22428" xr:uid="{00000000-0005-0000-0000-0000A0270000}"/>
    <cellStyle name="60% - Akzent5 37" xfId="6065" xr:uid="{00000000-0005-0000-0000-0000A1270000}"/>
    <cellStyle name="60% - Akzent5 37 2" xfId="15483" xr:uid="{00000000-0005-0000-0000-0000A2270000}"/>
    <cellStyle name="60% - Akzent5 37_est. MEAT" xfId="22429" xr:uid="{00000000-0005-0000-0000-0000A3270000}"/>
    <cellStyle name="60% - Akzent5 38" xfId="6066" xr:uid="{00000000-0005-0000-0000-0000A4270000}"/>
    <cellStyle name="60% - Akzent5 38 2" xfId="15484" xr:uid="{00000000-0005-0000-0000-0000A5270000}"/>
    <cellStyle name="60% - Akzent5 38_est. MEAT" xfId="22430" xr:uid="{00000000-0005-0000-0000-0000A6270000}"/>
    <cellStyle name="60% - Akzent5 39" xfId="6067" xr:uid="{00000000-0005-0000-0000-0000A7270000}"/>
    <cellStyle name="60% - Akzent5 39 2" xfId="15485" xr:uid="{00000000-0005-0000-0000-0000A8270000}"/>
    <cellStyle name="60% - Akzent5 39_est. MEAT" xfId="22431" xr:uid="{00000000-0005-0000-0000-0000A9270000}"/>
    <cellStyle name="60% - Akzent5 4" xfId="6068" xr:uid="{00000000-0005-0000-0000-0000AA270000}"/>
    <cellStyle name="60% - Akzent5 4 2" xfId="6069" xr:uid="{00000000-0005-0000-0000-0000AB270000}"/>
    <cellStyle name="60% - Akzent5 4 2 2" xfId="15487" xr:uid="{00000000-0005-0000-0000-0000AC270000}"/>
    <cellStyle name="60% - Akzent5 4 2_est. MEAT" xfId="22432" xr:uid="{00000000-0005-0000-0000-0000AD270000}"/>
    <cellStyle name="60% - Akzent5 4 3" xfId="15486" xr:uid="{00000000-0005-0000-0000-0000AE270000}"/>
    <cellStyle name="60% - Akzent5 4_2012-2019" xfId="12301" xr:uid="{00000000-0005-0000-0000-0000AF270000}"/>
    <cellStyle name="60% - Akzent5 40" xfId="6070" xr:uid="{00000000-0005-0000-0000-0000B0270000}"/>
    <cellStyle name="60% - Akzent5 40 2" xfId="15488" xr:uid="{00000000-0005-0000-0000-0000B1270000}"/>
    <cellStyle name="60% - Akzent5 40_est. MEAT" xfId="22433" xr:uid="{00000000-0005-0000-0000-0000B2270000}"/>
    <cellStyle name="60% - Akzent5 41" xfId="6071" xr:uid="{00000000-0005-0000-0000-0000B3270000}"/>
    <cellStyle name="60% - Akzent5 41 2" xfId="15489" xr:uid="{00000000-0005-0000-0000-0000B4270000}"/>
    <cellStyle name="60% - Akzent5 41_est. MEAT" xfId="22434" xr:uid="{00000000-0005-0000-0000-0000B5270000}"/>
    <cellStyle name="60% - Akzent5 42" xfId="6072" xr:uid="{00000000-0005-0000-0000-0000B6270000}"/>
    <cellStyle name="60% - Akzent5 42 2" xfId="15490" xr:uid="{00000000-0005-0000-0000-0000B7270000}"/>
    <cellStyle name="60% - Akzent5 42_est. MEAT" xfId="22435" xr:uid="{00000000-0005-0000-0000-0000B8270000}"/>
    <cellStyle name="60% - Akzent5 43" xfId="6073" xr:uid="{00000000-0005-0000-0000-0000B9270000}"/>
    <cellStyle name="60% - Akzent5 43 2" xfId="15491" xr:uid="{00000000-0005-0000-0000-0000BA270000}"/>
    <cellStyle name="60% - Akzent5 43_est. MEAT" xfId="22436" xr:uid="{00000000-0005-0000-0000-0000BB270000}"/>
    <cellStyle name="60% - Akzent5 44" xfId="6074" xr:uid="{00000000-0005-0000-0000-0000BC270000}"/>
    <cellStyle name="60% - Akzent5 44 2" xfId="15492" xr:uid="{00000000-0005-0000-0000-0000BD270000}"/>
    <cellStyle name="60% - Akzent5 44_est. MEAT" xfId="22437" xr:uid="{00000000-0005-0000-0000-0000BE270000}"/>
    <cellStyle name="60% - Akzent5 45" xfId="6075" xr:uid="{00000000-0005-0000-0000-0000BF270000}"/>
    <cellStyle name="60% - Akzent5 45 2" xfId="15493" xr:uid="{00000000-0005-0000-0000-0000C0270000}"/>
    <cellStyle name="60% - Akzent5 45_est. MEAT" xfId="22438" xr:uid="{00000000-0005-0000-0000-0000C1270000}"/>
    <cellStyle name="60% - Akzent5 46" xfId="6076" xr:uid="{00000000-0005-0000-0000-0000C2270000}"/>
    <cellStyle name="60% - Akzent5 46 2" xfId="15494" xr:uid="{00000000-0005-0000-0000-0000C3270000}"/>
    <cellStyle name="60% - Akzent5 46_est. MEAT" xfId="22439" xr:uid="{00000000-0005-0000-0000-0000C4270000}"/>
    <cellStyle name="60% - Akzent5 47" xfId="6077" xr:uid="{00000000-0005-0000-0000-0000C5270000}"/>
    <cellStyle name="60% - Akzent5 47 2" xfId="15495" xr:uid="{00000000-0005-0000-0000-0000C6270000}"/>
    <cellStyle name="60% - Akzent5 47_est. MEAT" xfId="22440" xr:uid="{00000000-0005-0000-0000-0000C7270000}"/>
    <cellStyle name="60% - Akzent5 48" xfId="6078" xr:uid="{00000000-0005-0000-0000-0000C8270000}"/>
    <cellStyle name="60% - Akzent5 48 2" xfId="15496" xr:uid="{00000000-0005-0000-0000-0000C9270000}"/>
    <cellStyle name="60% - Akzent5 48_est. MEAT" xfId="22441" xr:uid="{00000000-0005-0000-0000-0000CA270000}"/>
    <cellStyle name="60% - Akzent5 49" xfId="6079" xr:uid="{00000000-0005-0000-0000-0000CB270000}"/>
    <cellStyle name="60% - Akzent5 49 2" xfId="15497" xr:uid="{00000000-0005-0000-0000-0000CC270000}"/>
    <cellStyle name="60% - Akzent5 49_est. MEAT" xfId="22442" xr:uid="{00000000-0005-0000-0000-0000CD270000}"/>
    <cellStyle name="60% - Akzent5 5" xfId="6080" xr:uid="{00000000-0005-0000-0000-0000CE270000}"/>
    <cellStyle name="60% - Akzent5 5 2" xfId="6081" xr:uid="{00000000-0005-0000-0000-0000CF270000}"/>
    <cellStyle name="60% - Akzent5 5 2 2" xfId="15499" xr:uid="{00000000-0005-0000-0000-0000D0270000}"/>
    <cellStyle name="60% - Akzent5 5 2_est. MEAT" xfId="22443" xr:uid="{00000000-0005-0000-0000-0000D1270000}"/>
    <cellStyle name="60% - Akzent5 5 3" xfId="15498" xr:uid="{00000000-0005-0000-0000-0000D2270000}"/>
    <cellStyle name="60% - Akzent5 5_2012-2019" xfId="12302" xr:uid="{00000000-0005-0000-0000-0000D3270000}"/>
    <cellStyle name="60% - Akzent5 50" xfId="6082" xr:uid="{00000000-0005-0000-0000-0000D4270000}"/>
    <cellStyle name="60% - Akzent5 50 2" xfId="15500" xr:uid="{00000000-0005-0000-0000-0000D5270000}"/>
    <cellStyle name="60% - Akzent5 50_est. MEAT" xfId="22444" xr:uid="{00000000-0005-0000-0000-0000D6270000}"/>
    <cellStyle name="60% - Akzent5 51" xfId="6083" xr:uid="{00000000-0005-0000-0000-0000D7270000}"/>
    <cellStyle name="60% - Akzent5 51 2" xfId="15501" xr:uid="{00000000-0005-0000-0000-0000D8270000}"/>
    <cellStyle name="60% - Akzent5 51_est. MEAT" xfId="22445" xr:uid="{00000000-0005-0000-0000-0000D9270000}"/>
    <cellStyle name="60% - Akzent5 52" xfId="6084" xr:uid="{00000000-0005-0000-0000-0000DA270000}"/>
    <cellStyle name="60% - Akzent5 52 2" xfId="15502" xr:uid="{00000000-0005-0000-0000-0000DB270000}"/>
    <cellStyle name="60% - Akzent5 52_est. MEAT" xfId="22446" xr:uid="{00000000-0005-0000-0000-0000DC270000}"/>
    <cellStyle name="60% - Akzent5 53" xfId="6085" xr:uid="{00000000-0005-0000-0000-0000DD270000}"/>
    <cellStyle name="60% - Akzent5 53 2" xfId="15503" xr:uid="{00000000-0005-0000-0000-0000DE270000}"/>
    <cellStyle name="60% - Akzent5 53_est. MEAT" xfId="22447" xr:uid="{00000000-0005-0000-0000-0000DF270000}"/>
    <cellStyle name="60% - Akzent5 54" xfId="6086" xr:uid="{00000000-0005-0000-0000-0000E0270000}"/>
    <cellStyle name="60% - Akzent5 54 2" xfId="15504" xr:uid="{00000000-0005-0000-0000-0000E1270000}"/>
    <cellStyle name="60% - Akzent5 54_est. MEAT" xfId="22448" xr:uid="{00000000-0005-0000-0000-0000E2270000}"/>
    <cellStyle name="60% - Akzent5 55" xfId="6087" xr:uid="{00000000-0005-0000-0000-0000E3270000}"/>
    <cellStyle name="60% - Akzent5 55 2" xfId="15505" xr:uid="{00000000-0005-0000-0000-0000E4270000}"/>
    <cellStyle name="60% - Akzent5 55_est. MEAT" xfId="22449" xr:uid="{00000000-0005-0000-0000-0000E5270000}"/>
    <cellStyle name="60% - Akzent5 56" xfId="6088" xr:uid="{00000000-0005-0000-0000-0000E6270000}"/>
    <cellStyle name="60% - Akzent5 56 2" xfId="15506" xr:uid="{00000000-0005-0000-0000-0000E7270000}"/>
    <cellStyle name="60% - Akzent5 56_est. MEAT" xfId="22450" xr:uid="{00000000-0005-0000-0000-0000E8270000}"/>
    <cellStyle name="60% - Akzent5 57" xfId="6089" xr:uid="{00000000-0005-0000-0000-0000E9270000}"/>
    <cellStyle name="60% - Akzent5 57 2" xfId="15507" xr:uid="{00000000-0005-0000-0000-0000EA270000}"/>
    <cellStyle name="60% - Akzent5 57_est. MEAT" xfId="22451" xr:uid="{00000000-0005-0000-0000-0000EB270000}"/>
    <cellStyle name="60% - Akzent5 58" xfId="6090" xr:uid="{00000000-0005-0000-0000-0000EC270000}"/>
    <cellStyle name="60% - Akzent5 58 2" xfId="15508" xr:uid="{00000000-0005-0000-0000-0000ED270000}"/>
    <cellStyle name="60% - Akzent5 58_est. MEAT" xfId="22452" xr:uid="{00000000-0005-0000-0000-0000EE270000}"/>
    <cellStyle name="60% - Akzent5 59" xfId="6091" xr:uid="{00000000-0005-0000-0000-0000EF270000}"/>
    <cellStyle name="60% - Akzent5 59 2" xfId="15509" xr:uid="{00000000-0005-0000-0000-0000F0270000}"/>
    <cellStyle name="60% - Akzent5 59_est. MEAT" xfId="22453" xr:uid="{00000000-0005-0000-0000-0000F1270000}"/>
    <cellStyle name="60% - Akzent5 6" xfId="6092" xr:uid="{00000000-0005-0000-0000-0000F2270000}"/>
    <cellStyle name="60% - Akzent5 6 2" xfId="6093" xr:uid="{00000000-0005-0000-0000-0000F3270000}"/>
    <cellStyle name="60% - Akzent5 6 2 2" xfId="15511" xr:uid="{00000000-0005-0000-0000-0000F4270000}"/>
    <cellStyle name="60% - Akzent5 6 2_est. MEAT" xfId="22454" xr:uid="{00000000-0005-0000-0000-0000F5270000}"/>
    <cellStyle name="60% - Akzent5 6 3" xfId="15510" xr:uid="{00000000-0005-0000-0000-0000F6270000}"/>
    <cellStyle name="60% - Akzent5 6_2012-2019" xfId="12303" xr:uid="{00000000-0005-0000-0000-0000F7270000}"/>
    <cellStyle name="60% - Akzent5 60" xfId="6094" xr:uid="{00000000-0005-0000-0000-0000F8270000}"/>
    <cellStyle name="60% - Akzent5 60 2" xfId="15512" xr:uid="{00000000-0005-0000-0000-0000F9270000}"/>
    <cellStyle name="60% - Akzent5 60_est. MEAT" xfId="22455" xr:uid="{00000000-0005-0000-0000-0000FA270000}"/>
    <cellStyle name="60% - Akzent5 61" xfId="6095" xr:uid="{00000000-0005-0000-0000-0000FB270000}"/>
    <cellStyle name="60% - Akzent5 61 2" xfId="15513" xr:uid="{00000000-0005-0000-0000-0000FC270000}"/>
    <cellStyle name="60% - Akzent5 61_est. MEAT" xfId="22456" xr:uid="{00000000-0005-0000-0000-0000FD270000}"/>
    <cellStyle name="60% - Akzent5 62" xfId="6096" xr:uid="{00000000-0005-0000-0000-0000FE270000}"/>
    <cellStyle name="60% - Akzent5 62 2" xfId="15514" xr:uid="{00000000-0005-0000-0000-0000FF270000}"/>
    <cellStyle name="60% - Akzent5 62_est. MEAT" xfId="22457" xr:uid="{00000000-0005-0000-0000-000000280000}"/>
    <cellStyle name="60% - Akzent5 63" xfId="6097" xr:uid="{00000000-0005-0000-0000-000001280000}"/>
    <cellStyle name="60% - Akzent5 63 2" xfId="15515" xr:uid="{00000000-0005-0000-0000-000002280000}"/>
    <cellStyle name="60% - Akzent5 63_est. MEAT" xfId="22458" xr:uid="{00000000-0005-0000-0000-000003280000}"/>
    <cellStyle name="60% - Akzent5 64" xfId="6098" xr:uid="{00000000-0005-0000-0000-000004280000}"/>
    <cellStyle name="60% - Akzent5 64 2" xfId="15516" xr:uid="{00000000-0005-0000-0000-000005280000}"/>
    <cellStyle name="60% - Akzent5 64_est. MEAT" xfId="22459" xr:uid="{00000000-0005-0000-0000-000006280000}"/>
    <cellStyle name="60% - Akzent5 65" xfId="6099" xr:uid="{00000000-0005-0000-0000-000007280000}"/>
    <cellStyle name="60% - Akzent5 65 2" xfId="15517" xr:uid="{00000000-0005-0000-0000-000008280000}"/>
    <cellStyle name="60% - Akzent5 65_est. MEAT" xfId="22460" xr:uid="{00000000-0005-0000-0000-000009280000}"/>
    <cellStyle name="60% - Akzent5 66" xfId="6100" xr:uid="{00000000-0005-0000-0000-00000A280000}"/>
    <cellStyle name="60% - Akzent5 66 2" xfId="15518" xr:uid="{00000000-0005-0000-0000-00000B280000}"/>
    <cellStyle name="60% - Akzent5 66_est. MEAT" xfId="22461" xr:uid="{00000000-0005-0000-0000-00000C280000}"/>
    <cellStyle name="60% - Akzent5 67" xfId="6101" xr:uid="{00000000-0005-0000-0000-00000D280000}"/>
    <cellStyle name="60% - Akzent5 67 2" xfId="15519" xr:uid="{00000000-0005-0000-0000-00000E280000}"/>
    <cellStyle name="60% - Akzent5 67_est. MEAT" xfId="22462" xr:uid="{00000000-0005-0000-0000-00000F280000}"/>
    <cellStyle name="60% - Akzent5 68" xfId="6102" xr:uid="{00000000-0005-0000-0000-000010280000}"/>
    <cellStyle name="60% - Akzent5 68 2" xfId="15520" xr:uid="{00000000-0005-0000-0000-000011280000}"/>
    <cellStyle name="60% - Akzent5 68_est. MEAT" xfId="22463" xr:uid="{00000000-0005-0000-0000-000012280000}"/>
    <cellStyle name="60% - Akzent5 69" xfId="6103" xr:uid="{00000000-0005-0000-0000-000013280000}"/>
    <cellStyle name="60% - Akzent5 69 2" xfId="15521" xr:uid="{00000000-0005-0000-0000-000014280000}"/>
    <cellStyle name="60% - Akzent5 69_est. MEAT" xfId="22464" xr:uid="{00000000-0005-0000-0000-000015280000}"/>
    <cellStyle name="60% - Akzent5 7" xfId="6104" xr:uid="{00000000-0005-0000-0000-000016280000}"/>
    <cellStyle name="60% - Akzent5 7 2" xfId="6105" xr:uid="{00000000-0005-0000-0000-000017280000}"/>
    <cellStyle name="60% - Akzent5 7 2 2" xfId="15523" xr:uid="{00000000-0005-0000-0000-000018280000}"/>
    <cellStyle name="60% - Akzent5 7 2_est. MEAT" xfId="22465" xr:uid="{00000000-0005-0000-0000-000019280000}"/>
    <cellStyle name="60% - Akzent5 7 3" xfId="15522" xr:uid="{00000000-0005-0000-0000-00001A280000}"/>
    <cellStyle name="60% - Akzent5 7_2012-2019" xfId="12304" xr:uid="{00000000-0005-0000-0000-00001B280000}"/>
    <cellStyle name="60% - Akzent5 70" xfId="6106" xr:uid="{00000000-0005-0000-0000-00001C280000}"/>
    <cellStyle name="60% - Akzent5 70 2" xfId="15524" xr:uid="{00000000-0005-0000-0000-00001D280000}"/>
    <cellStyle name="60% - Akzent5 70_est. MEAT" xfId="22466" xr:uid="{00000000-0005-0000-0000-00001E280000}"/>
    <cellStyle name="60% - Akzent5 71" xfId="6107" xr:uid="{00000000-0005-0000-0000-00001F280000}"/>
    <cellStyle name="60% - Akzent5 71 2" xfId="15525" xr:uid="{00000000-0005-0000-0000-000020280000}"/>
    <cellStyle name="60% - Akzent5 71_est. MEAT" xfId="22467" xr:uid="{00000000-0005-0000-0000-000021280000}"/>
    <cellStyle name="60% - Akzent5 72" xfId="6108" xr:uid="{00000000-0005-0000-0000-000022280000}"/>
    <cellStyle name="60% - Akzent5 72 2" xfId="15526" xr:uid="{00000000-0005-0000-0000-000023280000}"/>
    <cellStyle name="60% - Akzent5 72_est. MEAT" xfId="22468" xr:uid="{00000000-0005-0000-0000-000024280000}"/>
    <cellStyle name="60% - Akzent5 73" xfId="6109" xr:uid="{00000000-0005-0000-0000-000025280000}"/>
    <cellStyle name="60% - Akzent5 73 2" xfId="15527" xr:uid="{00000000-0005-0000-0000-000026280000}"/>
    <cellStyle name="60% - Akzent5 73_est. MEAT" xfId="22469" xr:uid="{00000000-0005-0000-0000-000027280000}"/>
    <cellStyle name="60% - Akzent5 74" xfId="6110" xr:uid="{00000000-0005-0000-0000-000028280000}"/>
    <cellStyle name="60% - Akzent5 74 2" xfId="15528" xr:uid="{00000000-0005-0000-0000-000029280000}"/>
    <cellStyle name="60% - Akzent5 74_est. MEAT" xfId="22470" xr:uid="{00000000-0005-0000-0000-00002A280000}"/>
    <cellStyle name="60% - Akzent5 75" xfId="6111" xr:uid="{00000000-0005-0000-0000-00002B280000}"/>
    <cellStyle name="60% - Akzent5 75 2" xfId="15529" xr:uid="{00000000-0005-0000-0000-00002C280000}"/>
    <cellStyle name="60% - Akzent5 75_est. MEAT" xfId="22471" xr:uid="{00000000-0005-0000-0000-00002D280000}"/>
    <cellStyle name="60% - Akzent5 76" xfId="6112" xr:uid="{00000000-0005-0000-0000-00002E280000}"/>
    <cellStyle name="60% - Akzent5 76 2" xfId="15530" xr:uid="{00000000-0005-0000-0000-00002F280000}"/>
    <cellStyle name="60% - Akzent5 76_est. MEAT" xfId="22472" xr:uid="{00000000-0005-0000-0000-000030280000}"/>
    <cellStyle name="60% - Akzent5 77" xfId="6113" xr:uid="{00000000-0005-0000-0000-000031280000}"/>
    <cellStyle name="60% - Akzent5 77 2" xfId="15531" xr:uid="{00000000-0005-0000-0000-000032280000}"/>
    <cellStyle name="60% - Akzent5 77_est. MEAT" xfId="22473" xr:uid="{00000000-0005-0000-0000-000033280000}"/>
    <cellStyle name="60% - Akzent5 78" xfId="6114" xr:uid="{00000000-0005-0000-0000-000034280000}"/>
    <cellStyle name="60% - Akzent5 78 2" xfId="15532" xr:uid="{00000000-0005-0000-0000-000035280000}"/>
    <cellStyle name="60% - Akzent5 78_est. MEAT" xfId="22474" xr:uid="{00000000-0005-0000-0000-000036280000}"/>
    <cellStyle name="60% - Akzent5 79" xfId="6115" xr:uid="{00000000-0005-0000-0000-000037280000}"/>
    <cellStyle name="60% - Akzent5 79 2" xfId="15533" xr:uid="{00000000-0005-0000-0000-000038280000}"/>
    <cellStyle name="60% - Akzent5 79_est. MEAT" xfId="22475" xr:uid="{00000000-0005-0000-0000-000039280000}"/>
    <cellStyle name="60% - Akzent5 8" xfId="6116" xr:uid="{00000000-0005-0000-0000-00003A280000}"/>
    <cellStyle name="60% - Akzent5 8 2" xfId="6117" xr:uid="{00000000-0005-0000-0000-00003B280000}"/>
    <cellStyle name="60% - Akzent5 8 2 2" xfId="15535" xr:uid="{00000000-0005-0000-0000-00003C280000}"/>
    <cellStyle name="60% - Akzent5 8 2_est. MEAT" xfId="22476" xr:uid="{00000000-0005-0000-0000-00003D280000}"/>
    <cellStyle name="60% - Akzent5 8 3" xfId="15534" xr:uid="{00000000-0005-0000-0000-00003E280000}"/>
    <cellStyle name="60% - Akzent5 8_2012-2019" xfId="12305" xr:uid="{00000000-0005-0000-0000-00003F280000}"/>
    <cellStyle name="60% - Akzent5 80" xfId="6118" xr:uid="{00000000-0005-0000-0000-000040280000}"/>
    <cellStyle name="60% - Akzent5 80 2" xfId="15536" xr:uid="{00000000-0005-0000-0000-000041280000}"/>
    <cellStyle name="60% - Akzent5 80_est. MEAT" xfId="22477" xr:uid="{00000000-0005-0000-0000-000042280000}"/>
    <cellStyle name="60% - Akzent5 81" xfId="6119" xr:uid="{00000000-0005-0000-0000-000043280000}"/>
    <cellStyle name="60% - Akzent5 81 2" xfId="15537" xr:uid="{00000000-0005-0000-0000-000044280000}"/>
    <cellStyle name="60% - Akzent5 81_est. MEAT" xfId="22478" xr:uid="{00000000-0005-0000-0000-000045280000}"/>
    <cellStyle name="60% - Akzent5 82" xfId="6120" xr:uid="{00000000-0005-0000-0000-000046280000}"/>
    <cellStyle name="60% - Akzent5 82 2" xfId="15538" xr:uid="{00000000-0005-0000-0000-000047280000}"/>
    <cellStyle name="60% - Akzent5 82_est. MEAT" xfId="22479" xr:uid="{00000000-0005-0000-0000-000048280000}"/>
    <cellStyle name="60% - Akzent5 83" xfId="6121" xr:uid="{00000000-0005-0000-0000-000049280000}"/>
    <cellStyle name="60% - Akzent5 83 2" xfId="15539" xr:uid="{00000000-0005-0000-0000-00004A280000}"/>
    <cellStyle name="60% - Akzent5 83_est. MEAT" xfId="22480" xr:uid="{00000000-0005-0000-0000-00004B280000}"/>
    <cellStyle name="60% - Akzent5 84" xfId="6122" xr:uid="{00000000-0005-0000-0000-00004C280000}"/>
    <cellStyle name="60% - Akzent5 84 2" xfId="15540" xr:uid="{00000000-0005-0000-0000-00004D280000}"/>
    <cellStyle name="60% - Akzent5 84_est. MEAT" xfId="22481" xr:uid="{00000000-0005-0000-0000-00004E280000}"/>
    <cellStyle name="60% - Akzent5 85" xfId="6123" xr:uid="{00000000-0005-0000-0000-00004F280000}"/>
    <cellStyle name="60% - Akzent5 85 2" xfId="15541" xr:uid="{00000000-0005-0000-0000-000050280000}"/>
    <cellStyle name="60% - Akzent5 85_est. MEAT" xfId="22482" xr:uid="{00000000-0005-0000-0000-000051280000}"/>
    <cellStyle name="60% - Akzent5 86" xfId="6124" xr:uid="{00000000-0005-0000-0000-000052280000}"/>
    <cellStyle name="60% - Akzent5 86 2" xfId="15542" xr:uid="{00000000-0005-0000-0000-000053280000}"/>
    <cellStyle name="60% - Akzent5 86_est. MEAT" xfId="22483" xr:uid="{00000000-0005-0000-0000-000054280000}"/>
    <cellStyle name="60% - Akzent5 87" xfId="6125" xr:uid="{00000000-0005-0000-0000-000055280000}"/>
    <cellStyle name="60% - Akzent5 87 2" xfId="15543" xr:uid="{00000000-0005-0000-0000-000056280000}"/>
    <cellStyle name="60% - Akzent5 87_est. MEAT" xfId="22484" xr:uid="{00000000-0005-0000-0000-000057280000}"/>
    <cellStyle name="60% - Akzent5 88" xfId="6126" xr:uid="{00000000-0005-0000-0000-000058280000}"/>
    <cellStyle name="60% - Akzent5 88 2" xfId="15544" xr:uid="{00000000-0005-0000-0000-000059280000}"/>
    <cellStyle name="60% - Akzent5 88_est. MEAT" xfId="22485" xr:uid="{00000000-0005-0000-0000-00005A280000}"/>
    <cellStyle name="60% - Akzent5 89" xfId="6127" xr:uid="{00000000-0005-0000-0000-00005B280000}"/>
    <cellStyle name="60% - Akzent5 89 2" xfId="15545" xr:uid="{00000000-0005-0000-0000-00005C280000}"/>
    <cellStyle name="60% - Akzent5 89_est. MEAT" xfId="22486" xr:uid="{00000000-0005-0000-0000-00005D280000}"/>
    <cellStyle name="60% - Akzent5 9" xfId="6128" xr:uid="{00000000-0005-0000-0000-00005E280000}"/>
    <cellStyle name="60% - Akzent5 9 2" xfId="6129" xr:uid="{00000000-0005-0000-0000-00005F280000}"/>
    <cellStyle name="60% - Akzent5 9 2 2" xfId="15547" xr:uid="{00000000-0005-0000-0000-000060280000}"/>
    <cellStyle name="60% - Akzent5 9 2_est. MEAT" xfId="22487" xr:uid="{00000000-0005-0000-0000-000061280000}"/>
    <cellStyle name="60% - Akzent5 9 3" xfId="15546" xr:uid="{00000000-0005-0000-0000-000062280000}"/>
    <cellStyle name="60% - Akzent5 9_2012-2019" xfId="12306" xr:uid="{00000000-0005-0000-0000-000063280000}"/>
    <cellStyle name="60% - Akzent5 90" xfId="6130" xr:uid="{00000000-0005-0000-0000-000064280000}"/>
    <cellStyle name="60% - Akzent5 90 2" xfId="15548" xr:uid="{00000000-0005-0000-0000-000065280000}"/>
    <cellStyle name="60% - Akzent5 90_est. MEAT" xfId="22488" xr:uid="{00000000-0005-0000-0000-000066280000}"/>
    <cellStyle name="60% - Akzent5 91" xfId="6131" xr:uid="{00000000-0005-0000-0000-000067280000}"/>
    <cellStyle name="60% - Akzent5 91 2" xfId="15549" xr:uid="{00000000-0005-0000-0000-000068280000}"/>
    <cellStyle name="60% - Akzent5 91_est. MEAT" xfId="22489" xr:uid="{00000000-0005-0000-0000-000069280000}"/>
    <cellStyle name="60% - Akzent5 92" xfId="6132" xr:uid="{00000000-0005-0000-0000-00006A280000}"/>
    <cellStyle name="60% - Akzent5 92 2" xfId="15550" xr:uid="{00000000-0005-0000-0000-00006B280000}"/>
    <cellStyle name="60% - Akzent5 92_est. MEAT" xfId="22490" xr:uid="{00000000-0005-0000-0000-00006C280000}"/>
    <cellStyle name="60% - Akzent5 93" xfId="6133" xr:uid="{00000000-0005-0000-0000-00006D280000}"/>
    <cellStyle name="60% - Akzent5 93 2" xfId="15551" xr:uid="{00000000-0005-0000-0000-00006E280000}"/>
    <cellStyle name="60% - Akzent5 93_est. MEAT" xfId="22491" xr:uid="{00000000-0005-0000-0000-00006F280000}"/>
    <cellStyle name="60% - Akzent5 94" xfId="6134" xr:uid="{00000000-0005-0000-0000-000070280000}"/>
    <cellStyle name="60% - Akzent5 94 2" xfId="15552" xr:uid="{00000000-0005-0000-0000-000071280000}"/>
    <cellStyle name="60% - Akzent5 94_est. MEAT" xfId="22492" xr:uid="{00000000-0005-0000-0000-000072280000}"/>
    <cellStyle name="60% - Akzent5 95" xfId="6135" xr:uid="{00000000-0005-0000-0000-000073280000}"/>
    <cellStyle name="60% - Akzent5 95 2" xfId="15553" xr:uid="{00000000-0005-0000-0000-000074280000}"/>
    <cellStyle name="60% - Akzent5 95_est. MEAT" xfId="22493" xr:uid="{00000000-0005-0000-0000-000075280000}"/>
    <cellStyle name="60% - Akzent5 96" xfId="6136" xr:uid="{00000000-0005-0000-0000-000076280000}"/>
    <cellStyle name="60% - Akzent5 96 2" xfId="15554" xr:uid="{00000000-0005-0000-0000-000077280000}"/>
    <cellStyle name="60% - Akzent5 96_est. MEAT" xfId="22494" xr:uid="{00000000-0005-0000-0000-000078280000}"/>
    <cellStyle name="60% - Akzent5 97" xfId="6137" xr:uid="{00000000-0005-0000-0000-000079280000}"/>
    <cellStyle name="60% - Akzent5 97 2" xfId="15555" xr:uid="{00000000-0005-0000-0000-00007A280000}"/>
    <cellStyle name="60% - Akzent5 97_est. MEAT" xfId="22495" xr:uid="{00000000-0005-0000-0000-00007B280000}"/>
    <cellStyle name="60% - Akzent5 98" xfId="6138" xr:uid="{00000000-0005-0000-0000-00007C280000}"/>
    <cellStyle name="60% - Akzent5 98 2" xfId="15556" xr:uid="{00000000-0005-0000-0000-00007D280000}"/>
    <cellStyle name="60% - Akzent5 98_est. MEAT" xfId="22496" xr:uid="{00000000-0005-0000-0000-00007E280000}"/>
    <cellStyle name="60% - Akzent5 99" xfId="6139" xr:uid="{00000000-0005-0000-0000-00007F280000}"/>
    <cellStyle name="60% - Akzent5 99 2" xfId="15557" xr:uid="{00000000-0005-0000-0000-000080280000}"/>
    <cellStyle name="60% - Akzent5 99_est. MEAT" xfId="22497" xr:uid="{00000000-0005-0000-0000-000081280000}"/>
    <cellStyle name="60% - Akzent6 10" xfId="6140" xr:uid="{00000000-0005-0000-0000-000082280000}"/>
    <cellStyle name="60% - Akzent6 10 2" xfId="6141" xr:uid="{00000000-0005-0000-0000-000083280000}"/>
    <cellStyle name="60% - Akzent6 10 2 2" xfId="15559" xr:uid="{00000000-0005-0000-0000-000084280000}"/>
    <cellStyle name="60% - Akzent6 10 2_est. MEAT" xfId="22498" xr:uid="{00000000-0005-0000-0000-000085280000}"/>
    <cellStyle name="60% - Akzent6 10 3" xfId="15558" xr:uid="{00000000-0005-0000-0000-000086280000}"/>
    <cellStyle name="60% - Akzent6 10_2012-2019" xfId="12307" xr:uid="{00000000-0005-0000-0000-000087280000}"/>
    <cellStyle name="60% - Akzent6 100" xfId="6142" xr:uid="{00000000-0005-0000-0000-000088280000}"/>
    <cellStyle name="60% - Akzent6 100 2" xfId="15560" xr:uid="{00000000-0005-0000-0000-000089280000}"/>
    <cellStyle name="60% - Akzent6 100_est. MEAT" xfId="22499" xr:uid="{00000000-0005-0000-0000-00008A280000}"/>
    <cellStyle name="60% - Akzent6 101" xfId="6143" xr:uid="{00000000-0005-0000-0000-00008B280000}"/>
    <cellStyle name="60% - Akzent6 101 2" xfId="15561" xr:uid="{00000000-0005-0000-0000-00008C280000}"/>
    <cellStyle name="60% - Akzent6 101_est. MEAT" xfId="22500" xr:uid="{00000000-0005-0000-0000-00008D280000}"/>
    <cellStyle name="60% - Akzent6 102" xfId="6144" xr:uid="{00000000-0005-0000-0000-00008E280000}"/>
    <cellStyle name="60% - Akzent6 102 2" xfId="15562" xr:uid="{00000000-0005-0000-0000-00008F280000}"/>
    <cellStyle name="60% - Akzent6 102_est. MEAT" xfId="22501" xr:uid="{00000000-0005-0000-0000-000090280000}"/>
    <cellStyle name="60% - Akzent6 103" xfId="6145" xr:uid="{00000000-0005-0000-0000-000091280000}"/>
    <cellStyle name="60% - Akzent6 103 2" xfId="15563" xr:uid="{00000000-0005-0000-0000-000092280000}"/>
    <cellStyle name="60% - Akzent6 103_est. MEAT" xfId="22502" xr:uid="{00000000-0005-0000-0000-000093280000}"/>
    <cellStyle name="60% - Akzent6 104" xfId="6146" xr:uid="{00000000-0005-0000-0000-000094280000}"/>
    <cellStyle name="60% - Akzent6 104 2" xfId="15564" xr:uid="{00000000-0005-0000-0000-000095280000}"/>
    <cellStyle name="60% - Akzent6 104_est. MEAT" xfId="22503" xr:uid="{00000000-0005-0000-0000-000096280000}"/>
    <cellStyle name="60% - Akzent6 105" xfId="6147" xr:uid="{00000000-0005-0000-0000-000097280000}"/>
    <cellStyle name="60% - Akzent6 105 2" xfId="15565" xr:uid="{00000000-0005-0000-0000-000098280000}"/>
    <cellStyle name="60% - Akzent6 105_est. MEAT" xfId="22504" xr:uid="{00000000-0005-0000-0000-000099280000}"/>
    <cellStyle name="60% - Akzent6 106" xfId="6148" xr:uid="{00000000-0005-0000-0000-00009A280000}"/>
    <cellStyle name="60% - Akzent6 106 2" xfId="15566" xr:uid="{00000000-0005-0000-0000-00009B280000}"/>
    <cellStyle name="60% - Akzent6 106_est. MEAT" xfId="22505" xr:uid="{00000000-0005-0000-0000-00009C280000}"/>
    <cellStyle name="60% - Akzent6 107" xfId="6149" xr:uid="{00000000-0005-0000-0000-00009D280000}"/>
    <cellStyle name="60% - Akzent6 107 2" xfId="15567" xr:uid="{00000000-0005-0000-0000-00009E280000}"/>
    <cellStyle name="60% - Akzent6 107_est. MEAT" xfId="22506" xr:uid="{00000000-0005-0000-0000-00009F280000}"/>
    <cellStyle name="60% - Akzent6 108" xfId="6150" xr:uid="{00000000-0005-0000-0000-0000A0280000}"/>
    <cellStyle name="60% - Akzent6 108 2" xfId="15568" xr:uid="{00000000-0005-0000-0000-0000A1280000}"/>
    <cellStyle name="60% - Akzent6 108_est. MEAT" xfId="22507" xr:uid="{00000000-0005-0000-0000-0000A2280000}"/>
    <cellStyle name="60% - Akzent6 109" xfId="6151" xr:uid="{00000000-0005-0000-0000-0000A3280000}"/>
    <cellStyle name="60% - Akzent6 109 2" xfId="15569" xr:uid="{00000000-0005-0000-0000-0000A4280000}"/>
    <cellStyle name="60% - Akzent6 109_est. MEAT" xfId="22508" xr:uid="{00000000-0005-0000-0000-0000A5280000}"/>
    <cellStyle name="60% - Akzent6 11" xfId="6152" xr:uid="{00000000-0005-0000-0000-0000A6280000}"/>
    <cellStyle name="60% - Akzent6 11 2" xfId="6153" xr:uid="{00000000-0005-0000-0000-0000A7280000}"/>
    <cellStyle name="60% - Akzent6 11 2 2" xfId="15571" xr:uid="{00000000-0005-0000-0000-0000A8280000}"/>
    <cellStyle name="60% - Akzent6 11 2_est. MEAT" xfId="22509" xr:uid="{00000000-0005-0000-0000-0000A9280000}"/>
    <cellStyle name="60% - Akzent6 11 3" xfId="15570" xr:uid="{00000000-0005-0000-0000-0000AA280000}"/>
    <cellStyle name="60% - Akzent6 11_2012-2019" xfId="12308" xr:uid="{00000000-0005-0000-0000-0000AB280000}"/>
    <cellStyle name="60% - Akzent6 110" xfId="6154" xr:uid="{00000000-0005-0000-0000-0000AC280000}"/>
    <cellStyle name="60% - Akzent6 110 2" xfId="15572" xr:uid="{00000000-0005-0000-0000-0000AD280000}"/>
    <cellStyle name="60% - Akzent6 110_est. MEAT" xfId="22510" xr:uid="{00000000-0005-0000-0000-0000AE280000}"/>
    <cellStyle name="60% - Akzent6 111" xfId="6155" xr:uid="{00000000-0005-0000-0000-0000AF280000}"/>
    <cellStyle name="60% - Akzent6 111 2" xfId="15573" xr:uid="{00000000-0005-0000-0000-0000B0280000}"/>
    <cellStyle name="60% - Akzent6 111_est. MEAT" xfId="22511" xr:uid="{00000000-0005-0000-0000-0000B1280000}"/>
    <cellStyle name="60% - Akzent6 112" xfId="6156" xr:uid="{00000000-0005-0000-0000-0000B2280000}"/>
    <cellStyle name="60% - Akzent6 112 2" xfId="15574" xr:uid="{00000000-0005-0000-0000-0000B3280000}"/>
    <cellStyle name="60% - Akzent6 112_est. MEAT" xfId="22512" xr:uid="{00000000-0005-0000-0000-0000B4280000}"/>
    <cellStyle name="60% - Akzent6 113" xfId="6157" xr:uid="{00000000-0005-0000-0000-0000B5280000}"/>
    <cellStyle name="60% - Akzent6 113 2" xfId="15575" xr:uid="{00000000-0005-0000-0000-0000B6280000}"/>
    <cellStyle name="60% - Akzent6 113_est. MEAT" xfId="22513" xr:uid="{00000000-0005-0000-0000-0000B7280000}"/>
    <cellStyle name="60% - Akzent6 114" xfId="6158" xr:uid="{00000000-0005-0000-0000-0000B8280000}"/>
    <cellStyle name="60% - Akzent6 114 2" xfId="15576" xr:uid="{00000000-0005-0000-0000-0000B9280000}"/>
    <cellStyle name="60% - Akzent6 114_est. MEAT" xfId="22514" xr:uid="{00000000-0005-0000-0000-0000BA280000}"/>
    <cellStyle name="60% - Akzent6 115" xfId="6159" xr:uid="{00000000-0005-0000-0000-0000BB280000}"/>
    <cellStyle name="60% - Akzent6 115 2" xfId="15577" xr:uid="{00000000-0005-0000-0000-0000BC280000}"/>
    <cellStyle name="60% - Akzent6 115_est. MEAT" xfId="22515" xr:uid="{00000000-0005-0000-0000-0000BD280000}"/>
    <cellStyle name="60% - Akzent6 116" xfId="6160" xr:uid="{00000000-0005-0000-0000-0000BE280000}"/>
    <cellStyle name="60% - Akzent6 116 2" xfId="15578" xr:uid="{00000000-0005-0000-0000-0000BF280000}"/>
    <cellStyle name="60% - Akzent6 116_est. MEAT" xfId="22516" xr:uid="{00000000-0005-0000-0000-0000C0280000}"/>
    <cellStyle name="60% - Akzent6 117" xfId="6161" xr:uid="{00000000-0005-0000-0000-0000C1280000}"/>
    <cellStyle name="60% - Akzent6 117 2" xfId="15579" xr:uid="{00000000-0005-0000-0000-0000C2280000}"/>
    <cellStyle name="60% - Akzent6 117_est. MEAT" xfId="22517" xr:uid="{00000000-0005-0000-0000-0000C3280000}"/>
    <cellStyle name="60% - Akzent6 118" xfId="6162" xr:uid="{00000000-0005-0000-0000-0000C4280000}"/>
    <cellStyle name="60% - Akzent6 118 2" xfId="15580" xr:uid="{00000000-0005-0000-0000-0000C5280000}"/>
    <cellStyle name="60% - Akzent6 118_est. MEAT" xfId="22518" xr:uid="{00000000-0005-0000-0000-0000C6280000}"/>
    <cellStyle name="60% - Akzent6 119" xfId="6163" xr:uid="{00000000-0005-0000-0000-0000C7280000}"/>
    <cellStyle name="60% - Akzent6 119 2" xfId="15581" xr:uid="{00000000-0005-0000-0000-0000C8280000}"/>
    <cellStyle name="60% - Akzent6 119_est. MEAT" xfId="22519" xr:uid="{00000000-0005-0000-0000-0000C9280000}"/>
    <cellStyle name="60% - Akzent6 12" xfId="6164" xr:uid="{00000000-0005-0000-0000-0000CA280000}"/>
    <cellStyle name="60% - Akzent6 12 2" xfId="6165" xr:uid="{00000000-0005-0000-0000-0000CB280000}"/>
    <cellStyle name="60% - Akzent6 12 2 2" xfId="15583" xr:uid="{00000000-0005-0000-0000-0000CC280000}"/>
    <cellStyle name="60% - Akzent6 12 2_est. MEAT" xfId="22520" xr:uid="{00000000-0005-0000-0000-0000CD280000}"/>
    <cellStyle name="60% - Akzent6 12 3" xfId="15582" xr:uid="{00000000-0005-0000-0000-0000CE280000}"/>
    <cellStyle name="60% - Akzent6 12_2012-2019" xfId="12309" xr:uid="{00000000-0005-0000-0000-0000CF280000}"/>
    <cellStyle name="60% - Akzent6 120" xfId="6166" xr:uid="{00000000-0005-0000-0000-0000D0280000}"/>
    <cellStyle name="60% - Akzent6 120 2" xfId="15584" xr:uid="{00000000-0005-0000-0000-0000D1280000}"/>
    <cellStyle name="60% - Akzent6 120_est. MEAT" xfId="22521" xr:uid="{00000000-0005-0000-0000-0000D2280000}"/>
    <cellStyle name="60% - Akzent6 121" xfId="6167" xr:uid="{00000000-0005-0000-0000-0000D3280000}"/>
    <cellStyle name="60% - Akzent6 121 2" xfId="15585" xr:uid="{00000000-0005-0000-0000-0000D4280000}"/>
    <cellStyle name="60% - Akzent6 121_est. MEAT" xfId="22522" xr:uid="{00000000-0005-0000-0000-0000D5280000}"/>
    <cellStyle name="60% - Akzent6 122" xfId="6168" xr:uid="{00000000-0005-0000-0000-0000D6280000}"/>
    <cellStyle name="60% - Akzent6 122 2" xfId="15586" xr:uid="{00000000-0005-0000-0000-0000D7280000}"/>
    <cellStyle name="60% - Akzent6 122_est. MEAT" xfId="22523" xr:uid="{00000000-0005-0000-0000-0000D8280000}"/>
    <cellStyle name="60% - Akzent6 123" xfId="6169" xr:uid="{00000000-0005-0000-0000-0000D9280000}"/>
    <cellStyle name="60% - Akzent6 123 2" xfId="15587" xr:uid="{00000000-0005-0000-0000-0000DA280000}"/>
    <cellStyle name="60% - Akzent6 123_est. MEAT" xfId="22524" xr:uid="{00000000-0005-0000-0000-0000DB280000}"/>
    <cellStyle name="60% - Akzent6 124" xfId="6170" xr:uid="{00000000-0005-0000-0000-0000DC280000}"/>
    <cellStyle name="60% - Akzent6 124 2" xfId="15588" xr:uid="{00000000-0005-0000-0000-0000DD280000}"/>
    <cellStyle name="60% - Akzent6 124_est. MEAT" xfId="22525" xr:uid="{00000000-0005-0000-0000-0000DE280000}"/>
    <cellStyle name="60% - Akzent6 125" xfId="6171" xr:uid="{00000000-0005-0000-0000-0000DF280000}"/>
    <cellStyle name="60% - Akzent6 125 2" xfId="15589" xr:uid="{00000000-0005-0000-0000-0000E0280000}"/>
    <cellStyle name="60% - Akzent6 125_est. MEAT" xfId="22526" xr:uid="{00000000-0005-0000-0000-0000E1280000}"/>
    <cellStyle name="60% - Akzent6 126" xfId="6172" xr:uid="{00000000-0005-0000-0000-0000E2280000}"/>
    <cellStyle name="60% - Akzent6 126 2" xfId="15590" xr:uid="{00000000-0005-0000-0000-0000E3280000}"/>
    <cellStyle name="60% - Akzent6 126_est. MEAT" xfId="22527" xr:uid="{00000000-0005-0000-0000-0000E4280000}"/>
    <cellStyle name="60% - Akzent6 127" xfId="6173" xr:uid="{00000000-0005-0000-0000-0000E5280000}"/>
    <cellStyle name="60% - Akzent6 127 2" xfId="15591" xr:uid="{00000000-0005-0000-0000-0000E6280000}"/>
    <cellStyle name="60% - Akzent6 127_est. MEAT" xfId="22528" xr:uid="{00000000-0005-0000-0000-0000E7280000}"/>
    <cellStyle name="60% - Akzent6 128" xfId="6174" xr:uid="{00000000-0005-0000-0000-0000E8280000}"/>
    <cellStyle name="60% - Akzent6 128 2" xfId="15592" xr:uid="{00000000-0005-0000-0000-0000E9280000}"/>
    <cellStyle name="60% - Akzent6 128_est. MEAT" xfId="22529" xr:uid="{00000000-0005-0000-0000-0000EA280000}"/>
    <cellStyle name="60% - Akzent6 129" xfId="6175" xr:uid="{00000000-0005-0000-0000-0000EB280000}"/>
    <cellStyle name="60% - Akzent6 129 2" xfId="15593" xr:uid="{00000000-0005-0000-0000-0000EC280000}"/>
    <cellStyle name="60% - Akzent6 129_est. MEAT" xfId="22530" xr:uid="{00000000-0005-0000-0000-0000ED280000}"/>
    <cellStyle name="60% - Akzent6 13" xfId="6176" xr:uid="{00000000-0005-0000-0000-0000EE280000}"/>
    <cellStyle name="60% - Akzent6 13 2" xfId="6177" xr:uid="{00000000-0005-0000-0000-0000EF280000}"/>
    <cellStyle name="60% - Akzent6 13 2 2" xfId="15595" xr:uid="{00000000-0005-0000-0000-0000F0280000}"/>
    <cellStyle name="60% - Akzent6 13 2_est. MEAT" xfId="22531" xr:uid="{00000000-0005-0000-0000-0000F1280000}"/>
    <cellStyle name="60% - Akzent6 13 3" xfId="15594" xr:uid="{00000000-0005-0000-0000-0000F2280000}"/>
    <cellStyle name="60% - Akzent6 13_2012-2019" xfId="12310" xr:uid="{00000000-0005-0000-0000-0000F3280000}"/>
    <cellStyle name="60% - Akzent6 130" xfId="6178" xr:uid="{00000000-0005-0000-0000-0000F4280000}"/>
    <cellStyle name="60% - Akzent6 130 2" xfId="15596" xr:uid="{00000000-0005-0000-0000-0000F5280000}"/>
    <cellStyle name="60% - Akzent6 130_est. MEAT" xfId="22532" xr:uid="{00000000-0005-0000-0000-0000F6280000}"/>
    <cellStyle name="60% - Akzent6 131" xfId="6179" xr:uid="{00000000-0005-0000-0000-0000F7280000}"/>
    <cellStyle name="60% - Akzent6 131 2" xfId="15597" xr:uid="{00000000-0005-0000-0000-0000F8280000}"/>
    <cellStyle name="60% - Akzent6 131_est. MEAT" xfId="22533" xr:uid="{00000000-0005-0000-0000-0000F9280000}"/>
    <cellStyle name="60% - Akzent6 132" xfId="6180" xr:uid="{00000000-0005-0000-0000-0000FA280000}"/>
    <cellStyle name="60% - Akzent6 132 2" xfId="15598" xr:uid="{00000000-0005-0000-0000-0000FB280000}"/>
    <cellStyle name="60% - Akzent6 132_est. MEAT" xfId="22534" xr:uid="{00000000-0005-0000-0000-0000FC280000}"/>
    <cellStyle name="60% - Akzent6 133" xfId="6181" xr:uid="{00000000-0005-0000-0000-0000FD280000}"/>
    <cellStyle name="60% - Akzent6 133 2" xfId="15599" xr:uid="{00000000-0005-0000-0000-0000FE280000}"/>
    <cellStyle name="60% - Akzent6 133_est. MEAT" xfId="22535" xr:uid="{00000000-0005-0000-0000-0000FF280000}"/>
    <cellStyle name="60% - Akzent6 134" xfId="6182" xr:uid="{00000000-0005-0000-0000-000000290000}"/>
    <cellStyle name="60% - Akzent6 134 2" xfId="15600" xr:uid="{00000000-0005-0000-0000-000001290000}"/>
    <cellStyle name="60% - Akzent6 134_est. MEAT" xfId="22536" xr:uid="{00000000-0005-0000-0000-000002290000}"/>
    <cellStyle name="60% - Akzent6 135" xfId="6183" xr:uid="{00000000-0005-0000-0000-000003290000}"/>
    <cellStyle name="60% - Akzent6 135 2" xfId="15601" xr:uid="{00000000-0005-0000-0000-000004290000}"/>
    <cellStyle name="60% - Akzent6 135_est. MEAT" xfId="22537" xr:uid="{00000000-0005-0000-0000-000005290000}"/>
    <cellStyle name="60% - Akzent6 136" xfId="6184" xr:uid="{00000000-0005-0000-0000-000006290000}"/>
    <cellStyle name="60% - Akzent6 136 2" xfId="15602" xr:uid="{00000000-0005-0000-0000-000007290000}"/>
    <cellStyle name="60% - Akzent6 136_est. MEAT" xfId="22538" xr:uid="{00000000-0005-0000-0000-000008290000}"/>
    <cellStyle name="60% - Akzent6 137" xfId="6185" xr:uid="{00000000-0005-0000-0000-000009290000}"/>
    <cellStyle name="60% - Akzent6 137 2" xfId="15603" xr:uid="{00000000-0005-0000-0000-00000A290000}"/>
    <cellStyle name="60% - Akzent6 137_est. MEAT" xfId="22539" xr:uid="{00000000-0005-0000-0000-00000B290000}"/>
    <cellStyle name="60% - Akzent6 138" xfId="6186" xr:uid="{00000000-0005-0000-0000-00000C290000}"/>
    <cellStyle name="60% - Akzent6 138 2" xfId="15604" xr:uid="{00000000-0005-0000-0000-00000D290000}"/>
    <cellStyle name="60% - Akzent6 138_est. MEAT" xfId="22540" xr:uid="{00000000-0005-0000-0000-00000E290000}"/>
    <cellStyle name="60% - Akzent6 139" xfId="6187" xr:uid="{00000000-0005-0000-0000-00000F290000}"/>
    <cellStyle name="60% - Akzent6 139 2" xfId="15605" xr:uid="{00000000-0005-0000-0000-000010290000}"/>
    <cellStyle name="60% - Akzent6 139_est. MEAT" xfId="22541" xr:uid="{00000000-0005-0000-0000-000011290000}"/>
    <cellStyle name="60% - Akzent6 14" xfId="6188" xr:uid="{00000000-0005-0000-0000-000012290000}"/>
    <cellStyle name="60% - Akzent6 14 2" xfId="6189" xr:uid="{00000000-0005-0000-0000-000013290000}"/>
    <cellStyle name="60% - Akzent6 14 2 2" xfId="15607" xr:uid="{00000000-0005-0000-0000-000014290000}"/>
    <cellStyle name="60% - Akzent6 14 2_est. MEAT" xfId="22542" xr:uid="{00000000-0005-0000-0000-000015290000}"/>
    <cellStyle name="60% - Akzent6 14 3" xfId="15606" xr:uid="{00000000-0005-0000-0000-000016290000}"/>
    <cellStyle name="60% - Akzent6 14_2012-2019" xfId="12311" xr:uid="{00000000-0005-0000-0000-000017290000}"/>
    <cellStyle name="60% - Akzent6 140" xfId="6190" xr:uid="{00000000-0005-0000-0000-000018290000}"/>
    <cellStyle name="60% - Akzent6 140 2" xfId="15608" xr:uid="{00000000-0005-0000-0000-000019290000}"/>
    <cellStyle name="60% - Akzent6 140_est. MEAT" xfId="22543" xr:uid="{00000000-0005-0000-0000-00001A290000}"/>
    <cellStyle name="60% - Akzent6 141" xfId="6191" xr:uid="{00000000-0005-0000-0000-00001B290000}"/>
    <cellStyle name="60% - Akzent6 141 2" xfId="15609" xr:uid="{00000000-0005-0000-0000-00001C290000}"/>
    <cellStyle name="60% - Akzent6 141_est. MEAT" xfId="22544" xr:uid="{00000000-0005-0000-0000-00001D290000}"/>
    <cellStyle name="60% - Akzent6 142" xfId="6192" xr:uid="{00000000-0005-0000-0000-00001E290000}"/>
    <cellStyle name="60% - Akzent6 142 2" xfId="15610" xr:uid="{00000000-0005-0000-0000-00001F290000}"/>
    <cellStyle name="60% - Akzent6 142_est. MEAT" xfId="22545" xr:uid="{00000000-0005-0000-0000-000020290000}"/>
    <cellStyle name="60% - Akzent6 143" xfId="6193" xr:uid="{00000000-0005-0000-0000-000021290000}"/>
    <cellStyle name="60% - Akzent6 143 2" xfId="15611" xr:uid="{00000000-0005-0000-0000-000022290000}"/>
    <cellStyle name="60% - Akzent6 143_est. MEAT" xfId="22546" xr:uid="{00000000-0005-0000-0000-000023290000}"/>
    <cellStyle name="60% - Akzent6 144" xfId="6194" xr:uid="{00000000-0005-0000-0000-000024290000}"/>
    <cellStyle name="60% - Akzent6 144 2" xfId="15612" xr:uid="{00000000-0005-0000-0000-000025290000}"/>
    <cellStyle name="60% - Akzent6 144_est. MEAT" xfId="22547" xr:uid="{00000000-0005-0000-0000-000026290000}"/>
    <cellStyle name="60% - Akzent6 145" xfId="6195" xr:uid="{00000000-0005-0000-0000-000027290000}"/>
    <cellStyle name="60% - Akzent6 145 2" xfId="15613" xr:uid="{00000000-0005-0000-0000-000028290000}"/>
    <cellStyle name="60% - Akzent6 145_est. MEAT" xfId="22548" xr:uid="{00000000-0005-0000-0000-000029290000}"/>
    <cellStyle name="60% - Akzent6 146" xfId="6196" xr:uid="{00000000-0005-0000-0000-00002A290000}"/>
    <cellStyle name="60% - Akzent6 146 2" xfId="15614" xr:uid="{00000000-0005-0000-0000-00002B290000}"/>
    <cellStyle name="60% - Akzent6 146_est. MEAT" xfId="22549" xr:uid="{00000000-0005-0000-0000-00002C290000}"/>
    <cellStyle name="60% - Akzent6 147" xfId="6197" xr:uid="{00000000-0005-0000-0000-00002D290000}"/>
    <cellStyle name="60% - Akzent6 147 2" xfId="15615" xr:uid="{00000000-0005-0000-0000-00002E290000}"/>
    <cellStyle name="60% - Akzent6 147_est. MEAT" xfId="22550" xr:uid="{00000000-0005-0000-0000-00002F290000}"/>
    <cellStyle name="60% - Akzent6 148" xfId="6198" xr:uid="{00000000-0005-0000-0000-000030290000}"/>
    <cellStyle name="60% - Akzent6 148 2" xfId="15616" xr:uid="{00000000-0005-0000-0000-000031290000}"/>
    <cellStyle name="60% - Akzent6 148_est. MEAT" xfId="22551" xr:uid="{00000000-0005-0000-0000-000032290000}"/>
    <cellStyle name="60% - Akzent6 149" xfId="6199" xr:uid="{00000000-0005-0000-0000-000033290000}"/>
    <cellStyle name="60% - Akzent6 149 2" xfId="15617" xr:uid="{00000000-0005-0000-0000-000034290000}"/>
    <cellStyle name="60% - Akzent6 149_est. MEAT" xfId="22552" xr:uid="{00000000-0005-0000-0000-000035290000}"/>
    <cellStyle name="60% - Akzent6 15" xfId="6200" xr:uid="{00000000-0005-0000-0000-000036290000}"/>
    <cellStyle name="60% - Akzent6 15 2" xfId="15618" xr:uid="{00000000-0005-0000-0000-000037290000}"/>
    <cellStyle name="60% - Akzent6 15_est. MEAT" xfId="22553" xr:uid="{00000000-0005-0000-0000-000038290000}"/>
    <cellStyle name="60% - Akzent6 150" xfId="6201" xr:uid="{00000000-0005-0000-0000-000039290000}"/>
    <cellStyle name="60% - Akzent6 150 2" xfId="15619" xr:uid="{00000000-0005-0000-0000-00003A290000}"/>
    <cellStyle name="60% - Akzent6 150_est. MEAT" xfId="22554" xr:uid="{00000000-0005-0000-0000-00003B290000}"/>
    <cellStyle name="60% - Akzent6 151" xfId="6202" xr:uid="{00000000-0005-0000-0000-00003C290000}"/>
    <cellStyle name="60% - Akzent6 151 2" xfId="15620" xr:uid="{00000000-0005-0000-0000-00003D290000}"/>
    <cellStyle name="60% - Akzent6 151_est. MEAT" xfId="22555" xr:uid="{00000000-0005-0000-0000-00003E290000}"/>
    <cellStyle name="60% - Akzent6 16" xfId="6203" xr:uid="{00000000-0005-0000-0000-00003F290000}"/>
    <cellStyle name="60% - Akzent6 16 2" xfId="15621" xr:uid="{00000000-0005-0000-0000-000040290000}"/>
    <cellStyle name="60% - Akzent6 16_est. MEAT" xfId="22556" xr:uid="{00000000-0005-0000-0000-000041290000}"/>
    <cellStyle name="60% - Akzent6 17" xfId="6204" xr:uid="{00000000-0005-0000-0000-000042290000}"/>
    <cellStyle name="60% - Akzent6 17 2" xfId="15622" xr:uid="{00000000-0005-0000-0000-000043290000}"/>
    <cellStyle name="60% - Akzent6 17_est. MEAT" xfId="22557" xr:uid="{00000000-0005-0000-0000-000044290000}"/>
    <cellStyle name="60% - Akzent6 18" xfId="6205" xr:uid="{00000000-0005-0000-0000-000045290000}"/>
    <cellStyle name="60% - Akzent6 18 2" xfId="15623" xr:uid="{00000000-0005-0000-0000-000046290000}"/>
    <cellStyle name="60% - Akzent6 18_est. MEAT" xfId="22558" xr:uid="{00000000-0005-0000-0000-000047290000}"/>
    <cellStyle name="60% - Akzent6 19" xfId="6206" xr:uid="{00000000-0005-0000-0000-000048290000}"/>
    <cellStyle name="60% - Akzent6 19 2" xfId="15624" xr:uid="{00000000-0005-0000-0000-000049290000}"/>
    <cellStyle name="60% - Akzent6 19_est. MEAT" xfId="22559" xr:uid="{00000000-0005-0000-0000-00004A290000}"/>
    <cellStyle name="60% - Akzent6 2" xfId="6207" xr:uid="{00000000-0005-0000-0000-00004B290000}"/>
    <cellStyle name="60% - Akzent6 2 2" xfId="6208" xr:uid="{00000000-0005-0000-0000-00004C290000}"/>
    <cellStyle name="60% - Akzent6 2 2 2" xfId="15626" xr:uid="{00000000-0005-0000-0000-00004D290000}"/>
    <cellStyle name="60% - Akzent6 2 2_est. MEAT" xfId="22560" xr:uid="{00000000-0005-0000-0000-00004E290000}"/>
    <cellStyle name="60% - Akzent6 2 3" xfId="15625" xr:uid="{00000000-0005-0000-0000-00004F290000}"/>
    <cellStyle name="60% - Akzent6 2_2012-2019" xfId="12312" xr:uid="{00000000-0005-0000-0000-000050290000}"/>
    <cellStyle name="60% - Akzent6 20" xfId="6209" xr:uid="{00000000-0005-0000-0000-000051290000}"/>
    <cellStyle name="60% - Akzent6 20 2" xfId="15627" xr:uid="{00000000-0005-0000-0000-000052290000}"/>
    <cellStyle name="60% - Akzent6 20_est. MEAT" xfId="22561" xr:uid="{00000000-0005-0000-0000-000053290000}"/>
    <cellStyle name="60% - Akzent6 21" xfId="6210" xr:uid="{00000000-0005-0000-0000-000054290000}"/>
    <cellStyle name="60% - Akzent6 21 2" xfId="15628" xr:uid="{00000000-0005-0000-0000-000055290000}"/>
    <cellStyle name="60% - Akzent6 21_est. MEAT" xfId="22562" xr:uid="{00000000-0005-0000-0000-000056290000}"/>
    <cellStyle name="60% - Akzent6 22" xfId="6211" xr:uid="{00000000-0005-0000-0000-000057290000}"/>
    <cellStyle name="60% - Akzent6 22 2" xfId="15629" xr:uid="{00000000-0005-0000-0000-000058290000}"/>
    <cellStyle name="60% - Akzent6 22_est. MEAT" xfId="22563" xr:uid="{00000000-0005-0000-0000-000059290000}"/>
    <cellStyle name="60% - Akzent6 23" xfId="6212" xr:uid="{00000000-0005-0000-0000-00005A290000}"/>
    <cellStyle name="60% - Akzent6 23 2" xfId="15630" xr:uid="{00000000-0005-0000-0000-00005B290000}"/>
    <cellStyle name="60% - Akzent6 23_est. MEAT" xfId="22564" xr:uid="{00000000-0005-0000-0000-00005C290000}"/>
    <cellStyle name="60% - Akzent6 24" xfId="6213" xr:uid="{00000000-0005-0000-0000-00005D290000}"/>
    <cellStyle name="60% - Akzent6 24 2" xfId="15631" xr:uid="{00000000-0005-0000-0000-00005E290000}"/>
    <cellStyle name="60% - Akzent6 24_est. MEAT" xfId="22565" xr:uid="{00000000-0005-0000-0000-00005F290000}"/>
    <cellStyle name="60% - Akzent6 25" xfId="6214" xr:uid="{00000000-0005-0000-0000-000060290000}"/>
    <cellStyle name="60% - Akzent6 25 2" xfId="15632" xr:uid="{00000000-0005-0000-0000-000061290000}"/>
    <cellStyle name="60% - Akzent6 25_est. MEAT" xfId="22566" xr:uid="{00000000-0005-0000-0000-000062290000}"/>
    <cellStyle name="60% - Akzent6 26" xfId="6215" xr:uid="{00000000-0005-0000-0000-000063290000}"/>
    <cellStyle name="60% - Akzent6 26 2" xfId="15633" xr:uid="{00000000-0005-0000-0000-000064290000}"/>
    <cellStyle name="60% - Akzent6 26_est. MEAT" xfId="22567" xr:uid="{00000000-0005-0000-0000-000065290000}"/>
    <cellStyle name="60% - Akzent6 27" xfId="6216" xr:uid="{00000000-0005-0000-0000-000066290000}"/>
    <cellStyle name="60% - Akzent6 27 2" xfId="15634" xr:uid="{00000000-0005-0000-0000-000067290000}"/>
    <cellStyle name="60% - Akzent6 27_est. MEAT" xfId="22568" xr:uid="{00000000-0005-0000-0000-000068290000}"/>
    <cellStyle name="60% - Akzent6 28" xfId="6217" xr:uid="{00000000-0005-0000-0000-000069290000}"/>
    <cellStyle name="60% - Akzent6 28 2" xfId="15635" xr:uid="{00000000-0005-0000-0000-00006A290000}"/>
    <cellStyle name="60% - Akzent6 28_est. MEAT" xfId="22569" xr:uid="{00000000-0005-0000-0000-00006B290000}"/>
    <cellStyle name="60% - Akzent6 29" xfId="6218" xr:uid="{00000000-0005-0000-0000-00006C290000}"/>
    <cellStyle name="60% - Akzent6 29 2" xfId="15636" xr:uid="{00000000-0005-0000-0000-00006D290000}"/>
    <cellStyle name="60% - Akzent6 29_est. MEAT" xfId="22570" xr:uid="{00000000-0005-0000-0000-00006E290000}"/>
    <cellStyle name="60% - Akzent6 3" xfId="6219" xr:uid="{00000000-0005-0000-0000-00006F290000}"/>
    <cellStyle name="60% - Akzent6 3 2" xfId="6220" xr:uid="{00000000-0005-0000-0000-000070290000}"/>
    <cellStyle name="60% - Akzent6 3 2 2" xfId="15638" xr:uid="{00000000-0005-0000-0000-000071290000}"/>
    <cellStyle name="60% - Akzent6 3 2_est. MEAT" xfId="22571" xr:uid="{00000000-0005-0000-0000-000072290000}"/>
    <cellStyle name="60% - Akzent6 3 3" xfId="15637" xr:uid="{00000000-0005-0000-0000-000073290000}"/>
    <cellStyle name="60% - Akzent6 3_2012-2019" xfId="12313" xr:uid="{00000000-0005-0000-0000-000074290000}"/>
    <cellStyle name="60% - Akzent6 30" xfId="6221" xr:uid="{00000000-0005-0000-0000-000075290000}"/>
    <cellStyle name="60% - Akzent6 30 2" xfId="15639" xr:uid="{00000000-0005-0000-0000-000076290000}"/>
    <cellStyle name="60% - Akzent6 30_est. MEAT" xfId="22572" xr:uid="{00000000-0005-0000-0000-000077290000}"/>
    <cellStyle name="60% - Akzent6 31" xfId="6222" xr:uid="{00000000-0005-0000-0000-000078290000}"/>
    <cellStyle name="60% - Akzent6 31 2" xfId="15640" xr:uid="{00000000-0005-0000-0000-000079290000}"/>
    <cellStyle name="60% - Akzent6 31_est. MEAT" xfId="22573" xr:uid="{00000000-0005-0000-0000-00007A290000}"/>
    <cellStyle name="60% - Akzent6 32" xfId="6223" xr:uid="{00000000-0005-0000-0000-00007B290000}"/>
    <cellStyle name="60% - Akzent6 32 2" xfId="15641" xr:uid="{00000000-0005-0000-0000-00007C290000}"/>
    <cellStyle name="60% - Akzent6 32_est. MEAT" xfId="22574" xr:uid="{00000000-0005-0000-0000-00007D290000}"/>
    <cellStyle name="60% - Akzent6 33" xfId="6224" xr:uid="{00000000-0005-0000-0000-00007E290000}"/>
    <cellStyle name="60% - Akzent6 33 2" xfId="15642" xr:uid="{00000000-0005-0000-0000-00007F290000}"/>
    <cellStyle name="60% - Akzent6 33_est. MEAT" xfId="22575" xr:uid="{00000000-0005-0000-0000-000080290000}"/>
    <cellStyle name="60% - Akzent6 34" xfId="6225" xr:uid="{00000000-0005-0000-0000-000081290000}"/>
    <cellStyle name="60% - Akzent6 34 2" xfId="15643" xr:uid="{00000000-0005-0000-0000-000082290000}"/>
    <cellStyle name="60% - Akzent6 34_est. MEAT" xfId="22576" xr:uid="{00000000-0005-0000-0000-000083290000}"/>
    <cellStyle name="60% - Akzent6 35" xfId="6226" xr:uid="{00000000-0005-0000-0000-000084290000}"/>
    <cellStyle name="60% - Akzent6 35 2" xfId="15644" xr:uid="{00000000-0005-0000-0000-000085290000}"/>
    <cellStyle name="60% - Akzent6 35_est. MEAT" xfId="22577" xr:uid="{00000000-0005-0000-0000-000086290000}"/>
    <cellStyle name="60% - Akzent6 36" xfId="6227" xr:uid="{00000000-0005-0000-0000-000087290000}"/>
    <cellStyle name="60% - Akzent6 36 2" xfId="15645" xr:uid="{00000000-0005-0000-0000-000088290000}"/>
    <cellStyle name="60% - Akzent6 36_est. MEAT" xfId="22578" xr:uid="{00000000-0005-0000-0000-000089290000}"/>
    <cellStyle name="60% - Akzent6 37" xfId="6228" xr:uid="{00000000-0005-0000-0000-00008A290000}"/>
    <cellStyle name="60% - Akzent6 37 2" xfId="15646" xr:uid="{00000000-0005-0000-0000-00008B290000}"/>
    <cellStyle name="60% - Akzent6 37_est. MEAT" xfId="22579" xr:uid="{00000000-0005-0000-0000-00008C290000}"/>
    <cellStyle name="60% - Akzent6 38" xfId="6229" xr:uid="{00000000-0005-0000-0000-00008D290000}"/>
    <cellStyle name="60% - Akzent6 38 2" xfId="15647" xr:uid="{00000000-0005-0000-0000-00008E290000}"/>
    <cellStyle name="60% - Akzent6 38_est. MEAT" xfId="22580" xr:uid="{00000000-0005-0000-0000-00008F290000}"/>
    <cellStyle name="60% - Akzent6 39" xfId="6230" xr:uid="{00000000-0005-0000-0000-000090290000}"/>
    <cellStyle name="60% - Akzent6 39 2" xfId="15648" xr:uid="{00000000-0005-0000-0000-000091290000}"/>
    <cellStyle name="60% - Akzent6 39_est. MEAT" xfId="22581" xr:uid="{00000000-0005-0000-0000-000092290000}"/>
    <cellStyle name="60% - Akzent6 4" xfId="6231" xr:uid="{00000000-0005-0000-0000-000093290000}"/>
    <cellStyle name="60% - Akzent6 4 2" xfId="6232" xr:uid="{00000000-0005-0000-0000-000094290000}"/>
    <cellStyle name="60% - Akzent6 4 2 2" xfId="15650" xr:uid="{00000000-0005-0000-0000-000095290000}"/>
    <cellStyle name="60% - Akzent6 4 2_est. MEAT" xfId="22582" xr:uid="{00000000-0005-0000-0000-000096290000}"/>
    <cellStyle name="60% - Akzent6 4 3" xfId="15649" xr:uid="{00000000-0005-0000-0000-000097290000}"/>
    <cellStyle name="60% - Akzent6 4_2012-2019" xfId="12314" xr:uid="{00000000-0005-0000-0000-000098290000}"/>
    <cellStyle name="60% - Akzent6 40" xfId="6233" xr:uid="{00000000-0005-0000-0000-000099290000}"/>
    <cellStyle name="60% - Akzent6 40 2" xfId="15651" xr:uid="{00000000-0005-0000-0000-00009A290000}"/>
    <cellStyle name="60% - Akzent6 40_est. MEAT" xfId="22583" xr:uid="{00000000-0005-0000-0000-00009B290000}"/>
    <cellStyle name="60% - Akzent6 41" xfId="6234" xr:uid="{00000000-0005-0000-0000-00009C290000}"/>
    <cellStyle name="60% - Akzent6 41 2" xfId="15652" xr:uid="{00000000-0005-0000-0000-00009D290000}"/>
    <cellStyle name="60% - Akzent6 41_est. MEAT" xfId="22584" xr:uid="{00000000-0005-0000-0000-00009E290000}"/>
    <cellStyle name="60% - Akzent6 42" xfId="6235" xr:uid="{00000000-0005-0000-0000-00009F290000}"/>
    <cellStyle name="60% - Akzent6 42 2" xfId="15653" xr:uid="{00000000-0005-0000-0000-0000A0290000}"/>
    <cellStyle name="60% - Akzent6 42_est. MEAT" xfId="22585" xr:uid="{00000000-0005-0000-0000-0000A1290000}"/>
    <cellStyle name="60% - Akzent6 43" xfId="6236" xr:uid="{00000000-0005-0000-0000-0000A2290000}"/>
    <cellStyle name="60% - Akzent6 43 2" xfId="15654" xr:uid="{00000000-0005-0000-0000-0000A3290000}"/>
    <cellStyle name="60% - Akzent6 43_est. MEAT" xfId="22586" xr:uid="{00000000-0005-0000-0000-0000A4290000}"/>
    <cellStyle name="60% - Akzent6 44" xfId="6237" xr:uid="{00000000-0005-0000-0000-0000A5290000}"/>
    <cellStyle name="60% - Akzent6 44 2" xfId="15655" xr:uid="{00000000-0005-0000-0000-0000A6290000}"/>
    <cellStyle name="60% - Akzent6 44_est. MEAT" xfId="22587" xr:uid="{00000000-0005-0000-0000-0000A7290000}"/>
    <cellStyle name="60% - Akzent6 45" xfId="6238" xr:uid="{00000000-0005-0000-0000-0000A8290000}"/>
    <cellStyle name="60% - Akzent6 45 2" xfId="15656" xr:uid="{00000000-0005-0000-0000-0000A9290000}"/>
    <cellStyle name="60% - Akzent6 45_est. MEAT" xfId="22588" xr:uid="{00000000-0005-0000-0000-0000AA290000}"/>
    <cellStyle name="60% - Akzent6 46" xfId="6239" xr:uid="{00000000-0005-0000-0000-0000AB290000}"/>
    <cellStyle name="60% - Akzent6 46 2" xfId="15657" xr:uid="{00000000-0005-0000-0000-0000AC290000}"/>
    <cellStyle name="60% - Akzent6 46_est. MEAT" xfId="22589" xr:uid="{00000000-0005-0000-0000-0000AD290000}"/>
    <cellStyle name="60% - Akzent6 47" xfId="6240" xr:uid="{00000000-0005-0000-0000-0000AE290000}"/>
    <cellStyle name="60% - Akzent6 47 2" xfId="15658" xr:uid="{00000000-0005-0000-0000-0000AF290000}"/>
    <cellStyle name="60% - Akzent6 47_est. MEAT" xfId="22590" xr:uid="{00000000-0005-0000-0000-0000B0290000}"/>
    <cellStyle name="60% - Akzent6 48" xfId="6241" xr:uid="{00000000-0005-0000-0000-0000B1290000}"/>
    <cellStyle name="60% - Akzent6 48 2" xfId="15659" xr:uid="{00000000-0005-0000-0000-0000B2290000}"/>
    <cellStyle name="60% - Akzent6 48_est. MEAT" xfId="22591" xr:uid="{00000000-0005-0000-0000-0000B3290000}"/>
    <cellStyle name="60% - Akzent6 49" xfId="6242" xr:uid="{00000000-0005-0000-0000-0000B4290000}"/>
    <cellStyle name="60% - Akzent6 49 2" xfId="15660" xr:uid="{00000000-0005-0000-0000-0000B5290000}"/>
    <cellStyle name="60% - Akzent6 49_est. MEAT" xfId="22592" xr:uid="{00000000-0005-0000-0000-0000B6290000}"/>
    <cellStyle name="60% - Akzent6 5" xfId="6243" xr:uid="{00000000-0005-0000-0000-0000B7290000}"/>
    <cellStyle name="60% - Akzent6 5 2" xfId="6244" xr:uid="{00000000-0005-0000-0000-0000B8290000}"/>
    <cellStyle name="60% - Akzent6 5 2 2" xfId="15662" xr:uid="{00000000-0005-0000-0000-0000B9290000}"/>
    <cellStyle name="60% - Akzent6 5 2_est. MEAT" xfId="22593" xr:uid="{00000000-0005-0000-0000-0000BA290000}"/>
    <cellStyle name="60% - Akzent6 5 3" xfId="15661" xr:uid="{00000000-0005-0000-0000-0000BB290000}"/>
    <cellStyle name="60% - Akzent6 5_2012-2019" xfId="12315" xr:uid="{00000000-0005-0000-0000-0000BC290000}"/>
    <cellStyle name="60% - Akzent6 50" xfId="6245" xr:uid="{00000000-0005-0000-0000-0000BD290000}"/>
    <cellStyle name="60% - Akzent6 50 2" xfId="15663" xr:uid="{00000000-0005-0000-0000-0000BE290000}"/>
    <cellStyle name="60% - Akzent6 50_est. MEAT" xfId="22594" xr:uid="{00000000-0005-0000-0000-0000BF290000}"/>
    <cellStyle name="60% - Akzent6 51" xfId="6246" xr:uid="{00000000-0005-0000-0000-0000C0290000}"/>
    <cellStyle name="60% - Akzent6 51 2" xfId="15664" xr:uid="{00000000-0005-0000-0000-0000C1290000}"/>
    <cellStyle name="60% - Akzent6 51_est. MEAT" xfId="22595" xr:uid="{00000000-0005-0000-0000-0000C2290000}"/>
    <cellStyle name="60% - Akzent6 52" xfId="6247" xr:uid="{00000000-0005-0000-0000-0000C3290000}"/>
    <cellStyle name="60% - Akzent6 52 2" xfId="15665" xr:uid="{00000000-0005-0000-0000-0000C4290000}"/>
    <cellStyle name="60% - Akzent6 52_est. MEAT" xfId="22596" xr:uid="{00000000-0005-0000-0000-0000C5290000}"/>
    <cellStyle name="60% - Akzent6 53" xfId="6248" xr:uid="{00000000-0005-0000-0000-0000C6290000}"/>
    <cellStyle name="60% - Akzent6 53 2" xfId="15666" xr:uid="{00000000-0005-0000-0000-0000C7290000}"/>
    <cellStyle name="60% - Akzent6 53_est. MEAT" xfId="22597" xr:uid="{00000000-0005-0000-0000-0000C8290000}"/>
    <cellStyle name="60% - Akzent6 54" xfId="6249" xr:uid="{00000000-0005-0000-0000-0000C9290000}"/>
    <cellStyle name="60% - Akzent6 54 2" xfId="15667" xr:uid="{00000000-0005-0000-0000-0000CA290000}"/>
    <cellStyle name="60% - Akzent6 54_est. MEAT" xfId="22598" xr:uid="{00000000-0005-0000-0000-0000CB290000}"/>
    <cellStyle name="60% - Akzent6 55" xfId="6250" xr:uid="{00000000-0005-0000-0000-0000CC290000}"/>
    <cellStyle name="60% - Akzent6 55 2" xfId="15668" xr:uid="{00000000-0005-0000-0000-0000CD290000}"/>
    <cellStyle name="60% - Akzent6 55_est. MEAT" xfId="22599" xr:uid="{00000000-0005-0000-0000-0000CE290000}"/>
    <cellStyle name="60% - Akzent6 56" xfId="6251" xr:uid="{00000000-0005-0000-0000-0000CF290000}"/>
    <cellStyle name="60% - Akzent6 56 2" xfId="15669" xr:uid="{00000000-0005-0000-0000-0000D0290000}"/>
    <cellStyle name="60% - Akzent6 56_est. MEAT" xfId="22600" xr:uid="{00000000-0005-0000-0000-0000D1290000}"/>
    <cellStyle name="60% - Akzent6 57" xfId="6252" xr:uid="{00000000-0005-0000-0000-0000D2290000}"/>
    <cellStyle name="60% - Akzent6 57 2" xfId="15670" xr:uid="{00000000-0005-0000-0000-0000D3290000}"/>
    <cellStyle name="60% - Akzent6 57_est. MEAT" xfId="22601" xr:uid="{00000000-0005-0000-0000-0000D4290000}"/>
    <cellStyle name="60% - Akzent6 58" xfId="6253" xr:uid="{00000000-0005-0000-0000-0000D5290000}"/>
    <cellStyle name="60% - Akzent6 58 2" xfId="15671" xr:uid="{00000000-0005-0000-0000-0000D6290000}"/>
    <cellStyle name="60% - Akzent6 58_est. MEAT" xfId="22602" xr:uid="{00000000-0005-0000-0000-0000D7290000}"/>
    <cellStyle name="60% - Akzent6 59" xfId="6254" xr:uid="{00000000-0005-0000-0000-0000D8290000}"/>
    <cellStyle name="60% - Akzent6 59 2" xfId="15672" xr:uid="{00000000-0005-0000-0000-0000D9290000}"/>
    <cellStyle name="60% - Akzent6 59_est. MEAT" xfId="22603" xr:uid="{00000000-0005-0000-0000-0000DA290000}"/>
    <cellStyle name="60% - Akzent6 6" xfId="6255" xr:uid="{00000000-0005-0000-0000-0000DB290000}"/>
    <cellStyle name="60% - Akzent6 6 2" xfId="6256" xr:uid="{00000000-0005-0000-0000-0000DC290000}"/>
    <cellStyle name="60% - Akzent6 6 2 2" xfId="15674" xr:uid="{00000000-0005-0000-0000-0000DD290000}"/>
    <cellStyle name="60% - Akzent6 6 2_est. MEAT" xfId="22604" xr:uid="{00000000-0005-0000-0000-0000DE290000}"/>
    <cellStyle name="60% - Akzent6 6 3" xfId="15673" xr:uid="{00000000-0005-0000-0000-0000DF290000}"/>
    <cellStyle name="60% - Akzent6 6_2012-2019" xfId="12316" xr:uid="{00000000-0005-0000-0000-0000E0290000}"/>
    <cellStyle name="60% - Akzent6 60" xfId="6257" xr:uid="{00000000-0005-0000-0000-0000E1290000}"/>
    <cellStyle name="60% - Akzent6 60 2" xfId="15675" xr:uid="{00000000-0005-0000-0000-0000E2290000}"/>
    <cellStyle name="60% - Akzent6 60_est. MEAT" xfId="22605" xr:uid="{00000000-0005-0000-0000-0000E3290000}"/>
    <cellStyle name="60% - Akzent6 61" xfId="6258" xr:uid="{00000000-0005-0000-0000-0000E4290000}"/>
    <cellStyle name="60% - Akzent6 61 2" xfId="15676" xr:uid="{00000000-0005-0000-0000-0000E5290000}"/>
    <cellStyle name="60% - Akzent6 61_est. MEAT" xfId="22606" xr:uid="{00000000-0005-0000-0000-0000E6290000}"/>
    <cellStyle name="60% - Akzent6 62" xfId="6259" xr:uid="{00000000-0005-0000-0000-0000E7290000}"/>
    <cellStyle name="60% - Akzent6 62 2" xfId="15677" xr:uid="{00000000-0005-0000-0000-0000E8290000}"/>
    <cellStyle name="60% - Akzent6 62_est. MEAT" xfId="22607" xr:uid="{00000000-0005-0000-0000-0000E9290000}"/>
    <cellStyle name="60% - Akzent6 63" xfId="6260" xr:uid="{00000000-0005-0000-0000-0000EA290000}"/>
    <cellStyle name="60% - Akzent6 63 2" xfId="15678" xr:uid="{00000000-0005-0000-0000-0000EB290000}"/>
    <cellStyle name="60% - Akzent6 63_est. MEAT" xfId="22608" xr:uid="{00000000-0005-0000-0000-0000EC290000}"/>
    <cellStyle name="60% - Akzent6 64" xfId="6261" xr:uid="{00000000-0005-0000-0000-0000ED290000}"/>
    <cellStyle name="60% - Akzent6 64 2" xfId="15679" xr:uid="{00000000-0005-0000-0000-0000EE290000}"/>
    <cellStyle name="60% - Akzent6 64_est. MEAT" xfId="22609" xr:uid="{00000000-0005-0000-0000-0000EF290000}"/>
    <cellStyle name="60% - Akzent6 65" xfId="6262" xr:uid="{00000000-0005-0000-0000-0000F0290000}"/>
    <cellStyle name="60% - Akzent6 65 2" xfId="15680" xr:uid="{00000000-0005-0000-0000-0000F1290000}"/>
    <cellStyle name="60% - Akzent6 65_est. MEAT" xfId="22610" xr:uid="{00000000-0005-0000-0000-0000F2290000}"/>
    <cellStyle name="60% - Akzent6 66" xfId="6263" xr:uid="{00000000-0005-0000-0000-0000F3290000}"/>
    <cellStyle name="60% - Akzent6 66 2" xfId="15681" xr:uid="{00000000-0005-0000-0000-0000F4290000}"/>
    <cellStyle name="60% - Akzent6 66_est. MEAT" xfId="22611" xr:uid="{00000000-0005-0000-0000-0000F5290000}"/>
    <cellStyle name="60% - Akzent6 67" xfId="6264" xr:uid="{00000000-0005-0000-0000-0000F6290000}"/>
    <cellStyle name="60% - Akzent6 67 2" xfId="15682" xr:uid="{00000000-0005-0000-0000-0000F7290000}"/>
    <cellStyle name="60% - Akzent6 67_est. MEAT" xfId="22612" xr:uid="{00000000-0005-0000-0000-0000F8290000}"/>
    <cellStyle name="60% - Akzent6 68" xfId="6265" xr:uid="{00000000-0005-0000-0000-0000F9290000}"/>
    <cellStyle name="60% - Akzent6 68 2" xfId="15683" xr:uid="{00000000-0005-0000-0000-0000FA290000}"/>
    <cellStyle name="60% - Akzent6 68_est. MEAT" xfId="22613" xr:uid="{00000000-0005-0000-0000-0000FB290000}"/>
    <cellStyle name="60% - Akzent6 69" xfId="6266" xr:uid="{00000000-0005-0000-0000-0000FC290000}"/>
    <cellStyle name="60% - Akzent6 69 2" xfId="15684" xr:uid="{00000000-0005-0000-0000-0000FD290000}"/>
    <cellStyle name="60% - Akzent6 69_est. MEAT" xfId="22614" xr:uid="{00000000-0005-0000-0000-0000FE290000}"/>
    <cellStyle name="60% - Akzent6 7" xfId="6267" xr:uid="{00000000-0005-0000-0000-0000FF290000}"/>
    <cellStyle name="60% - Akzent6 7 2" xfId="6268" xr:uid="{00000000-0005-0000-0000-0000002A0000}"/>
    <cellStyle name="60% - Akzent6 7 2 2" xfId="15686" xr:uid="{00000000-0005-0000-0000-0000012A0000}"/>
    <cellStyle name="60% - Akzent6 7 2_est. MEAT" xfId="22615" xr:uid="{00000000-0005-0000-0000-0000022A0000}"/>
    <cellStyle name="60% - Akzent6 7 3" xfId="15685" xr:uid="{00000000-0005-0000-0000-0000032A0000}"/>
    <cellStyle name="60% - Akzent6 7_2012-2019" xfId="12317" xr:uid="{00000000-0005-0000-0000-0000042A0000}"/>
    <cellStyle name="60% - Akzent6 70" xfId="6269" xr:uid="{00000000-0005-0000-0000-0000052A0000}"/>
    <cellStyle name="60% - Akzent6 70 2" xfId="15687" xr:uid="{00000000-0005-0000-0000-0000062A0000}"/>
    <cellStyle name="60% - Akzent6 70_est. MEAT" xfId="22616" xr:uid="{00000000-0005-0000-0000-0000072A0000}"/>
    <cellStyle name="60% - Akzent6 71" xfId="6270" xr:uid="{00000000-0005-0000-0000-0000082A0000}"/>
    <cellStyle name="60% - Akzent6 71 2" xfId="15688" xr:uid="{00000000-0005-0000-0000-0000092A0000}"/>
    <cellStyle name="60% - Akzent6 71_est. MEAT" xfId="22617" xr:uid="{00000000-0005-0000-0000-00000A2A0000}"/>
    <cellStyle name="60% - Akzent6 72" xfId="6271" xr:uid="{00000000-0005-0000-0000-00000B2A0000}"/>
    <cellStyle name="60% - Akzent6 72 2" xfId="15689" xr:uid="{00000000-0005-0000-0000-00000C2A0000}"/>
    <cellStyle name="60% - Akzent6 72_est. MEAT" xfId="22618" xr:uid="{00000000-0005-0000-0000-00000D2A0000}"/>
    <cellStyle name="60% - Akzent6 73" xfId="6272" xr:uid="{00000000-0005-0000-0000-00000E2A0000}"/>
    <cellStyle name="60% - Akzent6 73 2" xfId="15690" xr:uid="{00000000-0005-0000-0000-00000F2A0000}"/>
    <cellStyle name="60% - Akzent6 73_est. MEAT" xfId="22619" xr:uid="{00000000-0005-0000-0000-0000102A0000}"/>
    <cellStyle name="60% - Akzent6 74" xfId="6273" xr:uid="{00000000-0005-0000-0000-0000112A0000}"/>
    <cellStyle name="60% - Akzent6 74 2" xfId="15691" xr:uid="{00000000-0005-0000-0000-0000122A0000}"/>
    <cellStyle name="60% - Akzent6 74_est. MEAT" xfId="22620" xr:uid="{00000000-0005-0000-0000-0000132A0000}"/>
    <cellStyle name="60% - Akzent6 75" xfId="6274" xr:uid="{00000000-0005-0000-0000-0000142A0000}"/>
    <cellStyle name="60% - Akzent6 75 2" xfId="15692" xr:uid="{00000000-0005-0000-0000-0000152A0000}"/>
    <cellStyle name="60% - Akzent6 75_est. MEAT" xfId="22621" xr:uid="{00000000-0005-0000-0000-0000162A0000}"/>
    <cellStyle name="60% - Akzent6 76" xfId="6275" xr:uid="{00000000-0005-0000-0000-0000172A0000}"/>
    <cellStyle name="60% - Akzent6 76 2" xfId="15693" xr:uid="{00000000-0005-0000-0000-0000182A0000}"/>
    <cellStyle name="60% - Akzent6 76_est. MEAT" xfId="22622" xr:uid="{00000000-0005-0000-0000-0000192A0000}"/>
    <cellStyle name="60% - Akzent6 77" xfId="6276" xr:uid="{00000000-0005-0000-0000-00001A2A0000}"/>
    <cellStyle name="60% - Akzent6 77 2" xfId="15694" xr:uid="{00000000-0005-0000-0000-00001B2A0000}"/>
    <cellStyle name="60% - Akzent6 77_est. MEAT" xfId="22623" xr:uid="{00000000-0005-0000-0000-00001C2A0000}"/>
    <cellStyle name="60% - Akzent6 78" xfId="6277" xr:uid="{00000000-0005-0000-0000-00001D2A0000}"/>
    <cellStyle name="60% - Akzent6 78 2" xfId="15695" xr:uid="{00000000-0005-0000-0000-00001E2A0000}"/>
    <cellStyle name="60% - Akzent6 78_est. MEAT" xfId="22624" xr:uid="{00000000-0005-0000-0000-00001F2A0000}"/>
    <cellStyle name="60% - Akzent6 79" xfId="6278" xr:uid="{00000000-0005-0000-0000-0000202A0000}"/>
    <cellStyle name="60% - Akzent6 79 2" xfId="15696" xr:uid="{00000000-0005-0000-0000-0000212A0000}"/>
    <cellStyle name="60% - Akzent6 79_est. MEAT" xfId="22625" xr:uid="{00000000-0005-0000-0000-0000222A0000}"/>
    <cellStyle name="60% - Akzent6 8" xfId="6279" xr:uid="{00000000-0005-0000-0000-0000232A0000}"/>
    <cellStyle name="60% - Akzent6 8 2" xfId="6280" xr:uid="{00000000-0005-0000-0000-0000242A0000}"/>
    <cellStyle name="60% - Akzent6 8 2 2" xfId="15698" xr:uid="{00000000-0005-0000-0000-0000252A0000}"/>
    <cellStyle name="60% - Akzent6 8 2_est. MEAT" xfId="22626" xr:uid="{00000000-0005-0000-0000-0000262A0000}"/>
    <cellStyle name="60% - Akzent6 8 3" xfId="15697" xr:uid="{00000000-0005-0000-0000-0000272A0000}"/>
    <cellStyle name="60% - Akzent6 8_2012-2019" xfId="12318" xr:uid="{00000000-0005-0000-0000-0000282A0000}"/>
    <cellStyle name="60% - Akzent6 80" xfId="6281" xr:uid="{00000000-0005-0000-0000-0000292A0000}"/>
    <cellStyle name="60% - Akzent6 80 2" xfId="15699" xr:uid="{00000000-0005-0000-0000-00002A2A0000}"/>
    <cellStyle name="60% - Akzent6 80_est. MEAT" xfId="22627" xr:uid="{00000000-0005-0000-0000-00002B2A0000}"/>
    <cellStyle name="60% - Akzent6 81" xfId="6282" xr:uid="{00000000-0005-0000-0000-00002C2A0000}"/>
    <cellStyle name="60% - Akzent6 81 2" xfId="15700" xr:uid="{00000000-0005-0000-0000-00002D2A0000}"/>
    <cellStyle name="60% - Akzent6 81_est. MEAT" xfId="22628" xr:uid="{00000000-0005-0000-0000-00002E2A0000}"/>
    <cellStyle name="60% - Akzent6 82" xfId="6283" xr:uid="{00000000-0005-0000-0000-00002F2A0000}"/>
    <cellStyle name="60% - Akzent6 82 2" xfId="15701" xr:uid="{00000000-0005-0000-0000-0000302A0000}"/>
    <cellStyle name="60% - Akzent6 82_est. MEAT" xfId="22629" xr:uid="{00000000-0005-0000-0000-0000312A0000}"/>
    <cellStyle name="60% - Akzent6 83" xfId="6284" xr:uid="{00000000-0005-0000-0000-0000322A0000}"/>
    <cellStyle name="60% - Akzent6 83 2" xfId="15702" xr:uid="{00000000-0005-0000-0000-0000332A0000}"/>
    <cellStyle name="60% - Akzent6 83_est. MEAT" xfId="22630" xr:uid="{00000000-0005-0000-0000-0000342A0000}"/>
    <cellStyle name="60% - Akzent6 84" xfId="6285" xr:uid="{00000000-0005-0000-0000-0000352A0000}"/>
    <cellStyle name="60% - Akzent6 84 2" xfId="15703" xr:uid="{00000000-0005-0000-0000-0000362A0000}"/>
    <cellStyle name="60% - Akzent6 84_est. MEAT" xfId="22631" xr:uid="{00000000-0005-0000-0000-0000372A0000}"/>
    <cellStyle name="60% - Akzent6 85" xfId="6286" xr:uid="{00000000-0005-0000-0000-0000382A0000}"/>
    <cellStyle name="60% - Akzent6 85 2" xfId="15704" xr:uid="{00000000-0005-0000-0000-0000392A0000}"/>
    <cellStyle name="60% - Akzent6 85_est. MEAT" xfId="22632" xr:uid="{00000000-0005-0000-0000-00003A2A0000}"/>
    <cellStyle name="60% - Akzent6 86" xfId="6287" xr:uid="{00000000-0005-0000-0000-00003B2A0000}"/>
    <cellStyle name="60% - Akzent6 86 2" xfId="15705" xr:uid="{00000000-0005-0000-0000-00003C2A0000}"/>
    <cellStyle name="60% - Akzent6 86_est. MEAT" xfId="22633" xr:uid="{00000000-0005-0000-0000-00003D2A0000}"/>
    <cellStyle name="60% - Akzent6 87" xfId="6288" xr:uid="{00000000-0005-0000-0000-00003E2A0000}"/>
    <cellStyle name="60% - Akzent6 87 2" xfId="15706" xr:uid="{00000000-0005-0000-0000-00003F2A0000}"/>
    <cellStyle name="60% - Akzent6 87_est. MEAT" xfId="22634" xr:uid="{00000000-0005-0000-0000-0000402A0000}"/>
    <cellStyle name="60% - Akzent6 88" xfId="6289" xr:uid="{00000000-0005-0000-0000-0000412A0000}"/>
    <cellStyle name="60% - Akzent6 88 2" xfId="15707" xr:uid="{00000000-0005-0000-0000-0000422A0000}"/>
    <cellStyle name="60% - Akzent6 88_est. MEAT" xfId="22635" xr:uid="{00000000-0005-0000-0000-0000432A0000}"/>
    <cellStyle name="60% - Akzent6 89" xfId="6290" xr:uid="{00000000-0005-0000-0000-0000442A0000}"/>
    <cellStyle name="60% - Akzent6 89 2" xfId="15708" xr:uid="{00000000-0005-0000-0000-0000452A0000}"/>
    <cellStyle name="60% - Akzent6 89_est. MEAT" xfId="22636" xr:uid="{00000000-0005-0000-0000-0000462A0000}"/>
    <cellStyle name="60% - Akzent6 9" xfId="6291" xr:uid="{00000000-0005-0000-0000-0000472A0000}"/>
    <cellStyle name="60% - Akzent6 9 2" xfId="6292" xr:uid="{00000000-0005-0000-0000-0000482A0000}"/>
    <cellStyle name="60% - Akzent6 9 2 2" xfId="15710" xr:uid="{00000000-0005-0000-0000-0000492A0000}"/>
    <cellStyle name="60% - Akzent6 9 2_est. MEAT" xfId="22637" xr:uid="{00000000-0005-0000-0000-00004A2A0000}"/>
    <cellStyle name="60% - Akzent6 9 3" xfId="15709" xr:uid="{00000000-0005-0000-0000-00004B2A0000}"/>
    <cellStyle name="60% - Akzent6 9_2012-2019" xfId="12319" xr:uid="{00000000-0005-0000-0000-00004C2A0000}"/>
    <cellStyle name="60% - Akzent6 90" xfId="6293" xr:uid="{00000000-0005-0000-0000-00004D2A0000}"/>
    <cellStyle name="60% - Akzent6 90 2" xfId="15711" xr:uid="{00000000-0005-0000-0000-00004E2A0000}"/>
    <cellStyle name="60% - Akzent6 90_est. MEAT" xfId="22638" xr:uid="{00000000-0005-0000-0000-00004F2A0000}"/>
    <cellStyle name="60% - Akzent6 91" xfId="6294" xr:uid="{00000000-0005-0000-0000-0000502A0000}"/>
    <cellStyle name="60% - Akzent6 91 2" xfId="15712" xr:uid="{00000000-0005-0000-0000-0000512A0000}"/>
    <cellStyle name="60% - Akzent6 91_est. MEAT" xfId="22639" xr:uid="{00000000-0005-0000-0000-0000522A0000}"/>
    <cellStyle name="60% - Akzent6 92" xfId="6295" xr:uid="{00000000-0005-0000-0000-0000532A0000}"/>
    <cellStyle name="60% - Akzent6 92 2" xfId="15713" xr:uid="{00000000-0005-0000-0000-0000542A0000}"/>
    <cellStyle name="60% - Akzent6 92_est. MEAT" xfId="22640" xr:uid="{00000000-0005-0000-0000-0000552A0000}"/>
    <cellStyle name="60% - Akzent6 93" xfId="6296" xr:uid="{00000000-0005-0000-0000-0000562A0000}"/>
    <cellStyle name="60% - Akzent6 93 2" xfId="15714" xr:uid="{00000000-0005-0000-0000-0000572A0000}"/>
    <cellStyle name="60% - Akzent6 93_est. MEAT" xfId="22641" xr:uid="{00000000-0005-0000-0000-0000582A0000}"/>
    <cellStyle name="60% - Akzent6 94" xfId="6297" xr:uid="{00000000-0005-0000-0000-0000592A0000}"/>
    <cellStyle name="60% - Akzent6 94 2" xfId="15715" xr:uid="{00000000-0005-0000-0000-00005A2A0000}"/>
    <cellStyle name="60% - Akzent6 94_est. MEAT" xfId="22642" xr:uid="{00000000-0005-0000-0000-00005B2A0000}"/>
    <cellStyle name="60% - Akzent6 95" xfId="6298" xr:uid="{00000000-0005-0000-0000-00005C2A0000}"/>
    <cellStyle name="60% - Akzent6 95 2" xfId="15716" xr:uid="{00000000-0005-0000-0000-00005D2A0000}"/>
    <cellStyle name="60% - Akzent6 95_est. MEAT" xfId="22643" xr:uid="{00000000-0005-0000-0000-00005E2A0000}"/>
    <cellStyle name="60% - Akzent6 96" xfId="6299" xr:uid="{00000000-0005-0000-0000-00005F2A0000}"/>
    <cellStyle name="60% - Akzent6 96 2" xfId="15717" xr:uid="{00000000-0005-0000-0000-0000602A0000}"/>
    <cellStyle name="60% - Akzent6 96_est. MEAT" xfId="22644" xr:uid="{00000000-0005-0000-0000-0000612A0000}"/>
    <cellStyle name="60% - Akzent6 97" xfId="6300" xr:uid="{00000000-0005-0000-0000-0000622A0000}"/>
    <cellStyle name="60% - Akzent6 97 2" xfId="15718" xr:uid="{00000000-0005-0000-0000-0000632A0000}"/>
    <cellStyle name="60% - Akzent6 97_est. MEAT" xfId="22645" xr:uid="{00000000-0005-0000-0000-0000642A0000}"/>
    <cellStyle name="60% - Akzent6 98" xfId="6301" xr:uid="{00000000-0005-0000-0000-0000652A0000}"/>
    <cellStyle name="60% - Akzent6 98 2" xfId="15719" xr:uid="{00000000-0005-0000-0000-0000662A0000}"/>
    <cellStyle name="60% - Akzent6 98_est. MEAT" xfId="22646" xr:uid="{00000000-0005-0000-0000-0000672A0000}"/>
    <cellStyle name="60% - Akzent6 99" xfId="6302" xr:uid="{00000000-0005-0000-0000-0000682A0000}"/>
    <cellStyle name="60% - Akzent6 99 2" xfId="15720" xr:uid="{00000000-0005-0000-0000-0000692A0000}"/>
    <cellStyle name="60% - Akzent6 99_est. MEAT" xfId="22647" xr:uid="{00000000-0005-0000-0000-00006A2A0000}"/>
    <cellStyle name="Accent1" xfId="22648" xr:uid="{00000000-0005-0000-0000-00006B2A0000}"/>
    <cellStyle name="Accent1 2" xfId="6303" xr:uid="{00000000-0005-0000-0000-00006C2A0000}"/>
    <cellStyle name="Accent1 2 2" xfId="15721" xr:uid="{00000000-0005-0000-0000-00006D2A0000}"/>
    <cellStyle name="Accent1 2_est. MEAT" xfId="22649" xr:uid="{00000000-0005-0000-0000-00006E2A0000}"/>
    <cellStyle name="Accent1_AE_FC_QuoteMaster" xfId="22650" xr:uid="{00000000-0005-0000-0000-00006F2A0000}"/>
    <cellStyle name="Accent2" xfId="22651" xr:uid="{00000000-0005-0000-0000-0000702A0000}"/>
    <cellStyle name="Accent2 2" xfId="6304" xr:uid="{00000000-0005-0000-0000-0000712A0000}"/>
    <cellStyle name="Accent2 2 2" xfId="15722" xr:uid="{00000000-0005-0000-0000-0000722A0000}"/>
    <cellStyle name="Accent2 2_est. MEAT" xfId="22652" xr:uid="{00000000-0005-0000-0000-0000732A0000}"/>
    <cellStyle name="Accent2_AE_FC_QuoteMaster" xfId="22653" xr:uid="{00000000-0005-0000-0000-0000742A0000}"/>
    <cellStyle name="Accent3" xfId="22654" xr:uid="{00000000-0005-0000-0000-0000752A0000}"/>
    <cellStyle name="Accent3 2" xfId="6305" xr:uid="{00000000-0005-0000-0000-0000762A0000}"/>
    <cellStyle name="Accent3 2 2" xfId="15723" xr:uid="{00000000-0005-0000-0000-0000772A0000}"/>
    <cellStyle name="Accent3 2_est. MEAT" xfId="22655" xr:uid="{00000000-0005-0000-0000-0000782A0000}"/>
    <cellStyle name="Accent3_AE_FC_QuoteMaster" xfId="22656" xr:uid="{00000000-0005-0000-0000-0000792A0000}"/>
    <cellStyle name="Accent4" xfId="22657" xr:uid="{00000000-0005-0000-0000-00007A2A0000}"/>
    <cellStyle name="Accent4 2" xfId="6306" xr:uid="{00000000-0005-0000-0000-00007B2A0000}"/>
    <cellStyle name="Accent4 2 2" xfId="15724" xr:uid="{00000000-0005-0000-0000-00007C2A0000}"/>
    <cellStyle name="Accent4 2_est. MEAT" xfId="22658" xr:uid="{00000000-0005-0000-0000-00007D2A0000}"/>
    <cellStyle name="Accent4_AE_FC_QuoteMaster" xfId="22659" xr:uid="{00000000-0005-0000-0000-00007E2A0000}"/>
    <cellStyle name="Accent5" xfId="22660" xr:uid="{00000000-0005-0000-0000-00007F2A0000}"/>
    <cellStyle name="Accent5 2" xfId="6307" xr:uid="{00000000-0005-0000-0000-0000802A0000}"/>
    <cellStyle name="Accent5 2 2" xfId="15725" xr:uid="{00000000-0005-0000-0000-0000812A0000}"/>
    <cellStyle name="Accent5 2_est. MEAT" xfId="22661" xr:uid="{00000000-0005-0000-0000-0000822A0000}"/>
    <cellStyle name="Accent5_AE_FC_QuoteMaster" xfId="22662" xr:uid="{00000000-0005-0000-0000-0000832A0000}"/>
    <cellStyle name="Accent6" xfId="22663" xr:uid="{00000000-0005-0000-0000-0000842A0000}"/>
    <cellStyle name="Accent6 2" xfId="6308" xr:uid="{00000000-0005-0000-0000-0000852A0000}"/>
    <cellStyle name="Accent6 2 2" xfId="15726" xr:uid="{00000000-0005-0000-0000-0000862A0000}"/>
    <cellStyle name="Accent6 2_est. MEAT" xfId="22664" xr:uid="{00000000-0005-0000-0000-0000872A0000}"/>
    <cellStyle name="Accent6_AE_FC_QuoteMaster" xfId="22665" xr:uid="{00000000-0005-0000-0000-0000882A0000}"/>
    <cellStyle name="Akzent1" xfId="6309" xr:uid="{00000000-0005-0000-0000-0000892A0000}"/>
    <cellStyle name="Akzent1 10" xfId="6310" xr:uid="{00000000-0005-0000-0000-00008A2A0000}"/>
    <cellStyle name="Akzent1 10 2" xfId="6311" xr:uid="{00000000-0005-0000-0000-00008B2A0000}"/>
    <cellStyle name="Akzent1 10 2 2" xfId="15729" xr:uid="{00000000-0005-0000-0000-00008C2A0000}"/>
    <cellStyle name="Akzent1 10 2_est. MEAT" xfId="22666" xr:uid="{00000000-0005-0000-0000-00008D2A0000}"/>
    <cellStyle name="Akzent1 10 3" xfId="15728" xr:uid="{00000000-0005-0000-0000-00008E2A0000}"/>
    <cellStyle name="Akzent1 10_2012-2019" xfId="12321" xr:uid="{00000000-0005-0000-0000-00008F2A0000}"/>
    <cellStyle name="Akzent1 100" xfId="6312" xr:uid="{00000000-0005-0000-0000-0000902A0000}"/>
    <cellStyle name="Akzent1 100 2" xfId="15730" xr:uid="{00000000-0005-0000-0000-0000912A0000}"/>
    <cellStyle name="Akzent1 100_est. MEAT" xfId="22667" xr:uid="{00000000-0005-0000-0000-0000922A0000}"/>
    <cellStyle name="Akzent1 101" xfId="6313" xr:uid="{00000000-0005-0000-0000-0000932A0000}"/>
    <cellStyle name="Akzent1 101 2" xfId="15731" xr:uid="{00000000-0005-0000-0000-0000942A0000}"/>
    <cellStyle name="Akzent1 101_est. MEAT" xfId="22668" xr:uid="{00000000-0005-0000-0000-0000952A0000}"/>
    <cellStyle name="Akzent1 102" xfId="6314" xr:uid="{00000000-0005-0000-0000-0000962A0000}"/>
    <cellStyle name="Akzent1 102 2" xfId="15732" xr:uid="{00000000-0005-0000-0000-0000972A0000}"/>
    <cellStyle name="Akzent1 102_est. MEAT" xfId="22669" xr:uid="{00000000-0005-0000-0000-0000982A0000}"/>
    <cellStyle name="Akzent1 103" xfId="6315" xr:uid="{00000000-0005-0000-0000-0000992A0000}"/>
    <cellStyle name="Akzent1 103 2" xfId="15733" xr:uid="{00000000-0005-0000-0000-00009A2A0000}"/>
    <cellStyle name="Akzent1 103_est. MEAT" xfId="22670" xr:uid="{00000000-0005-0000-0000-00009B2A0000}"/>
    <cellStyle name="Akzent1 104" xfId="6316" xr:uid="{00000000-0005-0000-0000-00009C2A0000}"/>
    <cellStyle name="Akzent1 104 2" xfId="15734" xr:uid="{00000000-0005-0000-0000-00009D2A0000}"/>
    <cellStyle name="Akzent1 104_est. MEAT" xfId="22671" xr:uid="{00000000-0005-0000-0000-00009E2A0000}"/>
    <cellStyle name="Akzent1 105" xfId="6317" xr:uid="{00000000-0005-0000-0000-00009F2A0000}"/>
    <cellStyle name="Akzent1 105 2" xfId="15735" xr:uid="{00000000-0005-0000-0000-0000A02A0000}"/>
    <cellStyle name="Akzent1 105_est. MEAT" xfId="22672" xr:uid="{00000000-0005-0000-0000-0000A12A0000}"/>
    <cellStyle name="Akzent1 106" xfId="6318" xr:uid="{00000000-0005-0000-0000-0000A22A0000}"/>
    <cellStyle name="Akzent1 106 2" xfId="15736" xr:uid="{00000000-0005-0000-0000-0000A32A0000}"/>
    <cellStyle name="Akzent1 106_est. MEAT" xfId="22673" xr:uid="{00000000-0005-0000-0000-0000A42A0000}"/>
    <cellStyle name="Akzent1 107" xfId="6319" xr:uid="{00000000-0005-0000-0000-0000A52A0000}"/>
    <cellStyle name="Akzent1 107 2" xfId="15737" xr:uid="{00000000-0005-0000-0000-0000A62A0000}"/>
    <cellStyle name="Akzent1 107_est. MEAT" xfId="22674" xr:uid="{00000000-0005-0000-0000-0000A72A0000}"/>
    <cellStyle name="Akzent1 108" xfId="6320" xr:uid="{00000000-0005-0000-0000-0000A82A0000}"/>
    <cellStyle name="Akzent1 108 2" xfId="15738" xr:uid="{00000000-0005-0000-0000-0000A92A0000}"/>
    <cellStyle name="Akzent1 108_est. MEAT" xfId="22675" xr:uid="{00000000-0005-0000-0000-0000AA2A0000}"/>
    <cellStyle name="Akzent1 109" xfId="6321" xr:uid="{00000000-0005-0000-0000-0000AB2A0000}"/>
    <cellStyle name="Akzent1 109 2" xfId="15739" xr:uid="{00000000-0005-0000-0000-0000AC2A0000}"/>
    <cellStyle name="Akzent1 109_est. MEAT" xfId="22676" xr:uid="{00000000-0005-0000-0000-0000AD2A0000}"/>
    <cellStyle name="Akzent1 11" xfId="6322" xr:uid="{00000000-0005-0000-0000-0000AE2A0000}"/>
    <cellStyle name="Akzent1 11 2" xfId="6323" xr:uid="{00000000-0005-0000-0000-0000AF2A0000}"/>
    <cellStyle name="Akzent1 11 2 2" xfId="15741" xr:uid="{00000000-0005-0000-0000-0000B02A0000}"/>
    <cellStyle name="Akzent1 11 2_est. MEAT" xfId="22677" xr:uid="{00000000-0005-0000-0000-0000B12A0000}"/>
    <cellStyle name="Akzent1 11 3" xfId="15740" xr:uid="{00000000-0005-0000-0000-0000B22A0000}"/>
    <cellStyle name="Akzent1 11_2012-2019" xfId="12322" xr:uid="{00000000-0005-0000-0000-0000B32A0000}"/>
    <cellStyle name="Akzent1 110" xfId="6324" xr:uid="{00000000-0005-0000-0000-0000B42A0000}"/>
    <cellStyle name="Akzent1 110 2" xfId="15742" xr:uid="{00000000-0005-0000-0000-0000B52A0000}"/>
    <cellStyle name="Akzent1 110_est. MEAT" xfId="22678" xr:uid="{00000000-0005-0000-0000-0000B62A0000}"/>
    <cellStyle name="Akzent1 111" xfId="6325" xr:uid="{00000000-0005-0000-0000-0000B72A0000}"/>
    <cellStyle name="Akzent1 111 2" xfId="15743" xr:uid="{00000000-0005-0000-0000-0000B82A0000}"/>
    <cellStyle name="Akzent1 111_est. MEAT" xfId="22679" xr:uid="{00000000-0005-0000-0000-0000B92A0000}"/>
    <cellStyle name="Akzent1 112" xfId="6326" xr:uid="{00000000-0005-0000-0000-0000BA2A0000}"/>
    <cellStyle name="Akzent1 112 2" xfId="15744" xr:uid="{00000000-0005-0000-0000-0000BB2A0000}"/>
    <cellStyle name="Akzent1 112_est. MEAT" xfId="22680" xr:uid="{00000000-0005-0000-0000-0000BC2A0000}"/>
    <cellStyle name="Akzent1 113" xfId="6327" xr:uid="{00000000-0005-0000-0000-0000BD2A0000}"/>
    <cellStyle name="Akzent1 113 2" xfId="15745" xr:uid="{00000000-0005-0000-0000-0000BE2A0000}"/>
    <cellStyle name="Akzent1 113_est. MEAT" xfId="22681" xr:uid="{00000000-0005-0000-0000-0000BF2A0000}"/>
    <cellStyle name="Akzent1 114" xfId="6328" xr:uid="{00000000-0005-0000-0000-0000C02A0000}"/>
    <cellStyle name="Akzent1 114 2" xfId="15746" xr:uid="{00000000-0005-0000-0000-0000C12A0000}"/>
    <cellStyle name="Akzent1 114_est. MEAT" xfId="22682" xr:uid="{00000000-0005-0000-0000-0000C22A0000}"/>
    <cellStyle name="Akzent1 115" xfId="6329" xr:uid="{00000000-0005-0000-0000-0000C32A0000}"/>
    <cellStyle name="Akzent1 115 2" xfId="15747" xr:uid="{00000000-0005-0000-0000-0000C42A0000}"/>
    <cellStyle name="Akzent1 115_est. MEAT" xfId="22683" xr:uid="{00000000-0005-0000-0000-0000C52A0000}"/>
    <cellStyle name="Akzent1 116" xfId="6330" xr:uid="{00000000-0005-0000-0000-0000C62A0000}"/>
    <cellStyle name="Akzent1 116 2" xfId="15748" xr:uid="{00000000-0005-0000-0000-0000C72A0000}"/>
    <cellStyle name="Akzent1 116_est. MEAT" xfId="22684" xr:uid="{00000000-0005-0000-0000-0000C82A0000}"/>
    <cellStyle name="Akzent1 117" xfId="6331" xr:uid="{00000000-0005-0000-0000-0000C92A0000}"/>
    <cellStyle name="Akzent1 117 2" xfId="15749" xr:uid="{00000000-0005-0000-0000-0000CA2A0000}"/>
    <cellStyle name="Akzent1 117_est. MEAT" xfId="22685" xr:uid="{00000000-0005-0000-0000-0000CB2A0000}"/>
    <cellStyle name="Akzent1 118" xfId="6332" xr:uid="{00000000-0005-0000-0000-0000CC2A0000}"/>
    <cellStyle name="Akzent1 118 2" xfId="15750" xr:uid="{00000000-0005-0000-0000-0000CD2A0000}"/>
    <cellStyle name="Akzent1 118_est. MEAT" xfId="22686" xr:uid="{00000000-0005-0000-0000-0000CE2A0000}"/>
    <cellStyle name="Akzent1 119" xfId="6333" xr:uid="{00000000-0005-0000-0000-0000CF2A0000}"/>
    <cellStyle name="Akzent1 119 2" xfId="15751" xr:uid="{00000000-0005-0000-0000-0000D02A0000}"/>
    <cellStyle name="Akzent1 119_est. MEAT" xfId="22687" xr:uid="{00000000-0005-0000-0000-0000D12A0000}"/>
    <cellStyle name="Akzent1 12" xfId="6334" xr:uid="{00000000-0005-0000-0000-0000D22A0000}"/>
    <cellStyle name="Akzent1 12 2" xfId="6335" xr:uid="{00000000-0005-0000-0000-0000D32A0000}"/>
    <cellStyle name="Akzent1 12 2 2" xfId="15753" xr:uid="{00000000-0005-0000-0000-0000D42A0000}"/>
    <cellStyle name="Akzent1 12 2_est. MEAT" xfId="22688" xr:uid="{00000000-0005-0000-0000-0000D52A0000}"/>
    <cellStyle name="Akzent1 12 3" xfId="15752" xr:uid="{00000000-0005-0000-0000-0000D62A0000}"/>
    <cellStyle name="Akzent1 12_2012-2019" xfId="12323" xr:uid="{00000000-0005-0000-0000-0000D72A0000}"/>
    <cellStyle name="Akzent1 120" xfId="6336" xr:uid="{00000000-0005-0000-0000-0000D82A0000}"/>
    <cellStyle name="Akzent1 120 2" xfId="15754" xr:uid="{00000000-0005-0000-0000-0000D92A0000}"/>
    <cellStyle name="Akzent1 120_est. MEAT" xfId="22689" xr:uid="{00000000-0005-0000-0000-0000DA2A0000}"/>
    <cellStyle name="Akzent1 121" xfId="6337" xr:uid="{00000000-0005-0000-0000-0000DB2A0000}"/>
    <cellStyle name="Akzent1 121 2" xfId="15755" xr:uid="{00000000-0005-0000-0000-0000DC2A0000}"/>
    <cellStyle name="Akzent1 121_est. MEAT" xfId="22690" xr:uid="{00000000-0005-0000-0000-0000DD2A0000}"/>
    <cellStyle name="Akzent1 122" xfId="6338" xr:uid="{00000000-0005-0000-0000-0000DE2A0000}"/>
    <cellStyle name="Akzent1 122 2" xfId="15756" xr:uid="{00000000-0005-0000-0000-0000DF2A0000}"/>
    <cellStyle name="Akzent1 122_est. MEAT" xfId="22691" xr:uid="{00000000-0005-0000-0000-0000E02A0000}"/>
    <cellStyle name="Akzent1 123" xfId="6339" xr:uid="{00000000-0005-0000-0000-0000E12A0000}"/>
    <cellStyle name="Akzent1 123 2" xfId="15757" xr:uid="{00000000-0005-0000-0000-0000E22A0000}"/>
    <cellStyle name="Akzent1 123_est. MEAT" xfId="22692" xr:uid="{00000000-0005-0000-0000-0000E32A0000}"/>
    <cellStyle name="Akzent1 124" xfId="6340" xr:uid="{00000000-0005-0000-0000-0000E42A0000}"/>
    <cellStyle name="Akzent1 124 2" xfId="15758" xr:uid="{00000000-0005-0000-0000-0000E52A0000}"/>
    <cellStyle name="Akzent1 124_est. MEAT" xfId="22693" xr:uid="{00000000-0005-0000-0000-0000E62A0000}"/>
    <cellStyle name="Akzent1 125" xfId="6341" xr:uid="{00000000-0005-0000-0000-0000E72A0000}"/>
    <cellStyle name="Akzent1 125 2" xfId="15759" xr:uid="{00000000-0005-0000-0000-0000E82A0000}"/>
    <cellStyle name="Akzent1 125_est. MEAT" xfId="22694" xr:uid="{00000000-0005-0000-0000-0000E92A0000}"/>
    <cellStyle name="Akzent1 126" xfId="6342" xr:uid="{00000000-0005-0000-0000-0000EA2A0000}"/>
    <cellStyle name="Akzent1 126 2" xfId="15760" xr:uid="{00000000-0005-0000-0000-0000EB2A0000}"/>
    <cellStyle name="Akzent1 126_est. MEAT" xfId="22695" xr:uid="{00000000-0005-0000-0000-0000EC2A0000}"/>
    <cellStyle name="Akzent1 127" xfId="6343" xr:uid="{00000000-0005-0000-0000-0000ED2A0000}"/>
    <cellStyle name="Akzent1 127 2" xfId="15761" xr:uid="{00000000-0005-0000-0000-0000EE2A0000}"/>
    <cellStyle name="Akzent1 127_est. MEAT" xfId="22696" xr:uid="{00000000-0005-0000-0000-0000EF2A0000}"/>
    <cellStyle name="Akzent1 128" xfId="6344" xr:uid="{00000000-0005-0000-0000-0000F02A0000}"/>
    <cellStyle name="Akzent1 128 2" xfId="15762" xr:uid="{00000000-0005-0000-0000-0000F12A0000}"/>
    <cellStyle name="Akzent1 128_est. MEAT" xfId="22697" xr:uid="{00000000-0005-0000-0000-0000F22A0000}"/>
    <cellStyle name="Akzent1 129" xfId="6345" xr:uid="{00000000-0005-0000-0000-0000F32A0000}"/>
    <cellStyle name="Akzent1 129 2" xfId="15763" xr:uid="{00000000-0005-0000-0000-0000F42A0000}"/>
    <cellStyle name="Akzent1 129_est. MEAT" xfId="22698" xr:uid="{00000000-0005-0000-0000-0000F52A0000}"/>
    <cellStyle name="Akzent1 13" xfId="6346" xr:uid="{00000000-0005-0000-0000-0000F62A0000}"/>
    <cellStyle name="Akzent1 13 2" xfId="6347" xr:uid="{00000000-0005-0000-0000-0000F72A0000}"/>
    <cellStyle name="Akzent1 13 2 2" xfId="15765" xr:uid="{00000000-0005-0000-0000-0000F82A0000}"/>
    <cellStyle name="Akzent1 13 2_est. MEAT" xfId="22699" xr:uid="{00000000-0005-0000-0000-0000F92A0000}"/>
    <cellStyle name="Akzent1 13 3" xfId="15764" xr:uid="{00000000-0005-0000-0000-0000FA2A0000}"/>
    <cellStyle name="Akzent1 13_2012-2019" xfId="12324" xr:uid="{00000000-0005-0000-0000-0000FB2A0000}"/>
    <cellStyle name="Akzent1 130" xfId="6348" xr:uid="{00000000-0005-0000-0000-0000FC2A0000}"/>
    <cellStyle name="Akzent1 130 2" xfId="15766" xr:uid="{00000000-0005-0000-0000-0000FD2A0000}"/>
    <cellStyle name="Akzent1 130_est. MEAT" xfId="22700" xr:uid="{00000000-0005-0000-0000-0000FE2A0000}"/>
    <cellStyle name="Akzent1 131" xfId="6349" xr:uid="{00000000-0005-0000-0000-0000FF2A0000}"/>
    <cellStyle name="Akzent1 131 2" xfId="15767" xr:uid="{00000000-0005-0000-0000-0000002B0000}"/>
    <cellStyle name="Akzent1 131_est. MEAT" xfId="22701" xr:uid="{00000000-0005-0000-0000-0000012B0000}"/>
    <cellStyle name="Akzent1 132" xfId="6350" xr:uid="{00000000-0005-0000-0000-0000022B0000}"/>
    <cellStyle name="Akzent1 132 2" xfId="15768" xr:uid="{00000000-0005-0000-0000-0000032B0000}"/>
    <cellStyle name="Akzent1 132_est. MEAT" xfId="22702" xr:uid="{00000000-0005-0000-0000-0000042B0000}"/>
    <cellStyle name="Akzent1 133" xfId="6351" xr:uid="{00000000-0005-0000-0000-0000052B0000}"/>
    <cellStyle name="Akzent1 133 2" xfId="15769" xr:uid="{00000000-0005-0000-0000-0000062B0000}"/>
    <cellStyle name="Akzent1 133_est. MEAT" xfId="22703" xr:uid="{00000000-0005-0000-0000-0000072B0000}"/>
    <cellStyle name="Akzent1 134" xfId="6352" xr:uid="{00000000-0005-0000-0000-0000082B0000}"/>
    <cellStyle name="Akzent1 134 2" xfId="15770" xr:uid="{00000000-0005-0000-0000-0000092B0000}"/>
    <cellStyle name="Akzent1 134_est. MEAT" xfId="22704" xr:uid="{00000000-0005-0000-0000-00000A2B0000}"/>
    <cellStyle name="Akzent1 135" xfId="6353" xr:uid="{00000000-0005-0000-0000-00000B2B0000}"/>
    <cellStyle name="Akzent1 135 2" xfId="15771" xr:uid="{00000000-0005-0000-0000-00000C2B0000}"/>
    <cellStyle name="Akzent1 135_est. MEAT" xfId="22705" xr:uid="{00000000-0005-0000-0000-00000D2B0000}"/>
    <cellStyle name="Akzent1 136" xfId="6354" xr:uid="{00000000-0005-0000-0000-00000E2B0000}"/>
    <cellStyle name="Akzent1 136 2" xfId="15772" xr:uid="{00000000-0005-0000-0000-00000F2B0000}"/>
    <cellStyle name="Akzent1 136_est. MEAT" xfId="22706" xr:uid="{00000000-0005-0000-0000-0000102B0000}"/>
    <cellStyle name="Akzent1 137" xfId="6355" xr:uid="{00000000-0005-0000-0000-0000112B0000}"/>
    <cellStyle name="Akzent1 137 2" xfId="15773" xr:uid="{00000000-0005-0000-0000-0000122B0000}"/>
    <cellStyle name="Akzent1 137_est. MEAT" xfId="22707" xr:uid="{00000000-0005-0000-0000-0000132B0000}"/>
    <cellStyle name="Akzent1 138" xfId="6356" xr:uid="{00000000-0005-0000-0000-0000142B0000}"/>
    <cellStyle name="Akzent1 138 2" xfId="15774" xr:uid="{00000000-0005-0000-0000-0000152B0000}"/>
    <cellStyle name="Akzent1 138_est. MEAT" xfId="22708" xr:uid="{00000000-0005-0000-0000-0000162B0000}"/>
    <cellStyle name="Akzent1 139" xfId="6357" xr:uid="{00000000-0005-0000-0000-0000172B0000}"/>
    <cellStyle name="Akzent1 139 2" xfId="15775" xr:uid="{00000000-0005-0000-0000-0000182B0000}"/>
    <cellStyle name="Akzent1 139_est. MEAT" xfId="22709" xr:uid="{00000000-0005-0000-0000-0000192B0000}"/>
    <cellStyle name="Akzent1 14" xfId="6358" xr:uid="{00000000-0005-0000-0000-00001A2B0000}"/>
    <cellStyle name="Akzent1 14 2" xfId="6359" xr:uid="{00000000-0005-0000-0000-00001B2B0000}"/>
    <cellStyle name="Akzent1 14 2 2" xfId="15777" xr:uid="{00000000-0005-0000-0000-00001C2B0000}"/>
    <cellStyle name="Akzent1 14 2_est. MEAT" xfId="22710" xr:uid="{00000000-0005-0000-0000-00001D2B0000}"/>
    <cellStyle name="Akzent1 14 3" xfId="15776" xr:uid="{00000000-0005-0000-0000-00001E2B0000}"/>
    <cellStyle name="Akzent1 14_2012-2019" xfId="12325" xr:uid="{00000000-0005-0000-0000-00001F2B0000}"/>
    <cellStyle name="Akzent1 140" xfId="6360" xr:uid="{00000000-0005-0000-0000-0000202B0000}"/>
    <cellStyle name="Akzent1 140 2" xfId="15778" xr:uid="{00000000-0005-0000-0000-0000212B0000}"/>
    <cellStyle name="Akzent1 140_est. MEAT" xfId="22711" xr:uid="{00000000-0005-0000-0000-0000222B0000}"/>
    <cellStyle name="Akzent1 141" xfId="6361" xr:uid="{00000000-0005-0000-0000-0000232B0000}"/>
    <cellStyle name="Akzent1 141 2" xfId="15779" xr:uid="{00000000-0005-0000-0000-0000242B0000}"/>
    <cellStyle name="Akzent1 141_est. MEAT" xfId="22712" xr:uid="{00000000-0005-0000-0000-0000252B0000}"/>
    <cellStyle name="Akzent1 142" xfId="6362" xr:uid="{00000000-0005-0000-0000-0000262B0000}"/>
    <cellStyle name="Akzent1 142 2" xfId="15780" xr:uid="{00000000-0005-0000-0000-0000272B0000}"/>
    <cellStyle name="Akzent1 142_est. MEAT" xfId="22713" xr:uid="{00000000-0005-0000-0000-0000282B0000}"/>
    <cellStyle name="Akzent1 143" xfId="6363" xr:uid="{00000000-0005-0000-0000-0000292B0000}"/>
    <cellStyle name="Akzent1 143 2" xfId="15781" xr:uid="{00000000-0005-0000-0000-00002A2B0000}"/>
    <cellStyle name="Akzent1 143_est. MEAT" xfId="22714" xr:uid="{00000000-0005-0000-0000-00002B2B0000}"/>
    <cellStyle name="Akzent1 144" xfId="6364" xr:uid="{00000000-0005-0000-0000-00002C2B0000}"/>
    <cellStyle name="Akzent1 144 2" xfId="15782" xr:uid="{00000000-0005-0000-0000-00002D2B0000}"/>
    <cellStyle name="Akzent1 144_est. MEAT" xfId="22715" xr:uid="{00000000-0005-0000-0000-00002E2B0000}"/>
    <cellStyle name="Akzent1 145" xfId="6365" xr:uid="{00000000-0005-0000-0000-00002F2B0000}"/>
    <cellStyle name="Akzent1 145 2" xfId="15783" xr:uid="{00000000-0005-0000-0000-0000302B0000}"/>
    <cellStyle name="Akzent1 145_est. MEAT" xfId="22716" xr:uid="{00000000-0005-0000-0000-0000312B0000}"/>
    <cellStyle name="Akzent1 146" xfId="6366" xr:uid="{00000000-0005-0000-0000-0000322B0000}"/>
    <cellStyle name="Akzent1 146 2" xfId="15784" xr:uid="{00000000-0005-0000-0000-0000332B0000}"/>
    <cellStyle name="Akzent1 146_est. MEAT" xfId="22717" xr:uid="{00000000-0005-0000-0000-0000342B0000}"/>
    <cellStyle name="Akzent1 147" xfId="6367" xr:uid="{00000000-0005-0000-0000-0000352B0000}"/>
    <cellStyle name="Akzent1 147 2" xfId="15785" xr:uid="{00000000-0005-0000-0000-0000362B0000}"/>
    <cellStyle name="Akzent1 147_est. MEAT" xfId="22718" xr:uid="{00000000-0005-0000-0000-0000372B0000}"/>
    <cellStyle name="Akzent1 148" xfId="6368" xr:uid="{00000000-0005-0000-0000-0000382B0000}"/>
    <cellStyle name="Akzent1 148 2" xfId="15786" xr:uid="{00000000-0005-0000-0000-0000392B0000}"/>
    <cellStyle name="Akzent1 148_est. MEAT" xfId="22719" xr:uid="{00000000-0005-0000-0000-00003A2B0000}"/>
    <cellStyle name="Akzent1 149" xfId="6369" xr:uid="{00000000-0005-0000-0000-00003B2B0000}"/>
    <cellStyle name="Akzent1 149 2" xfId="15787" xr:uid="{00000000-0005-0000-0000-00003C2B0000}"/>
    <cellStyle name="Akzent1 149_est. MEAT" xfId="22720" xr:uid="{00000000-0005-0000-0000-00003D2B0000}"/>
    <cellStyle name="Akzent1 15" xfId="6370" xr:uid="{00000000-0005-0000-0000-00003E2B0000}"/>
    <cellStyle name="Akzent1 15 2" xfId="15788" xr:uid="{00000000-0005-0000-0000-00003F2B0000}"/>
    <cellStyle name="Akzent1 15_est. MEAT" xfId="22721" xr:uid="{00000000-0005-0000-0000-0000402B0000}"/>
    <cellStyle name="Akzent1 150" xfId="6371" xr:uid="{00000000-0005-0000-0000-0000412B0000}"/>
    <cellStyle name="Akzent1 150 2" xfId="15789" xr:uid="{00000000-0005-0000-0000-0000422B0000}"/>
    <cellStyle name="Akzent1 150_est. MEAT" xfId="22722" xr:uid="{00000000-0005-0000-0000-0000432B0000}"/>
    <cellStyle name="Akzent1 151" xfId="6372" xr:uid="{00000000-0005-0000-0000-0000442B0000}"/>
    <cellStyle name="Akzent1 151 2" xfId="15790" xr:uid="{00000000-0005-0000-0000-0000452B0000}"/>
    <cellStyle name="Akzent1 151_est. MEAT" xfId="22723" xr:uid="{00000000-0005-0000-0000-0000462B0000}"/>
    <cellStyle name="Akzent1 152" xfId="15727" xr:uid="{00000000-0005-0000-0000-0000472B0000}"/>
    <cellStyle name="Akzent1 16" xfId="6373" xr:uid="{00000000-0005-0000-0000-0000482B0000}"/>
    <cellStyle name="Akzent1 16 2" xfId="15791" xr:uid="{00000000-0005-0000-0000-0000492B0000}"/>
    <cellStyle name="Akzent1 16_est. MEAT" xfId="22724" xr:uid="{00000000-0005-0000-0000-00004A2B0000}"/>
    <cellStyle name="Akzent1 17" xfId="6374" xr:uid="{00000000-0005-0000-0000-00004B2B0000}"/>
    <cellStyle name="Akzent1 17 2" xfId="15792" xr:uid="{00000000-0005-0000-0000-00004C2B0000}"/>
    <cellStyle name="Akzent1 17_est. MEAT" xfId="22725" xr:uid="{00000000-0005-0000-0000-00004D2B0000}"/>
    <cellStyle name="Akzent1 18" xfId="6375" xr:uid="{00000000-0005-0000-0000-00004E2B0000}"/>
    <cellStyle name="Akzent1 18 2" xfId="15793" xr:uid="{00000000-0005-0000-0000-00004F2B0000}"/>
    <cellStyle name="Akzent1 18_est. MEAT" xfId="22726" xr:uid="{00000000-0005-0000-0000-0000502B0000}"/>
    <cellStyle name="Akzent1 19" xfId="6376" xr:uid="{00000000-0005-0000-0000-0000512B0000}"/>
    <cellStyle name="Akzent1 19 2" xfId="15794" xr:uid="{00000000-0005-0000-0000-0000522B0000}"/>
    <cellStyle name="Akzent1 19_est. MEAT" xfId="22727" xr:uid="{00000000-0005-0000-0000-0000532B0000}"/>
    <cellStyle name="Akzent1 2" xfId="6377" xr:uid="{00000000-0005-0000-0000-0000542B0000}"/>
    <cellStyle name="Akzent1 2 2" xfId="6378" xr:uid="{00000000-0005-0000-0000-0000552B0000}"/>
    <cellStyle name="Akzent1 2 2 2" xfId="15796" xr:uid="{00000000-0005-0000-0000-0000562B0000}"/>
    <cellStyle name="Akzent1 2 2_est. MEAT" xfId="22728" xr:uid="{00000000-0005-0000-0000-0000572B0000}"/>
    <cellStyle name="Akzent1 2 3" xfId="15795" xr:uid="{00000000-0005-0000-0000-0000582B0000}"/>
    <cellStyle name="Akzent1 2_2012-2019" xfId="12326" xr:uid="{00000000-0005-0000-0000-0000592B0000}"/>
    <cellStyle name="Akzent1 20" xfId="6379" xr:uid="{00000000-0005-0000-0000-00005A2B0000}"/>
    <cellStyle name="Akzent1 20 2" xfId="15797" xr:uid="{00000000-0005-0000-0000-00005B2B0000}"/>
    <cellStyle name="Akzent1 20_est. MEAT" xfId="22729" xr:uid="{00000000-0005-0000-0000-00005C2B0000}"/>
    <cellStyle name="Akzent1 21" xfId="6380" xr:uid="{00000000-0005-0000-0000-00005D2B0000}"/>
    <cellStyle name="Akzent1 21 2" xfId="15798" xr:uid="{00000000-0005-0000-0000-00005E2B0000}"/>
    <cellStyle name="Akzent1 21_est. MEAT" xfId="22730" xr:uid="{00000000-0005-0000-0000-00005F2B0000}"/>
    <cellStyle name="Akzent1 22" xfId="6381" xr:uid="{00000000-0005-0000-0000-0000602B0000}"/>
    <cellStyle name="Akzent1 22 2" xfId="15799" xr:uid="{00000000-0005-0000-0000-0000612B0000}"/>
    <cellStyle name="Akzent1 22_est. MEAT" xfId="22731" xr:uid="{00000000-0005-0000-0000-0000622B0000}"/>
    <cellStyle name="Akzent1 23" xfId="6382" xr:uid="{00000000-0005-0000-0000-0000632B0000}"/>
    <cellStyle name="Akzent1 23 2" xfId="15800" xr:uid="{00000000-0005-0000-0000-0000642B0000}"/>
    <cellStyle name="Akzent1 23_est. MEAT" xfId="22732" xr:uid="{00000000-0005-0000-0000-0000652B0000}"/>
    <cellStyle name="Akzent1 24" xfId="6383" xr:uid="{00000000-0005-0000-0000-0000662B0000}"/>
    <cellStyle name="Akzent1 24 2" xfId="15801" xr:uid="{00000000-0005-0000-0000-0000672B0000}"/>
    <cellStyle name="Akzent1 24_est. MEAT" xfId="22733" xr:uid="{00000000-0005-0000-0000-0000682B0000}"/>
    <cellStyle name="Akzent1 25" xfId="6384" xr:uid="{00000000-0005-0000-0000-0000692B0000}"/>
    <cellStyle name="Akzent1 25 2" xfId="15802" xr:uid="{00000000-0005-0000-0000-00006A2B0000}"/>
    <cellStyle name="Akzent1 25_est. MEAT" xfId="22734" xr:uid="{00000000-0005-0000-0000-00006B2B0000}"/>
    <cellStyle name="Akzent1 26" xfId="6385" xr:uid="{00000000-0005-0000-0000-00006C2B0000}"/>
    <cellStyle name="Akzent1 26 2" xfId="15803" xr:uid="{00000000-0005-0000-0000-00006D2B0000}"/>
    <cellStyle name="Akzent1 26_est. MEAT" xfId="22735" xr:uid="{00000000-0005-0000-0000-00006E2B0000}"/>
    <cellStyle name="Akzent1 27" xfId="6386" xr:uid="{00000000-0005-0000-0000-00006F2B0000}"/>
    <cellStyle name="Akzent1 27 2" xfId="15804" xr:uid="{00000000-0005-0000-0000-0000702B0000}"/>
    <cellStyle name="Akzent1 27_est. MEAT" xfId="22736" xr:uid="{00000000-0005-0000-0000-0000712B0000}"/>
    <cellStyle name="Akzent1 28" xfId="6387" xr:uid="{00000000-0005-0000-0000-0000722B0000}"/>
    <cellStyle name="Akzent1 28 2" xfId="15805" xr:uid="{00000000-0005-0000-0000-0000732B0000}"/>
    <cellStyle name="Akzent1 28_est. MEAT" xfId="22737" xr:uid="{00000000-0005-0000-0000-0000742B0000}"/>
    <cellStyle name="Akzent1 29" xfId="6388" xr:uid="{00000000-0005-0000-0000-0000752B0000}"/>
    <cellStyle name="Akzent1 29 2" xfId="15806" xr:uid="{00000000-0005-0000-0000-0000762B0000}"/>
    <cellStyle name="Akzent1 29_est. MEAT" xfId="22738" xr:uid="{00000000-0005-0000-0000-0000772B0000}"/>
    <cellStyle name="Akzent1 3" xfId="6389" xr:uid="{00000000-0005-0000-0000-0000782B0000}"/>
    <cellStyle name="Akzent1 3 2" xfId="6390" xr:uid="{00000000-0005-0000-0000-0000792B0000}"/>
    <cellStyle name="Akzent1 3 2 2" xfId="15808" xr:uid="{00000000-0005-0000-0000-00007A2B0000}"/>
    <cellStyle name="Akzent1 3 2_est. MEAT" xfId="22739" xr:uid="{00000000-0005-0000-0000-00007B2B0000}"/>
    <cellStyle name="Akzent1 3 3" xfId="15807" xr:uid="{00000000-0005-0000-0000-00007C2B0000}"/>
    <cellStyle name="Akzent1 3_2012-2019" xfId="12327" xr:uid="{00000000-0005-0000-0000-00007D2B0000}"/>
    <cellStyle name="Akzent1 30" xfId="6391" xr:uid="{00000000-0005-0000-0000-00007E2B0000}"/>
    <cellStyle name="Akzent1 30 2" xfId="15809" xr:uid="{00000000-0005-0000-0000-00007F2B0000}"/>
    <cellStyle name="Akzent1 30_est. MEAT" xfId="22740" xr:uid="{00000000-0005-0000-0000-0000802B0000}"/>
    <cellStyle name="Akzent1 31" xfId="6392" xr:uid="{00000000-0005-0000-0000-0000812B0000}"/>
    <cellStyle name="Akzent1 31 2" xfId="15810" xr:uid="{00000000-0005-0000-0000-0000822B0000}"/>
    <cellStyle name="Akzent1 31_est. MEAT" xfId="22741" xr:uid="{00000000-0005-0000-0000-0000832B0000}"/>
    <cellStyle name="Akzent1 32" xfId="6393" xr:uid="{00000000-0005-0000-0000-0000842B0000}"/>
    <cellStyle name="Akzent1 32 2" xfId="15811" xr:uid="{00000000-0005-0000-0000-0000852B0000}"/>
    <cellStyle name="Akzent1 32_est. MEAT" xfId="22742" xr:uid="{00000000-0005-0000-0000-0000862B0000}"/>
    <cellStyle name="Akzent1 33" xfId="6394" xr:uid="{00000000-0005-0000-0000-0000872B0000}"/>
    <cellStyle name="Akzent1 33 2" xfId="15812" xr:uid="{00000000-0005-0000-0000-0000882B0000}"/>
    <cellStyle name="Akzent1 33_est. MEAT" xfId="22743" xr:uid="{00000000-0005-0000-0000-0000892B0000}"/>
    <cellStyle name="Akzent1 34" xfId="6395" xr:uid="{00000000-0005-0000-0000-00008A2B0000}"/>
    <cellStyle name="Akzent1 34 2" xfId="15813" xr:uid="{00000000-0005-0000-0000-00008B2B0000}"/>
    <cellStyle name="Akzent1 34_est. MEAT" xfId="22744" xr:uid="{00000000-0005-0000-0000-00008C2B0000}"/>
    <cellStyle name="Akzent1 35" xfId="6396" xr:uid="{00000000-0005-0000-0000-00008D2B0000}"/>
    <cellStyle name="Akzent1 35 2" xfId="15814" xr:uid="{00000000-0005-0000-0000-00008E2B0000}"/>
    <cellStyle name="Akzent1 35_est. MEAT" xfId="22745" xr:uid="{00000000-0005-0000-0000-00008F2B0000}"/>
    <cellStyle name="Akzent1 36" xfId="6397" xr:uid="{00000000-0005-0000-0000-0000902B0000}"/>
    <cellStyle name="Akzent1 36 2" xfId="15815" xr:uid="{00000000-0005-0000-0000-0000912B0000}"/>
    <cellStyle name="Akzent1 36_est. MEAT" xfId="22746" xr:uid="{00000000-0005-0000-0000-0000922B0000}"/>
    <cellStyle name="Akzent1 37" xfId="6398" xr:uid="{00000000-0005-0000-0000-0000932B0000}"/>
    <cellStyle name="Akzent1 37 2" xfId="15816" xr:uid="{00000000-0005-0000-0000-0000942B0000}"/>
    <cellStyle name="Akzent1 37_est. MEAT" xfId="22747" xr:uid="{00000000-0005-0000-0000-0000952B0000}"/>
    <cellStyle name="Akzent1 38" xfId="6399" xr:uid="{00000000-0005-0000-0000-0000962B0000}"/>
    <cellStyle name="Akzent1 38 2" xfId="15817" xr:uid="{00000000-0005-0000-0000-0000972B0000}"/>
    <cellStyle name="Akzent1 38_est. MEAT" xfId="22748" xr:uid="{00000000-0005-0000-0000-0000982B0000}"/>
    <cellStyle name="Akzent1 39" xfId="6400" xr:uid="{00000000-0005-0000-0000-0000992B0000}"/>
    <cellStyle name="Akzent1 39 2" xfId="15818" xr:uid="{00000000-0005-0000-0000-00009A2B0000}"/>
    <cellStyle name="Akzent1 39_est. MEAT" xfId="22749" xr:uid="{00000000-0005-0000-0000-00009B2B0000}"/>
    <cellStyle name="Akzent1 4" xfId="6401" xr:uid="{00000000-0005-0000-0000-00009C2B0000}"/>
    <cellStyle name="Akzent1 4 2" xfId="6402" xr:uid="{00000000-0005-0000-0000-00009D2B0000}"/>
    <cellStyle name="Akzent1 4 2 2" xfId="15820" xr:uid="{00000000-0005-0000-0000-00009E2B0000}"/>
    <cellStyle name="Akzent1 4 2_est. MEAT" xfId="22750" xr:uid="{00000000-0005-0000-0000-00009F2B0000}"/>
    <cellStyle name="Akzent1 4 3" xfId="15819" xr:uid="{00000000-0005-0000-0000-0000A02B0000}"/>
    <cellStyle name="Akzent1 4_2012-2019" xfId="12328" xr:uid="{00000000-0005-0000-0000-0000A12B0000}"/>
    <cellStyle name="Akzent1 40" xfId="6403" xr:uid="{00000000-0005-0000-0000-0000A22B0000}"/>
    <cellStyle name="Akzent1 40 2" xfId="15821" xr:uid="{00000000-0005-0000-0000-0000A32B0000}"/>
    <cellStyle name="Akzent1 40_est. MEAT" xfId="22751" xr:uid="{00000000-0005-0000-0000-0000A42B0000}"/>
    <cellStyle name="Akzent1 41" xfId="6404" xr:uid="{00000000-0005-0000-0000-0000A52B0000}"/>
    <cellStyle name="Akzent1 41 2" xfId="15822" xr:uid="{00000000-0005-0000-0000-0000A62B0000}"/>
    <cellStyle name="Akzent1 41_est. MEAT" xfId="22752" xr:uid="{00000000-0005-0000-0000-0000A72B0000}"/>
    <cellStyle name="Akzent1 42" xfId="6405" xr:uid="{00000000-0005-0000-0000-0000A82B0000}"/>
    <cellStyle name="Akzent1 42 2" xfId="15823" xr:uid="{00000000-0005-0000-0000-0000A92B0000}"/>
    <cellStyle name="Akzent1 42_est. MEAT" xfId="22753" xr:uid="{00000000-0005-0000-0000-0000AA2B0000}"/>
    <cellStyle name="Akzent1 43" xfId="6406" xr:uid="{00000000-0005-0000-0000-0000AB2B0000}"/>
    <cellStyle name="Akzent1 43 2" xfId="15824" xr:uid="{00000000-0005-0000-0000-0000AC2B0000}"/>
    <cellStyle name="Akzent1 43_est. MEAT" xfId="22754" xr:uid="{00000000-0005-0000-0000-0000AD2B0000}"/>
    <cellStyle name="Akzent1 44" xfId="6407" xr:uid="{00000000-0005-0000-0000-0000AE2B0000}"/>
    <cellStyle name="Akzent1 44 2" xfId="15825" xr:uid="{00000000-0005-0000-0000-0000AF2B0000}"/>
    <cellStyle name="Akzent1 44_est. MEAT" xfId="22755" xr:uid="{00000000-0005-0000-0000-0000B02B0000}"/>
    <cellStyle name="Akzent1 45" xfId="6408" xr:uid="{00000000-0005-0000-0000-0000B12B0000}"/>
    <cellStyle name="Akzent1 45 2" xfId="15826" xr:uid="{00000000-0005-0000-0000-0000B22B0000}"/>
    <cellStyle name="Akzent1 45_est. MEAT" xfId="22756" xr:uid="{00000000-0005-0000-0000-0000B32B0000}"/>
    <cellStyle name="Akzent1 46" xfId="6409" xr:uid="{00000000-0005-0000-0000-0000B42B0000}"/>
    <cellStyle name="Akzent1 46 2" xfId="15827" xr:uid="{00000000-0005-0000-0000-0000B52B0000}"/>
    <cellStyle name="Akzent1 46_est. MEAT" xfId="22757" xr:uid="{00000000-0005-0000-0000-0000B62B0000}"/>
    <cellStyle name="Akzent1 47" xfId="6410" xr:uid="{00000000-0005-0000-0000-0000B72B0000}"/>
    <cellStyle name="Akzent1 47 2" xfId="15828" xr:uid="{00000000-0005-0000-0000-0000B82B0000}"/>
    <cellStyle name="Akzent1 47_est. MEAT" xfId="22758" xr:uid="{00000000-0005-0000-0000-0000B92B0000}"/>
    <cellStyle name="Akzent1 48" xfId="6411" xr:uid="{00000000-0005-0000-0000-0000BA2B0000}"/>
    <cellStyle name="Akzent1 48 2" xfId="15829" xr:uid="{00000000-0005-0000-0000-0000BB2B0000}"/>
    <cellStyle name="Akzent1 48_est. MEAT" xfId="22759" xr:uid="{00000000-0005-0000-0000-0000BC2B0000}"/>
    <cellStyle name="Akzent1 49" xfId="6412" xr:uid="{00000000-0005-0000-0000-0000BD2B0000}"/>
    <cellStyle name="Akzent1 49 2" xfId="15830" xr:uid="{00000000-0005-0000-0000-0000BE2B0000}"/>
    <cellStyle name="Akzent1 49_est. MEAT" xfId="22760" xr:uid="{00000000-0005-0000-0000-0000BF2B0000}"/>
    <cellStyle name="Akzent1 5" xfId="6413" xr:uid="{00000000-0005-0000-0000-0000C02B0000}"/>
    <cellStyle name="Akzent1 5 2" xfId="6414" xr:uid="{00000000-0005-0000-0000-0000C12B0000}"/>
    <cellStyle name="Akzent1 5 2 2" xfId="15832" xr:uid="{00000000-0005-0000-0000-0000C22B0000}"/>
    <cellStyle name="Akzent1 5 2_est. MEAT" xfId="22761" xr:uid="{00000000-0005-0000-0000-0000C32B0000}"/>
    <cellStyle name="Akzent1 5 3" xfId="15831" xr:uid="{00000000-0005-0000-0000-0000C42B0000}"/>
    <cellStyle name="Akzent1 5_2012-2019" xfId="12329" xr:uid="{00000000-0005-0000-0000-0000C52B0000}"/>
    <cellStyle name="Akzent1 50" xfId="6415" xr:uid="{00000000-0005-0000-0000-0000C62B0000}"/>
    <cellStyle name="Akzent1 50 2" xfId="15833" xr:uid="{00000000-0005-0000-0000-0000C72B0000}"/>
    <cellStyle name="Akzent1 50_est. MEAT" xfId="22762" xr:uid="{00000000-0005-0000-0000-0000C82B0000}"/>
    <cellStyle name="Akzent1 51" xfId="6416" xr:uid="{00000000-0005-0000-0000-0000C92B0000}"/>
    <cellStyle name="Akzent1 51 2" xfId="15834" xr:uid="{00000000-0005-0000-0000-0000CA2B0000}"/>
    <cellStyle name="Akzent1 51_est. MEAT" xfId="22763" xr:uid="{00000000-0005-0000-0000-0000CB2B0000}"/>
    <cellStyle name="Akzent1 52" xfId="6417" xr:uid="{00000000-0005-0000-0000-0000CC2B0000}"/>
    <cellStyle name="Akzent1 52 2" xfId="15835" xr:uid="{00000000-0005-0000-0000-0000CD2B0000}"/>
    <cellStyle name="Akzent1 52_est. MEAT" xfId="22764" xr:uid="{00000000-0005-0000-0000-0000CE2B0000}"/>
    <cellStyle name="Akzent1 53" xfId="6418" xr:uid="{00000000-0005-0000-0000-0000CF2B0000}"/>
    <cellStyle name="Akzent1 53 2" xfId="15836" xr:uid="{00000000-0005-0000-0000-0000D02B0000}"/>
    <cellStyle name="Akzent1 53_est. MEAT" xfId="22765" xr:uid="{00000000-0005-0000-0000-0000D12B0000}"/>
    <cellStyle name="Akzent1 54" xfId="6419" xr:uid="{00000000-0005-0000-0000-0000D22B0000}"/>
    <cellStyle name="Akzent1 54 2" xfId="15837" xr:uid="{00000000-0005-0000-0000-0000D32B0000}"/>
    <cellStyle name="Akzent1 54_est. MEAT" xfId="22766" xr:uid="{00000000-0005-0000-0000-0000D42B0000}"/>
    <cellStyle name="Akzent1 55" xfId="6420" xr:uid="{00000000-0005-0000-0000-0000D52B0000}"/>
    <cellStyle name="Akzent1 55 2" xfId="15838" xr:uid="{00000000-0005-0000-0000-0000D62B0000}"/>
    <cellStyle name="Akzent1 55_est. MEAT" xfId="22767" xr:uid="{00000000-0005-0000-0000-0000D72B0000}"/>
    <cellStyle name="Akzent1 56" xfId="6421" xr:uid="{00000000-0005-0000-0000-0000D82B0000}"/>
    <cellStyle name="Akzent1 56 2" xfId="15839" xr:uid="{00000000-0005-0000-0000-0000D92B0000}"/>
    <cellStyle name="Akzent1 56_est. MEAT" xfId="22768" xr:uid="{00000000-0005-0000-0000-0000DA2B0000}"/>
    <cellStyle name="Akzent1 57" xfId="6422" xr:uid="{00000000-0005-0000-0000-0000DB2B0000}"/>
    <cellStyle name="Akzent1 57 2" xfId="15840" xr:uid="{00000000-0005-0000-0000-0000DC2B0000}"/>
    <cellStyle name="Akzent1 57_est. MEAT" xfId="22769" xr:uid="{00000000-0005-0000-0000-0000DD2B0000}"/>
    <cellStyle name="Akzent1 58" xfId="6423" xr:uid="{00000000-0005-0000-0000-0000DE2B0000}"/>
    <cellStyle name="Akzent1 58 2" xfId="15841" xr:uid="{00000000-0005-0000-0000-0000DF2B0000}"/>
    <cellStyle name="Akzent1 58_est. MEAT" xfId="22770" xr:uid="{00000000-0005-0000-0000-0000E02B0000}"/>
    <cellStyle name="Akzent1 59" xfId="6424" xr:uid="{00000000-0005-0000-0000-0000E12B0000}"/>
    <cellStyle name="Akzent1 59 2" xfId="15842" xr:uid="{00000000-0005-0000-0000-0000E22B0000}"/>
    <cellStyle name="Akzent1 59_est. MEAT" xfId="22771" xr:uid="{00000000-0005-0000-0000-0000E32B0000}"/>
    <cellStyle name="Akzent1 6" xfId="6425" xr:uid="{00000000-0005-0000-0000-0000E42B0000}"/>
    <cellStyle name="Akzent1 6 2" xfId="6426" xr:uid="{00000000-0005-0000-0000-0000E52B0000}"/>
    <cellStyle name="Akzent1 6 2 2" xfId="15844" xr:uid="{00000000-0005-0000-0000-0000E62B0000}"/>
    <cellStyle name="Akzent1 6 2_est. MEAT" xfId="22772" xr:uid="{00000000-0005-0000-0000-0000E72B0000}"/>
    <cellStyle name="Akzent1 6 3" xfId="15843" xr:uid="{00000000-0005-0000-0000-0000E82B0000}"/>
    <cellStyle name="Akzent1 6_2012-2019" xfId="12330" xr:uid="{00000000-0005-0000-0000-0000E92B0000}"/>
    <cellStyle name="Akzent1 60" xfId="6427" xr:uid="{00000000-0005-0000-0000-0000EA2B0000}"/>
    <cellStyle name="Akzent1 60 2" xfId="15845" xr:uid="{00000000-0005-0000-0000-0000EB2B0000}"/>
    <cellStyle name="Akzent1 60_est. MEAT" xfId="22773" xr:uid="{00000000-0005-0000-0000-0000EC2B0000}"/>
    <cellStyle name="Akzent1 61" xfId="6428" xr:uid="{00000000-0005-0000-0000-0000ED2B0000}"/>
    <cellStyle name="Akzent1 61 2" xfId="15846" xr:uid="{00000000-0005-0000-0000-0000EE2B0000}"/>
    <cellStyle name="Akzent1 61_est. MEAT" xfId="22774" xr:uid="{00000000-0005-0000-0000-0000EF2B0000}"/>
    <cellStyle name="Akzent1 62" xfId="6429" xr:uid="{00000000-0005-0000-0000-0000F02B0000}"/>
    <cellStyle name="Akzent1 62 2" xfId="15847" xr:uid="{00000000-0005-0000-0000-0000F12B0000}"/>
    <cellStyle name="Akzent1 62_est. MEAT" xfId="22775" xr:uid="{00000000-0005-0000-0000-0000F22B0000}"/>
    <cellStyle name="Akzent1 63" xfId="6430" xr:uid="{00000000-0005-0000-0000-0000F32B0000}"/>
    <cellStyle name="Akzent1 63 2" xfId="15848" xr:uid="{00000000-0005-0000-0000-0000F42B0000}"/>
    <cellStyle name="Akzent1 63_est. MEAT" xfId="22776" xr:uid="{00000000-0005-0000-0000-0000F52B0000}"/>
    <cellStyle name="Akzent1 64" xfId="6431" xr:uid="{00000000-0005-0000-0000-0000F62B0000}"/>
    <cellStyle name="Akzent1 64 2" xfId="15849" xr:uid="{00000000-0005-0000-0000-0000F72B0000}"/>
    <cellStyle name="Akzent1 64_est. MEAT" xfId="22777" xr:uid="{00000000-0005-0000-0000-0000F82B0000}"/>
    <cellStyle name="Akzent1 65" xfId="6432" xr:uid="{00000000-0005-0000-0000-0000F92B0000}"/>
    <cellStyle name="Akzent1 65 2" xfId="15850" xr:uid="{00000000-0005-0000-0000-0000FA2B0000}"/>
    <cellStyle name="Akzent1 65_est. MEAT" xfId="22778" xr:uid="{00000000-0005-0000-0000-0000FB2B0000}"/>
    <cellStyle name="Akzent1 66" xfId="6433" xr:uid="{00000000-0005-0000-0000-0000FC2B0000}"/>
    <cellStyle name="Akzent1 66 2" xfId="15851" xr:uid="{00000000-0005-0000-0000-0000FD2B0000}"/>
    <cellStyle name="Akzent1 66_est. MEAT" xfId="22779" xr:uid="{00000000-0005-0000-0000-0000FE2B0000}"/>
    <cellStyle name="Akzent1 67" xfId="6434" xr:uid="{00000000-0005-0000-0000-0000FF2B0000}"/>
    <cellStyle name="Akzent1 67 2" xfId="15852" xr:uid="{00000000-0005-0000-0000-0000002C0000}"/>
    <cellStyle name="Akzent1 67_est. MEAT" xfId="22780" xr:uid="{00000000-0005-0000-0000-0000012C0000}"/>
    <cellStyle name="Akzent1 68" xfId="6435" xr:uid="{00000000-0005-0000-0000-0000022C0000}"/>
    <cellStyle name="Akzent1 68 2" xfId="15853" xr:uid="{00000000-0005-0000-0000-0000032C0000}"/>
    <cellStyle name="Akzent1 68_est. MEAT" xfId="22781" xr:uid="{00000000-0005-0000-0000-0000042C0000}"/>
    <cellStyle name="Akzent1 69" xfId="6436" xr:uid="{00000000-0005-0000-0000-0000052C0000}"/>
    <cellStyle name="Akzent1 69 2" xfId="15854" xr:uid="{00000000-0005-0000-0000-0000062C0000}"/>
    <cellStyle name="Akzent1 69_est. MEAT" xfId="22782" xr:uid="{00000000-0005-0000-0000-0000072C0000}"/>
    <cellStyle name="Akzent1 7" xfId="6437" xr:uid="{00000000-0005-0000-0000-0000082C0000}"/>
    <cellStyle name="Akzent1 7 2" xfId="6438" xr:uid="{00000000-0005-0000-0000-0000092C0000}"/>
    <cellStyle name="Akzent1 7 2 2" xfId="15856" xr:uid="{00000000-0005-0000-0000-00000A2C0000}"/>
    <cellStyle name="Akzent1 7 2_est. MEAT" xfId="22783" xr:uid="{00000000-0005-0000-0000-00000B2C0000}"/>
    <cellStyle name="Akzent1 7 3" xfId="15855" xr:uid="{00000000-0005-0000-0000-00000C2C0000}"/>
    <cellStyle name="Akzent1 7_2012-2019" xfId="12331" xr:uid="{00000000-0005-0000-0000-00000D2C0000}"/>
    <cellStyle name="Akzent1 70" xfId="6439" xr:uid="{00000000-0005-0000-0000-00000E2C0000}"/>
    <cellStyle name="Akzent1 70 2" xfId="15857" xr:uid="{00000000-0005-0000-0000-00000F2C0000}"/>
    <cellStyle name="Akzent1 70_est. MEAT" xfId="22784" xr:uid="{00000000-0005-0000-0000-0000102C0000}"/>
    <cellStyle name="Akzent1 71" xfId="6440" xr:uid="{00000000-0005-0000-0000-0000112C0000}"/>
    <cellStyle name="Akzent1 71 2" xfId="15858" xr:uid="{00000000-0005-0000-0000-0000122C0000}"/>
    <cellStyle name="Akzent1 71_est. MEAT" xfId="22785" xr:uid="{00000000-0005-0000-0000-0000132C0000}"/>
    <cellStyle name="Akzent1 72" xfId="6441" xr:uid="{00000000-0005-0000-0000-0000142C0000}"/>
    <cellStyle name="Akzent1 72 2" xfId="15859" xr:uid="{00000000-0005-0000-0000-0000152C0000}"/>
    <cellStyle name="Akzent1 72_est. MEAT" xfId="22786" xr:uid="{00000000-0005-0000-0000-0000162C0000}"/>
    <cellStyle name="Akzent1 73" xfId="6442" xr:uid="{00000000-0005-0000-0000-0000172C0000}"/>
    <cellStyle name="Akzent1 73 2" xfId="15860" xr:uid="{00000000-0005-0000-0000-0000182C0000}"/>
    <cellStyle name="Akzent1 73_est. MEAT" xfId="22787" xr:uid="{00000000-0005-0000-0000-0000192C0000}"/>
    <cellStyle name="Akzent1 74" xfId="6443" xr:uid="{00000000-0005-0000-0000-00001A2C0000}"/>
    <cellStyle name="Akzent1 74 2" xfId="15861" xr:uid="{00000000-0005-0000-0000-00001B2C0000}"/>
    <cellStyle name="Akzent1 74_est. MEAT" xfId="22788" xr:uid="{00000000-0005-0000-0000-00001C2C0000}"/>
    <cellStyle name="Akzent1 75" xfId="6444" xr:uid="{00000000-0005-0000-0000-00001D2C0000}"/>
    <cellStyle name="Akzent1 75 2" xfId="15862" xr:uid="{00000000-0005-0000-0000-00001E2C0000}"/>
    <cellStyle name="Akzent1 75_est. MEAT" xfId="22789" xr:uid="{00000000-0005-0000-0000-00001F2C0000}"/>
    <cellStyle name="Akzent1 76" xfId="6445" xr:uid="{00000000-0005-0000-0000-0000202C0000}"/>
    <cellStyle name="Akzent1 76 2" xfId="15863" xr:uid="{00000000-0005-0000-0000-0000212C0000}"/>
    <cellStyle name="Akzent1 76_est. MEAT" xfId="22790" xr:uid="{00000000-0005-0000-0000-0000222C0000}"/>
    <cellStyle name="Akzent1 77" xfId="6446" xr:uid="{00000000-0005-0000-0000-0000232C0000}"/>
    <cellStyle name="Akzent1 77 2" xfId="15864" xr:uid="{00000000-0005-0000-0000-0000242C0000}"/>
    <cellStyle name="Akzent1 77_est. MEAT" xfId="22791" xr:uid="{00000000-0005-0000-0000-0000252C0000}"/>
    <cellStyle name="Akzent1 78" xfId="6447" xr:uid="{00000000-0005-0000-0000-0000262C0000}"/>
    <cellStyle name="Akzent1 78 2" xfId="15865" xr:uid="{00000000-0005-0000-0000-0000272C0000}"/>
    <cellStyle name="Akzent1 78_est. MEAT" xfId="22792" xr:uid="{00000000-0005-0000-0000-0000282C0000}"/>
    <cellStyle name="Akzent1 79" xfId="6448" xr:uid="{00000000-0005-0000-0000-0000292C0000}"/>
    <cellStyle name="Akzent1 79 2" xfId="15866" xr:uid="{00000000-0005-0000-0000-00002A2C0000}"/>
    <cellStyle name="Akzent1 79_est. MEAT" xfId="22793" xr:uid="{00000000-0005-0000-0000-00002B2C0000}"/>
    <cellStyle name="Akzent1 8" xfId="6449" xr:uid="{00000000-0005-0000-0000-00002C2C0000}"/>
    <cellStyle name="Akzent1 8 2" xfId="6450" xr:uid="{00000000-0005-0000-0000-00002D2C0000}"/>
    <cellStyle name="Akzent1 8 2 2" xfId="15868" xr:uid="{00000000-0005-0000-0000-00002E2C0000}"/>
    <cellStyle name="Akzent1 8 2_est. MEAT" xfId="22794" xr:uid="{00000000-0005-0000-0000-00002F2C0000}"/>
    <cellStyle name="Akzent1 8 3" xfId="15867" xr:uid="{00000000-0005-0000-0000-0000302C0000}"/>
    <cellStyle name="Akzent1 8_2012-2019" xfId="12332" xr:uid="{00000000-0005-0000-0000-0000312C0000}"/>
    <cellStyle name="Akzent1 80" xfId="6451" xr:uid="{00000000-0005-0000-0000-0000322C0000}"/>
    <cellStyle name="Akzent1 80 2" xfId="15869" xr:uid="{00000000-0005-0000-0000-0000332C0000}"/>
    <cellStyle name="Akzent1 80_est. MEAT" xfId="22795" xr:uid="{00000000-0005-0000-0000-0000342C0000}"/>
    <cellStyle name="Akzent1 81" xfId="6452" xr:uid="{00000000-0005-0000-0000-0000352C0000}"/>
    <cellStyle name="Akzent1 81 2" xfId="15870" xr:uid="{00000000-0005-0000-0000-0000362C0000}"/>
    <cellStyle name="Akzent1 81_est. MEAT" xfId="22796" xr:uid="{00000000-0005-0000-0000-0000372C0000}"/>
    <cellStyle name="Akzent1 82" xfId="6453" xr:uid="{00000000-0005-0000-0000-0000382C0000}"/>
    <cellStyle name="Akzent1 82 2" xfId="15871" xr:uid="{00000000-0005-0000-0000-0000392C0000}"/>
    <cellStyle name="Akzent1 82_est. MEAT" xfId="22797" xr:uid="{00000000-0005-0000-0000-00003A2C0000}"/>
    <cellStyle name="Akzent1 83" xfId="6454" xr:uid="{00000000-0005-0000-0000-00003B2C0000}"/>
    <cellStyle name="Akzent1 83 2" xfId="15872" xr:uid="{00000000-0005-0000-0000-00003C2C0000}"/>
    <cellStyle name="Akzent1 83_est. MEAT" xfId="22798" xr:uid="{00000000-0005-0000-0000-00003D2C0000}"/>
    <cellStyle name="Akzent1 84" xfId="6455" xr:uid="{00000000-0005-0000-0000-00003E2C0000}"/>
    <cellStyle name="Akzent1 84 2" xfId="15873" xr:uid="{00000000-0005-0000-0000-00003F2C0000}"/>
    <cellStyle name="Akzent1 84_est. MEAT" xfId="22799" xr:uid="{00000000-0005-0000-0000-0000402C0000}"/>
    <cellStyle name="Akzent1 85" xfId="6456" xr:uid="{00000000-0005-0000-0000-0000412C0000}"/>
    <cellStyle name="Akzent1 85 2" xfId="15874" xr:uid="{00000000-0005-0000-0000-0000422C0000}"/>
    <cellStyle name="Akzent1 85_est. MEAT" xfId="22800" xr:uid="{00000000-0005-0000-0000-0000432C0000}"/>
    <cellStyle name="Akzent1 86" xfId="6457" xr:uid="{00000000-0005-0000-0000-0000442C0000}"/>
    <cellStyle name="Akzent1 86 2" xfId="15875" xr:uid="{00000000-0005-0000-0000-0000452C0000}"/>
    <cellStyle name="Akzent1 86_est. MEAT" xfId="22801" xr:uid="{00000000-0005-0000-0000-0000462C0000}"/>
    <cellStyle name="Akzent1 87" xfId="6458" xr:uid="{00000000-0005-0000-0000-0000472C0000}"/>
    <cellStyle name="Akzent1 87 2" xfId="15876" xr:uid="{00000000-0005-0000-0000-0000482C0000}"/>
    <cellStyle name="Akzent1 87_est. MEAT" xfId="22802" xr:uid="{00000000-0005-0000-0000-0000492C0000}"/>
    <cellStyle name="Akzent1 88" xfId="6459" xr:uid="{00000000-0005-0000-0000-00004A2C0000}"/>
    <cellStyle name="Akzent1 88 2" xfId="15877" xr:uid="{00000000-0005-0000-0000-00004B2C0000}"/>
    <cellStyle name="Akzent1 88_est. MEAT" xfId="22803" xr:uid="{00000000-0005-0000-0000-00004C2C0000}"/>
    <cellStyle name="Akzent1 89" xfId="6460" xr:uid="{00000000-0005-0000-0000-00004D2C0000}"/>
    <cellStyle name="Akzent1 89 2" xfId="15878" xr:uid="{00000000-0005-0000-0000-00004E2C0000}"/>
    <cellStyle name="Akzent1 89_est. MEAT" xfId="22804" xr:uid="{00000000-0005-0000-0000-00004F2C0000}"/>
    <cellStyle name="Akzent1 9" xfId="6461" xr:uid="{00000000-0005-0000-0000-0000502C0000}"/>
    <cellStyle name="Akzent1 9 2" xfId="6462" xr:uid="{00000000-0005-0000-0000-0000512C0000}"/>
    <cellStyle name="Akzent1 9 2 2" xfId="15880" xr:uid="{00000000-0005-0000-0000-0000522C0000}"/>
    <cellStyle name="Akzent1 9 2_est. MEAT" xfId="22805" xr:uid="{00000000-0005-0000-0000-0000532C0000}"/>
    <cellStyle name="Akzent1 9 3" xfId="15879" xr:uid="{00000000-0005-0000-0000-0000542C0000}"/>
    <cellStyle name="Akzent1 9_2012-2019" xfId="12333" xr:uid="{00000000-0005-0000-0000-0000552C0000}"/>
    <cellStyle name="Akzent1 90" xfId="6463" xr:uid="{00000000-0005-0000-0000-0000562C0000}"/>
    <cellStyle name="Akzent1 90 2" xfId="15881" xr:uid="{00000000-0005-0000-0000-0000572C0000}"/>
    <cellStyle name="Akzent1 90_est. MEAT" xfId="22806" xr:uid="{00000000-0005-0000-0000-0000582C0000}"/>
    <cellStyle name="Akzent1 91" xfId="6464" xr:uid="{00000000-0005-0000-0000-0000592C0000}"/>
    <cellStyle name="Akzent1 91 2" xfId="15882" xr:uid="{00000000-0005-0000-0000-00005A2C0000}"/>
    <cellStyle name="Akzent1 91_est. MEAT" xfId="22807" xr:uid="{00000000-0005-0000-0000-00005B2C0000}"/>
    <cellStyle name="Akzent1 92" xfId="6465" xr:uid="{00000000-0005-0000-0000-00005C2C0000}"/>
    <cellStyle name="Akzent1 92 2" xfId="15883" xr:uid="{00000000-0005-0000-0000-00005D2C0000}"/>
    <cellStyle name="Akzent1 92_est. MEAT" xfId="22808" xr:uid="{00000000-0005-0000-0000-00005E2C0000}"/>
    <cellStyle name="Akzent1 93" xfId="6466" xr:uid="{00000000-0005-0000-0000-00005F2C0000}"/>
    <cellStyle name="Akzent1 93 2" xfId="15884" xr:uid="{00000000-0005-0000-0000-0000602C0000}"/>
    <cellStyle name="Akzent1 93_est. MEAT" xfId="22809" xr:uid="{00000000-0005-0000-0000-0000612C0000}"/>
    <cellStyle name="Akzent1 94" xfId="6467" xr:uid="{00000000-0005-0000-0000-0000622C0000}"/>
    <cellStyle name="Akzent1 94 2" xfId="15885" xr:uid="{00000000-0005-0000-0000-0000632C0000}"/>
    <cellStyle name="Akzent1 94_est. MEAT" xfId="22810" xr:uid="{00000000-0005-0000-0000-0000642C0000}"/>
    <cellStyle name="Akzent1 95" xfId="6468" xr:uid="{00000000-0005-0000-0000-0000652C0000}"/>
    <cellStyle name="Akzent1 95 2" xfId="15886" xr:uid="{00000000-0005-0000-0000-0000662C0000}"/>
    <cellStyle name="Akzent1 95_est. MEAT" xfId="22811" xr:uid="{00000000-0005-0000-0000-0000672C0000}"/>
    <cellStyle name="Akzent1 96" xfId="6469" xr:uid="{00000000-0005-0000-0000-0000682C0000}"/>
    <cellStyle name="Akzent1 96 2" xfId="15887" xr:uid="{00000000-0005-0000-0000-0000692C0000}"/>
    <cellStyle name="Akzent1 96_est. MEAT" xfId="22812" xr:uid="{00000000-0005-0000-0000-00006A2C0000}"/>
    <cellStyle name="Akzent1 97" xfId="6470" xr:uid="{00000000-0005-0000-0000-00006B2C0000}"/>
    <cellStyle name="Akzent1 97 2" xfId="15888" xr:uid="{00000000-0005-0000-0000-00006C2C0000}"/>
    <cellStyle name="Akzent1 97_est. MEAT" xfId="22813" xr:uid="{00000000-0005-0000-0000-00006D2C0000}"/>
    <cellStyle name="Akzent1 98" xfId="6471" xr:uid="{00000000-0005-0000-0000-00006E2C0000}"/>
    <cellStyle name="Akzent1 98 2" xfId="15889" xr:uid="{00000000-0005-0000-0000-00006F2C0000}"/>
    <cellStyle name="Akzent1 98_est. MEAT" xfId="22814" xr:uid="{00000000-0005-0000-0000-0000702C0000}"/>
    <cellStyle name="Akzent1 99" xfId="6472" xr:uid="{00000000-0005-0000-0000-0000712C0000}"/>
    <cellStyle name="Akzent1 99 2" xfId="15890" xr:uid="{00000000-0005-0000-0000-0000722C0000}"/>
    <cellStyle name="Akzent1 99_est. MEAT" xfId="22815" xr:uid="{00000000-0005-0000-0000-0000732C0000}"/>
    <cellStyle name="Akzent1_2012-2019" xfId="12320" xr:uid="{00000000-0005-0000-0000-0000742C0000}"/>
    <cellStyle name="Akzent2" xfId="6473" xr:uid="{00000000-0005-0000-0000-0000752C0000}"/>
    <cellStyle name="Akzent2 10" xfId="6474" xr:uid="{00000000-0005-0000-0000-0000762C0000}"/>
    <cellStyle name="Akzent2 10 2" xfId="6475" xr:uid="{00000000-0005-0000-0000-0000772C0000}"/>
    <cellStyle name="Akzent2 10 2 2" xfId="15893" xr:uid="{00000000-0005-0000-0000-0000782C0000}"/>
    <cellStyle name="Akzent2 10 2_est. MEAT" xfId="22816" xr:uid="{00000000-0005-0000-0000-0000792C0000}"/>
    <cellStyle name="Akzent2 10 3" xfId="15892" xr:uid="{00000000-0005-0000-0000-00007A2C0000}"/>
    <cellStyle name="Akzent2 10_2012-2019" xfId="12335" xr:uid="{00000000-0005-0000-0000-00007B2C0000}"/>
    <cellStyle name="Akzent2 100" xfId="6476" xr:uid="{00000000-0005-0000-0000-00007C2C0000}"/>
    <cellStyle name="Akzent2 100 2" xfId="15894" xr:uid="{00000000-0005-0000-0000-00007D2C0000}"/>
    <cellStyle name="Akzent2 100_est. MEAT" xfId="22817" xr:uid="{00000000-0005-0000-0000-00007E2C0000}"/>
    <cellStyle name="Akzent2 101" xfId="6477" xr:uid="{00000000-0005-0000-0000-00007F2C0000}"/>
    <cellStyle name="Akzent2 101 2" xfId="15895" xr:uid="{00000000-0005-0000-0000-0000802C0000}"/>
    <cellStyle name="Akzent2 101_est. MEAT" xfId="22818" xr:uid="{00000000-0005-0000-0000-0000812C0000}"/>
    <cellStyle name="Akzent2 102" xfId="6478" xr:uid="{00000000-0005-0000-0000-0000822C0000}"/>
    <cellStyle name="Akzent2 102 2" xfId="15896" xr:uid="{00000000-0005-0000-0000-0000832C0000}"/>
    <cellStyle name="Akzent2 102_est. MEAT" xfId="22819" xr:uid="{00000000-0005-0000-0000-0000842C0000}"/>
    <cellStyle name="Akzent2 103" xfId="6479" xr:uid="{00000000-0005-0000-0000-0000852C0000}"/>
    <cellStyle name="Akzent2 103 2" xfId="15897" xr:uid="{00000000-0005-0000-0000-0000862C0000}"/>
    <cellStyle name="Akzent2 103_est. MEAT" xfId="22820" xr:uid="{00000000-0005-0000-0000-0000872C0000}"/>
    <cellStyle name="Akzent2 104" xfId="6480" xr:uid="{00000000-0005-0000-0000-0000882C0000}"/>
    <cellStyle name="Akzent2 104 2" xfId="15898" xr:uid="{00000000-0005-0000-0000-0000892C0000}"/>
    <cellStyle name="Akzent2 104_est. MEAT" xfId="22821" xr:uid="{00000000-0005-0000-0000-00008A2C0000}"/>
    <cellStyle name="Akzent2 105" xfId="6481" xr:uid="{00000000-0005-0000-0000-00008B2C0000}"/>
    <cellStyle name="Akzent2 105 2" xfId="15899" xr:uid="{00000000-0005-0000-0000-00008C2C0000}"/>
    <cellStyle name="Akzent2 105_est. MEAT" xfId="22822" xr:uid="{00000000-0005-0000-0000-00008D2C0000}"/>
    <cellStyle name="Akzent2 106" xfId="6482" xr:uid="{00000000-0005-0000-0000-00008E2C0000}"/>
    <cellStyle name="Akzent2 106 2" xfId="15900" xr:uid="{00000000-0005-0000-0000-00008F2C0000}"/>
    <cellStyle name="Akzent2 106_est. MEAT" xfId="22823" xr:uid="{00000000-0005-0000-0000-0000902C0000}"/>
    <cellStyle name="Akzent2 107" xfId="6483" xr:uid="{00000000-0005-0000-0000-0000912C0000}"/>
    <cellStyle name="Akzent2 107 2" xfId="15901" xr:uid="{00000000-0005-0000-0000-0000922C0000}"/>
    <cellStyle name="Akzent2 107_est. MEAT" xfId="22824" xr:uid="{00000000-0005-0000-0000-0000932C0000}"/>
    <cellStyle name="Akzent2 108" xfId="6484" xr:uid="{00000000-0005-0000-0000-0000942C0000}"/>
    <cellStyle name="Akzent2 108 2" xfId="15902" xr:uid="{00000000-0005-0000-0000-0000952C0000}"/>
    <cellStyle name="Akzent2 108_est. MEAT" xfId="22825" xr:uid="{00000000-0005-0000-0000-0000962C0000}"/>
    <cellStyle name="Akzent2 109" xfId="6485" xr:uid="{00000000-0005-0000-0000-0000972C0000}"/>
    <cellStyle name="Akzent2 109 2" xfId="15903" xr:uid="{00000000-0005-0000-0000-0000982C0000}"/>
    <cellStyle name="Akzent2 109_est. MEAT" xfId="22826" xr:uid="{00000000-0005-0000-0000-0000992C0000}"/>
    <cellStyle name="Akzent2 11" xfId="6486" xr:uid="{00000000-0005-0000-0000-00009A2C0000}"/>
    <cellStyle name="Akzent2 11 2" xfId="6487" xr:uid="{00000000-0005-0000-0000-00009B2C0000}"/>
    <cellStyle name="Akzent2 11 2 2" xfId="15905" xr:uid="{00000000-0005-0000-0000-00009C2C0000}"/>
    <cellStyle name="Akzent2 11 2_est. MEAT" xfId="22827" xr:uid="{00000000-0005-0000-0000-00009D2C0000}"/>
    <cellStyle name="Akzent2 11 3" xfId="15904" xr:uid="{00000000-0005-0000-0000-00009E2C0000}"/>
    <cellStyle name="Akzent2 11_2012-2019" xfId="12336" xr:uid="{00000000-0005-0000-0000-00009F2C0000}"/>
    <cellStyle name="Akzent2 110" xfId="6488" xr:uid="{00000000-0005-0000-0000-0000A02C0000}"/>
    <cellStyle name="Akzent2 110 2" xfId="15906" xr:uid="{00000000-0005-0000-0000-0000A12C0000}"/>
    <cellStyle name="Akzent2 110_est. MEAT" xfId="22828" xr:uid="{00000000-0005-0000-0000-0000A22C0000}"/>
    <cellStyle name="Akzent2 111" xfId="6489" xr:uid="{00000000-0005-0000-0000-0000A32C0000}"/>
    <cellStyle name="Akzent2 111 2" xfId="15907" xr:uid="{00000000-0005-0000-0000-0000A42C0000}"/>
    <cellStyle name="Akzent2 111_est. MEAT" xfId="22829" xr:uid="{00000000-0005-0000-0000-0000A52C0000}"/>
    <cellStyle name="Akzent2 112" xfId="6490" xr:uid="{00000000-0005-0000-0000-0000A62C0000}"/>
    <cellStyle name="Akzent2 112 2" xfId="15908" xr:uid="{00000000-0005-0000-0000-0000A72C0000}"/>
    <cellStyle name="Akzent2 112_est. MEAT" xfId="22830" xr:uid="{00000000-0005-0000-0000-0000A82C0000}"/>
    <cellStyle name="Akzent2 113" xfId="6491" xr:uid="{00000000-0005-0000-0000-0000A92C0000}"/>
    <cellStyle name="Akzent2 113 2" xfId="15909" xr:uid="{00000000-0005-0000-0000-0000AA2C0000}"/>
    <cellStyle name="Akzent2 113_est. MEAT" xfId="22831" xr:uid="{00000000-0005-0000-0000-0000AB2C0000}"/>
    <cellStyle name="Akzent2 114" xfId="6492" xr:uid="{00000000-0005-0000-0000-0000AC2C0000}"/>
    <cellStyle name="Akzent2 114 2" xfId="15910" xr:uid="{00000000-0005-0000-0000-0000AD2C0000}"/>
    <cellStyle name="Akzent2 114_est. MEAT" xfId="22832" xr:uid="{00000000-0005-0000-0000-0000AE2C0000}"/>
    <cellStyle name="Akzent2 115" xfId="6493" xr:uid="{00000000-0005-0000-0000-0000AF2C0000}"/>
    <cellStyle name="Akzent2 115 2" xfId="15911" xr:uid="{00000000-0005-0000-0000-0000B02C0000}"/>
    <cellStyle name="Akzent2 115_est. MEAT" xfId="22833" xr:uid="{00000000-0005-0000-0000-0000B12C0000}"/>
    <cellStyle name="Akzent2 116" xfId="6494" xr:uid="{00000000-0005-0000-0000-0000B22C0000}"/>
    <cellStyle name="Akzent2 116 2" xfId="15912" xr:uid="{00000000-0005-0000-0000-0000B32C0000}"/>
    <cellStyle name="Akzent2 116_est. MEAT" xfId="22834" xr:uid="{00000000-0005-0000-0000-0000B42C0000}"/>
    <cellStyle name="Akzent2 117" xfId="6495" xr:uid="{00000000-0005-0000-0000-0000B52C0000}"/>
    <cellStyle name="Akzent2 117 2" xfId="15913" xr:uid="{00000000-0005-0000-0000-0000B62C0000}"/>
    <cellStyle name="Akzent2 117_est. MEAT" xfId="22835" xr:uid="{00000000-0005-0000-0000-0000B72C0000}"/>
    <cellStyle name="Akzent2 118" xfId="6496" xr:uid="{00000000-0005-0000-0000-0000B82C0000}"/>
    <cellStyle name="Akzent2 118 2" xfId="15914" xr:uid="{00000000-0005-0000-0000-0000B92C0000}"/>
    <cellStyle name="Akzent2 118_est. MEAT" xfId="22836" xr:uid="{00000000-0005-0000-0000-0000BA2C0000}"/>
    <cellStyle name="Akzent2 119" xfId="6497" xr:uid="{00000000-0005-0000-0000-0000BB2C0000}"/>
    <cellStyle name="Akzent2 119 2" xfId="15915" xr:uid="{00000000-0005-0000-0000-0000BC2C0000}"/>
    <cellStyle name="Akzent2 119_est. MEAT" xfId="22837" xr:uid="{00000000-0005-0000-0000-0000BD2C0000}"/>
    <cellStyle name="Akzent2 12" xfId="6498" xr:uid="{00000000-0005-0000-0000-0000BE2C0000}"/>
    <cellStyle name="Akzent2 12 2" xfId="6499" xr:uid="{00000000-0005-0000-0000-0000BF2C0000}"/>
    <cellStyle name="Akzent2 12 2 2" xfId="15917" xr:uid="{00000000-0005-0000-0000-0000C02C0000}"/>
    <cellStyle name="Akzent2 12 2_est. MEAT" xfId="22838" xr:uid="{00000000-0005-0000-0000-0000C12C0000}"/>
    <cellStyle name="Akzent2 12 3" xfId="15916" xr:uid="{00000000-0005-0000-0000-0000C22C0000}"/>
    <cellStyle name="Akzent2 12_2012-2019" xfId="12337" xr:uid="{00000000-0005-0000-0000-0000C32C0000}"/>
    <cellStyle name="Akzent2 120" xfId="6500" xr:uid="{00000000-0005-0000-0000-0000C42C0000}"/>
    <cellStyle name="Akzent2 120 2" xfId="15918" xr:uid="{00000000-0005-0000-0000-0000C52C0000}"/>
    <cellStyle name="Akzent2 120_est. MEAT" xfId="22839" xr:uid="{00000000-0005-0000-0000-0000C62C0000}"/>
    <cellStyle name="Akzent2 121" xfId="6501" xr:uid="{00000000-0005-0000-0000-0000C72C0000}"/>
    <cellStyle name="Akzent2 121 2" xfId="15919" xr:uid="{00000000-0005-0000-0000-0000C82C0000}"/>
    <cellStyle name="Akzent2 121_est. MEAT" xfId="22840" xr:uid="{00000000-0005-0000-0000-0000C92C0000}"/>
    <cellStyle name="Akzent2 122" xfId="6502" xr:uid="{00000000-0005-0000-0000-0000CA2C0000}"/>
    <cellStyle name="Akzent2 122 2" xfId="15920" xr:uid="{00000000-0005-0000-0000-0000CB2C0000}"/>
    <cellStyle name="Akzent2 122_est. MEAT" xfId="22841" xr:uid="{00000000-0005-0000-0000-0000CC2C0000}"/>
    <cellStyle name="Akzent2 123" xfId="6503" xr:uid="{00000000-0005-0000-0000-0000CD2C0000}"/>
    <cellStyle name="Akzent2 123 2" xfId="15921" xr:uid="{00000000-0005-0000-0000-0000CE2C0000}"/>
    <cellStyle name="Akzent2 123_est. MEAT" xfId="22842" xr:uid="{00000000-0005-0000-0000-0000CF2C0000}"/>
    <cellStyle name="Akzent2 124" xfId="6504" xr:uid="{00000000-0005-0000-0000-0000D02C0000}"/>
    <cellStyle name="Akzent2 124 2" xfId="15922" xr:uid="{00000000-0005-0000-0000-0000D12C0000}"/>
    <cellStyle name="Akzent2 124_est. MEAT" xfId="22843" xr:uid="{00000000-0005-0000-0000-0000D22C0000}"/>
    <cellStyle name="Akzent2 125" xfId="6505" xr:uid="{00000000-0005-0000-0000-0000D32C0000}"/>
    <cellStyle name="Akzent2 125 2" xfId="15923" xr:uid="{00000000-0005-0000-0000-0000D42C0000}"/>
    <cellStyle name="Akzent2 125_est. MEAT" xfId="22844" xr:uid="{00000000-0005-0000-0000-0000D52C0000}"/>
    <cellStyle name="Akzent2 126" xfId="6506" xr:uid="{00000000-0005-0000-0000-0000D62C0000}"/>
    <cellStyle name="Akzent2 126 2" xfId="15924" xr:uid="{00000000-0005-0000-0000-0000D72C0000}"/>
    <cellStyle name="Akzent2 126_est. MEAT" xfId="22845" xr:uid="{00000000-0005-0000-0000-0000D82C0000}"/>
    <cellStyle name="Akzent2 127" xfId="6507" xr:uid="{00000000-0005-0000-0000-0000D92C0000}"/>
    <cellStyle name="Akzent2 127 2" xfId="15925" xr:uid="{00000000-0005-0000-0000-0000DA2C0000}"/>
    <cellStyle name="Akzent2 127_est. MEAT" xfId="22846" xr:uid="{00000000-0005-0000-0000-0000DB2C0000}"/>
    <cellStyle name="Akzent2 128" xfId="6508" xr:uid="{00000000-0005-0000-0000-0000DC2C0000}"/>
    <cellStyle name="Akzent2 128 2" xfId="15926" xr:uid="{00000000-0005-0000-0000-0000DD2C0000}"/>
    <cellStyle name="Akzent2 128_est. MEAT" xfId="22847" xr:uid="{00000000-0005-0000-0000-0000DE2C0000}"/>
    <cellStyle name="Akzent2 129" xfId="6509" xr:uid="{00000000-0005-0000-0000-0000DF2C0000}"/>
    <cellStyle name="Akzent2 129 2" xfId="15927" xr:uid="{00000000-0005-0000-0000-0000E02C0000}"/>
    <cellStyle name="Akzent2 129_est. MEAT" xfId="22848" xr:uid="{00000000-0005-0000-0000-0000E12C0000}"/>
    <cellStyle name="Akzent2 13" xfId="6510" xr:uid="{00000000-0005-0000-0000-0000E22C0000}"/>
    <cellStyle name="Akzent2 13 2" xfId="6511" xr:uid="{00000000-0005-0000-0000-0000E32C0000}"/>
    <cellStyle name="Akzent2 13 2 2" xfId="15929" xr:uid="{00000000-0005-0000-0000-0000E42C0000}"/>
    <cellStyle name="Akzent2 13 2_est. MEAT" xfId="22849" xr:uid="{00000000-0005-0000-0000-0000E52C0000}"/>
    <cellStyle name="Akzent2 13 3" xfId="15928" xr:uid="{00000000-0005-0000-0000-0000E62C0000}"/>
    <cellStyle name="Akzent2 13_2012-2019" xfId="12338" xr:uid="{00000000-0005-0000-0000-0000E72C0000}"/>
    <cellStyle name="Akzent2 130" xfId="6512" xr:uid="{00000000-0005-0000-0000-0000E82C0000}"/>
    <cellStyle name="Akzent2 130 2" xfId="15930" xr:uid="{00000000-0005-0000-0000-0000E92C0000}"/>
    <cellStyle name="Akzent2 130_est. MEAT" xfId="22850" xr:uid="{00000000-0005-0000-0000-0000EA2C0000}"/>
    <cellStyle name="Akzent2 131" xfId="6513" xr:uid="{00000000-0005-0000-0000-0000EB2C0000}"/>
    <cellStyle name="Akzent2 131 2" xfId="15931" xr:uid="{00000000-0005-0000-0000-0000EC2C0000}"/>
    <cellStyle name="Akzent2 131_est. MEAT" xfId="22851" xr:uid="{00000000-0005-0000-0000-0000ED2C0000}"/>
    <cellStyle name="Akzent2 132" xfId="6514" xr:uid="{00000000-0005-0000-0000-0000EE2C0000}"/>
    <cellStyle name="Akzent2 132 2" xfId="15932" xr:uid="{00000000-0005-0000-0000-0000EF2C0000}"/>
    <cellStyle name="Akzent2 132_est. MEAT" xfId="22852" xr:uid="{00000000-0005-0000-0000-0000F02C0000}"/>
    <cellStyle name="Akzent2 133" xfId="6515" xr:uid="{00000000-0005-0000-0000-0000F12C0000}"/>
    <cellStyle name="Akzent2 133 2" xfId="15933" xr:uid="{00000000-0005-0000-0000-0000F22C0000}"/>
    <cellStyle name="Akzent2 133_est. MEAT" xfId="22853" xr:uid="{00000000-0005-0000-0000-0000F32C0000}"/>
    <cellStyle name="Akzent2 134" xfId="6516" xr:uid="{00000000-0005-0000-0000-0000F42C0000}"/>
    <cellStyle name="Akzent2 134 2" xfId="15934" xr:uid="{00000000-0005-0000-0000-0000F52C0000}"/>
    <cellStyle name="Akzent2 134_est. MEAT" xfId="22854" xr:uid="{00000000-0005-0000-0000-0000F62C0000}"/>
    <cellStyle name="Akzent2 135" xfId="6517" xr:uid="{00000000-0005-0000-0000-0000F72C0000}"/>
    <cellStyle name="Akzent2 135 2" xfId="15935" xr:uid="{00000000-0005-0000-0000-0000F82C0000}"/>
    <cellStyle name="Akzent2 135_est. MEAT" xfId="22855" xr:uid="{00000000-0005-0000-0000-0000F92C0000}"/>
    <cellStyle name="Akzent2 136" xfId="6518" xr:uid="{00000000-0005-0000-0000-0000FA2C0000}"/>
    <cellStyle name="Akzent2 136 2" xfId="15936" xr:uid="{00000000-0005-0000-0000-0000FB2C0000}"/>
    <cellStyle name="Akzent2 136_est. MEAT" xfId="22856" xr:uid="{00000000-0005-0000-0000-0000FC2C0000}"/>
    <cellStyle name="Akzent2 137" xfId="6519" xr:uid="{00000000-0005-0000-0000-0000FD2C0000}"/>
    <cellStyle name="Akzent2 137 2" xfId="15937" xr:uid="{00000000-0005-0000-0000-0000FE2C0000}"/>
    <cellStyle name="Akzent2 137_est. MEAT" xfId="22857" xr:uid="{00000000-0005-0000-0000-0000FF2C0000}"/>
    <cellStyle name="Akzent2 138" xfId="6520" xr:uid="{00000000-0005-0000-0000-0000002D0000}"/>
    <cellStyle name="Akzent2 138 2" xfId="15938" xr:uid="{00000000-0005-0000-0000-0000012D0000}"/>
    <cellStyle name="Akzent2 138_est. MEAT" xfId="22858" xr:uid="{00000000-0005-0000-0000-0000022D0000}"/>
    <cellStyle name="Akzent2 139" xfId="6521" xr:uid="{00000000-0005-0000-0000-0000032D0000}"/>
    <cellStyle name="Akzent2 139 2" xfId="15939" xr:uid="{00000000-0005-0000-0000-0000042D0000}"/>
    <cellStyle name="Akzent2 139_est. MEAT" xfId="22859" xr:uid="{00000000-0005-0000-0000-0000052D0000}"/>
    <cellStyle name="Akzent2 14" xfId="6522" xr:uid="{00000000-0005-0000-0000-0000062D0000}"/>
    <cellStyle name="Akzent2 14 2" xfId="6523" xr:uid="{00000000-0005-0000-0000-0000072D0000}"/>
    <cellStyle name="Akzent2 14 2 2" xfId="15941" xr:uid="{00000000-0005-0000-0000-0000082D0000}"/>
    <cellStyle name="Akzent2 14 2_est. MEAT" xfId="22860" xr:uid="{00000000-0005-0000-0000-0000092D0000}"/>
    <cellStyle name="Akzent2 14 3" xfId="15940" xr:uid="{00000000-0005-0000-0000-00000A2D0000}"/>
    <cellStyle name="Akzent2 14_2012-2019" xfId="12339" xr:uid="{00000000-0005-0000-0000-00000B2D0000}"/>
    <cellStyle name="Akzent2 140" xfId="6524" xr:uid="{00000000-0005-0000-0000-00000C2D0000}"/>
    <cellStyle name="Akzent2 140 2" xfId="15942" xr:uid="{00000000-0005-0000-0000-00000D2D0000}"/>
    <cellStyle name="Akzent2 140_est. MEAT" xfId="22861" xr:uid="{00000000-0005-0000-0000-00000E2D0000}"/>
    <cellStyle name="Akzent2 141" xfId="6525" xr:uid="{00000000-0005-0000-0000-00000F2D0000}"/>
    <cellStyle name="Akzent2 141 2" xfId="15943" xr:uid="{00000000-0005-0000-0000-0000102D0000}"/>
    <cellStyle name="Akzent2 141_est. MEAT" xfId="22862" xr:uid="{00000000-0005-0000-0000-0000112D0000}"/>
    <cellStyle name="Akzent2 142" xfId="6526" xr:uid="{00000000-0005-0000-0000-0000122D0000}"/>
    <cellStyle name="Akzent2 142 2" xfId="15944" xr:uid="{00000000-0005-0000-0000-0000132D0000}"/>
    <cellStyle name="Akzent2 142_est. MEAT" xfId="22863" xr:uid="{00000000-0005-0000-0000-0000142D0000}"/>
    <cellStyle name="Akzent2 143" xfId="6527" xr:uid="{00000000-0005-0000-0000-0000152D0000}"/>
    <cellStyle name="Akzent2 143 2" xfId="15945" xr:uid="{00000000-0005-0000-0000-0000162D0000}"/>
    <cellStyle name="Akzent2 143_est. MEAT" xfId="22864" xr:uid="{00000000-0005-0000-0000-0000172D0000}"/>
    <cellStyle name="Akzent2 144" xfId="6528" xr:uid="{00000000-0005-0000-0000-0000182D0000}"/>
    <cellStyle name="Akzent2 144 2" xfId="15946" xr:uid="{00000000-0005-0000-0000-0000192D0000}"/>
    <cellStyle name="Akzent2 144_est. MEAT" xfId="22865" xr:uid="{00000000-0005-0000-0000-00001A2D0000}"/>
    <cellStyle name="Akzent2 145" xfId="6529" xr:uid="{00000000-0005-0000-0000-00001B2D0000}"/>
    <cellStyle name="Akzent2 145 2" xfId="15947" xr:uid="{00000000-0005-0000-0000-00001C2D0000}"/>
    <cellStyle name="Akzent2 145_est. MEAT" xfId="22866" xr:uid="{00000000-0005-0000-0000-00001D2D0000}"/>
    <cellStyle name="Akzent2 146" xfId="6530" xr:uid="{00000000-0005-0000-0000-00001E2D0000}"/>
    <cellStyle name="Akzent2 146 2" xfId="15948" xr:uid="{00000000-0005-0000-0000-00001F2D0000}"/>
    <cellStyle name="Akzent2 146_est. MEAT" xfId="22867" xr:uid="{00000000-0005-0000-0000-0000202D0000}"/>
    <cellStyle name="Akzent2 147" xfId="6531" xr:uid="{00000000-0005-0000-0000-0000212D0000}"/>
    <cellStyle name="Akzent2 147 2" xfId="15949" xr:uid="{00000000-0005-0000-0000-0000222D0000}"/>
    <cellStyle name="Akzent2 147_est. MEAT" xfId="22868" xr:uid="{00000000-0005-0000-0000-0000232D0000}"/>
    <cellStyle name="Akzent2 148" xfId="6532" xr:uid="{00000000-0005-0000-0000-0000242D0000}"/>
    <cellStyle name="Akzent2 148 2" xfId="15950" xr:uid="{00000000-0005-0000-0000-0000252D0000}"/>
    <cellStyle name="Akzent2 148_est. MEAT" xfId="22869" xr:uid="{00000000-0005-0000-0000-0000262D0000}"/>
    <cellStyle name="Akzent2 149" xfId="6533" xr:uid="{00000000-0005-0000-0000-0000272D0000}"/>
    <cellStyle name="Akzent2 149 2" xfId="15951" xr:uid="{00000000-0005-0000-0000-0000282D0000}"/>
    <cellStyle name="Akzent2 149_est. MEAT" xfId="22870" xr:uid="{00000000-0005-0000-0000-0000292D0000}"/>
    <cellStyle name="Akzent2 15" xfId="6534" xr:uid="{00000000-0005-0000-0000-00002A2D0000}"/>
    <cellStyle name="Akzent2 15 2" xfId="15952" xr:uid="{00000000-0005-0000-0000-00002B2D0000}"/>
    <cellStyle name="Akzent2 15_est. MEAT" xfId="22871" xr:uid="{00000000-0005-0000-0000-00002C2D0000}"/>
    <cellStyle name="Akzent2 150" xfId="6535" xr:uid="{00000000-0005-0000-0000-00002D2D0000}"/>
    <cellStyle name="Akzent2 150 2" xfId="15953" xr:uid="{00000000-0005-0000-0000-00002E2D0000}"/>
    <cellStyle name="Akzent2 150_est. MEAT" xfId="22872" xr:uid="{00000000-0005-0000-0000-00002F2D0000}"/>
    <cellStyle name="Akzent2 151" xfId="6536" xr:uid="{00000000-0005-0000-0000-0000302D0000}"/>
    <cellStyle name="Akzent2 151 2" xfId="15954" xr:uid="{00000000-0005-0000-0000-0000312D0000}"/>
    <cellStyle name="Akzent2 151_est. MEAT" xfId="22873" xr:uid="{00000000-0005-0000-0000-0000322D0000}"/>
    <cellStyle name="Akzent2 152" xfId="15891" xr:uid="{00000000-0005-0000-0000-0000332D0000}"/>
    <cellStyle name="Akzent2 16" xfId="6537" xr:uid="{00000000-0005-0000-0000-0000342D0000}"/>
    <cellStyle name="Akzent2 16 2" xfId="15955" xr:uid="{00000000-0005-0000-0000-0000352D0000}"/>
    <cellStyle name="Akzent2 16_est. MEAT" xfId="22874" xr:uid="{00000000-0005-0000-0000-0000362D0000}"/>
    <cellStyle name="Akzent2 17" xfId="6538" xr:uid="{00000000-0005-0000-0000-0000372D0000}"/>
    <cellStyle name="Akzent2 17 2" xfId="15956" xr:uid="{00000000-0005-0000-0000-0000382D0000}"/>
    <cellStyle name="Akzent2 17_est. MEAT" xfId="22875" xr:uid="{00000000-0005-0000-0000-0000392D0000}"/>
    <cellStyle name="Akzent2 18" xfId="6539" xr:uid="{00000000-0005-0000-0000-00003A2D0000}"/>
    <cellStyle name="Akzent2 18 2" xfId="15957" xr:uid="{00000000-0005-0000-0000-00003B2D0000}"/>
    <cellStyle name="Akzent2 18_est. MEAT" xfId="22876" xr:uid="{00000000-0005-0000-0000-00003C2D0000}"/>
    <cellStyle name="Akzent2 19" xfId="6540" xr:uid="{00000000-0005-0000-0000-00003D2D0000}"/>
    <cellStyle name="Akzent2 19 2" xfId="15958" xr:uid="{00000000-0005-0000-0000-00003E2D0000}"/>
    <cellStyle name="Akzent2 19_est. MEAT" xfId="22877" xr:uid="{00000000-0005-0000-0000-00003F2D0000}"/>
    <cellStyle name="Akzent2 2" xfId="6541" xr:uid="{00000000-0005-0000-0000-0000402D0000}"/>
    <cellStyle name="Akzent2 2 2" xfId="6542" xr:uid="{00000000-0005-0000-0000-0000412D0000}"/>
    <cellStyle name="Akzent2 2 2 2" xfId="15960" xr:uid="{00000000-0005-0000-0000-0000422D0000}"/>
    <cellStyle name="Akzent2 2 2_est. MEAT" xfId="22878" xr:uid="{00000000-0005-0000-0000-0000432D0000}"/>
    <cellStyle name="Akzent2 2 3" xfId="15959" xr:uid="{00000000-0005-0000-0000-0000442D0000}"/>
    <cellStyle name="Akzent2 2_2012-2019" xfId="12340" xr:uid="{00000000-0005-0000-0000-0000452D0000}"/>
    <cellStyle name="Akzent2 20" xfId="6543" xr:uid="{00000000-0005-0000-0000-0000462D0000}"/>
    <cellStyle name="Akzent2 20 2" xfId="15961" xr:uid="{00000000-0005-0000-0000-0000472D0000}"/>
    <cellStyle name="Akzent2 20_est. MEAT" xfId="22879" xr:uid="{00000000-0005-0000-0000-0000482D0000}"/>
    <cellStyle name="Akzent2 21" xfId="6544" xr:uid="{00000000-0005-0000-0000-0000492D0000}"/>
    <cellStyle name="Akzent2 21 2" xfId="15962" xr:uid="{00000000-0005-0000-0000-00004A2D0000}"/>
    <cellStyle name="Akzent2 21_est. MEAT" xfId="22880" xr:uid="{00000000-0005-0000-0000-00004B2D0000}"/>
    <cellStyle name="Akzent2 22" xfId="6545" xr:uid="{00000000-0005-0000-0000-00004C2D0000}"/>
    <cellStyle name="Akzent2 22 2" xfId="15963" xr:uid="{00000000-0005-0000-0000-00004D2D0000}"/>
    <cellStyle name="Akzent2 22_est. MEAT" xfId="22881" xr:uid="{00000000-0005-0000-0000-00004E2D0000}"/>
    <cellStyle name="Akzent2 23" xfId="6546" xr:uid="{00000000-0005-0000-0000-00004F2D0000}"/>
    <cellStyle name="Akzent2 23 2" xfId="15964" xr:uid="{00000000-0005-0000-0000-0000502D0000}"/>
    <cellStyle name="Akzent2 23_est. MEAT" xfId="22882" xr:uid="{00000000-0005-0000-0000-0000512D0000}"/>
    <cellStyle name="Akzent2 24" xfId="6547" xr:uid="{00000000-0005-0000-0000-0000522D0000}"/>
    <cellStyle name="Akzent2 24 2" xfId="15965" xr:uid="{00000000-0005-0000-0000-0000532D0000}"/>
    <cellStyle name="Akzent2 24_est. MEAT" xfId="22883" xr:uid="{00000000-0005-0000-0000-0000542D0000}"/>
    <cellStyle name="Akzent2 25" xfId="6548" xr:uid="{00000000-0005-0000-0000-0000552D0000}"/>
    <cellStyle name="Akzent2 25 2" xfId="15966" xr:uid="{00000000-0005-0000-0000-0000562D0000}"/>
    <cellStyle name="Akzent2 25_est. MEAT" xfId="22884" xr:uid="{00000000-0005-0000-0000-0000572D0000}"/>
    <cellStyle name="Akzent2 26" xfId="6549" xr:uid="{00000000-0005-0000-0000-0000582D0000}"/>
    <cellStyle name="Akzent2 26 2" xfId="15967" xr:uid="{00000000-0005-0000-0000-0000592D0000}"/>
    <cellStyle name="Akzent2 26_est. MEAT" xfId="22885" xr:uid="{00000000-0005-0000-0000-00005A2D0000}"/>
    <cellStyle name="Akzent2 27" xfId="6550" xr:uid="{00000000-0005-0000-0000-00005B2D0000}"/>
    <cellStyle name="Akzent2 27 2" xfId="15968" xr:uid="{00000000-0005-0000-0000-00005C2D0000}"/>
    <cellStyle name="Akzent2 27_est. MEAT" xfId="22886" xr:uid="{00000000-0005-0000-0000-00005D2D0000}"/>
    <cellStyle name="Akzent2 28" xfId="6551" xr:uid="{00000000-0005-0000-0000-00005E2D0000}"/>
    <cellStyle name="Akzent2 28 2" xfId="15969" xr:uid="{00000000-0005-0000-0000-00005F2D0000}"/>
    <cellStyle name="Akzent2 28_est. MEAT" xfId="22887" xr:uid="{00000000-0005-0000-0000-0000602D0000}"/>
    <cellStyle name="Akzent2 29" xfId="6552" xr:uid="{00000000-0005-0000-0000-0000612D0000}"/>
    <cellStyle name="Akzent2 29 2" xfId="15970" xr:uid="{00000000-0005-0000-0000-0000622D0000}"/>
    <cellStyle name="Akzent2 29_est. MEAT" xfId="22888" xr:uid="{00000000-0005-0000-0000-0000632D0000}"/>
    <cellStyle name="Akzent2 3" xfId="6553" xr:uid="{00000000-0005-0000-0000-0000642D0000}"/>
    <cellStyle name="Akzent2 3 2" xfId="6554" xr:uid="{00000000-0005-0000-0000-0000652D0000}"/>
    <cellStyle name="Akzent2 3 2 2" xfId="15972" xr:uid="{00000000-0005-0000-0000-0000662D0000}"/>
    <cellStyle name="Akzent2 3 2_est. MEAT" xfId="22889" xr:uid="{00000000-0005-0000-0000-0000672D0000}"/>
    <cellStyle name="Akzent2 3 3" xfId="15971" xr:uid="{00000000-0005-0000-0000-0000682D0000}"/>
    <cellStyle name="Akzent2 3_2012-2019" xfId="12341" xr:uid="{00000000-0005-0000-0000-0000692D0000}"/>
    <cellStyle name="Akzent2 30" xfId="6555" xr:uid="{00000000-0005-0000-0000-00006A2D0000}"/>
    <cellStyle name="Akzent2 30 2" xfId="15973" xr:uid="{00000000-0005-0000-0000-00006B2D0000}"/>
    <cellStyle name="Akzent2 30_est. MEAT" xfId="22890" xr:uid="{00000000-0005-0000-0000-00006C2D0000}"/>
    <cellStyle name="Akzent2 31" xfId="6556" xr:uid="{00000000-0005-0000-0000-00006D2D0000}"/>
    <cellStyle name="Akzent2 31 2" xfId="15974" xr:uid="{00000000-0005-0000-0000-00006E2D0000}"/>
    <cellStyle name="Akzent2 31_est. MEAT" xfId="22891" xr:uid="{00000000-0005-0000-0000-00006F2D0000}"/>
    <cellStyle name="Akzent2 32" xfId="6557" xr:uid="{00000000-0005-0000-0000-0000702D0000}"/>
    <cellStyle name="Akzent2 32 2" xfId="15975" xr:uid="{00000000-0005-0000-0000-0000712D0000}"/>
    <cellStyle name="Akzent2 32_est. MEAT" xfId="22892" xr:uid="{00000000-0005-0000-0000-0000722D0000}"/>
    <cellStyle name="Akzent2 33" xfId="6558" xr:uid="{00000000-0005-0000-0000-0000732D0000}"/>
    <cellStyle name="Akzent2 33 2" xfId="15976" xr:uid="{00000000-0005-0000-0000-0000742D0000}"/>
    <cellStyle name="Akzent2 33_est. MEAT" xfId="22893" xr:uid="{00000000-0005-0000-0000-0000752D0000}"/>
    <cellStyle name="Akzent2 34" xfId="6559" xr:uid="{00000000-0005-0000-0000-0000762D0000}"/>
    <cellStyle name="Akzent2 34 2" xfId="15977" xr:uid="{00000000-0005-0000-0000-0000772D0000}"/>
    <cellStyle name="Akzent2 34_est. MEAT" xfId="22894" xr:uid="{00000000-0005-0000-0000-0000782D0000}"/>
    <cellStyle name="Akzent2 35" xfId="6560" xr:uid="{00000000-0005-0000-0000-0000792D0000}"/>
    <cellStyle name="Akzent2 35 2" xfId="15978" xr:uid="{00000000-0005-0000-0000-00007A2D0000}"/>
    <cellStyle name="Akzent2 35_est. MEAT" xfId="22895" xr:uid="{00000000-0005-0000-0000-00007B2D0000}"/>
    <cellStyle name="Akzent2 36" xfId="6561" xr:uid="{00000000-0005-0000-0000-00007C2D0000}"/>
    <cellStyle name="Akzent2 36 2" xfId="15979" xr:uid="{00000000-0005-0000-0000-00007D2D0000}"/>
    <cellStyle name="Akzent2 36_est. MEAT" xfId="22896" xr:uid="{00000000-0005-0000-0000-00007E2D0000}"/>
    <cellStyle name="Akzent2 37" xfId="6562" xr:uid="{00000000-0005-0000-0000-00007F2D0000}"/>
    <cellStyle name="Akzent2 37 2" xfId="15980" xr:uid="{00000000-0005-0000-0000-0000802D0000}"/>
    <cellStyle name="Akzent2 37_est. MEAT" xfId="22897" xr:uid="{00000000-0005-0000-0000-0000812D0000}"/>
    <cellStyle name="Akzent2 38" xfId="6563" xr:uid="{00000000-0005-0000-0000-0000822D0000}"/>
    <cellStyle name="Akzent2 38 2" xfId="15981" xr:uid="{00000000-0005-0000-0000-0000832D0000}"/>
    <cellStyle name="Akzent2 38_est. MEAT" xfId="22898" xr:uid="{00000000-0005-0000-0000-0000842D0000}"/>
    <cellStyle name="Akzent2 39" xfId="6564" xr:uid="{00000000-0005-0000-0000-0000852D0000}"/>
    <cellStyle name="Akzent2 39 2" xfId="15982" xr:uid="{00000000-0005-0000-0000-0000862D0000}"/>
    <cellStyle name="Akzent2 39_est. MEAT" xfId="22899" xr:uid="{00000000-0005-0000-0000-0000872D0000}"/>
    <cellStyle name="Akzent2 4" xfId="6565" xr:uid="{00000000-0005-0000-0000-0000882D0000}"/>
    <cellStyle name="Akzent2 4 2" xfId="6566" xr:uid="{00000000-0005-0000-0000-0000892D0000}"/>
    <cellStyle name="Akzent2 4 2 2" xfId="15984" xr:uid="{00000000-0005-0000-0000-00008A2D0000}"/>
    <cellStyle name="Akzent2 4 2_est. MEAT" xfId="22900" xr:uid="{00000000-0005-0000-0000-00008B2D0000}"/>
    <cellStyle name="Akzent2 4 3" xfId="15983" xr:uid="{00000000-0005-0000-0000-00008C2D0000}"/>
    <cellStyle name="Akzent2 4_2012-2019" xfId="12342" xr:uid="{00000000-0005-0000-0000-00008D2D0000}"/>
    <cellStyle name="Akzent2 40" xfId="6567" xr:uid="{00000000-0005-0000-0000-00008E2D0000}"/>
    <cellStyle name="Akzent2 40 2" xfId="15985" xr:uid="{00000000-0005-0000-0000-00008F2D0000}"/>
    <cellStyle name="Akzent2 40_est. MEAT" xfId="22901" xr:uid="{00000000-0005-0000-0000-0000902D0000}"/>
    <cellStyle name="Akzent2 41" xfId="6568" xr:uid="{00000000-0005-0000-0000-0000912D0000}"/>
    <cellStyle name="Akzent2 41 2" xfId="15986" xr:uid="{00000000-0005-0000-0000-0000922D0000}"/>
    <cellStyle name="Akzent2 41_est. MEAT" xfId="22902" xr:uid="{00000000-0005-0000-0000-0000932D0000}"/>
    <cellStyle name="Akzent2 42" xfId="6569" xr:uid="{00000000-0005-0000-0000-0000942D0000}"/>
    <cellStyle name="Akzent2 42 2" xfId="15987" xr:uid="{00000000-0005-0000-0000-0000952D0000}"/>
    <cellStyle name="Akzent2 42_est. MEAT" xfId="22903" xr:uid="{00000000-0005-0000-0000-0000962D0000}"/>
    <cellStyle name="Akzent2 43" xfId="6570" xr:uid="{00000000-0005-0000-0000-0000972D0000}"/>
    <cellStyle name="Akzent2 43 2" xfId="15988" xr:uid="{00000000-0005-0000-0000-0000982D0000}"/>
    <cellStyle name="Akzent2 43_est. MEAT" xfId="22904" xr:uid="{00000000-0005-0000-0000-0000992D0000}"/>
    <cellStyle name="Akzent2 44" xfId="6571" xr:uid="{00000000-0005-0000-0000-00009A2D0000}"/>
    <cellStyle name="Akzent2 44 2" xfId="15989" xr:uid="{00000000-0005-0000-0000-00009B2D0000}"/>
    <cellStyle name="Akzent2 44_est. MEAT" xfId="22905" xr:uid="{00000000-0005-0000-0000-00009C2D0000}"/>
    <cellStyle name="Akzent2 45" xfId="6572" xr:uid="{00000000-0005-0000-0000-00009D2D0000}"/>
    <cellStyle name="Akzent2 45 2" xfId="15990" xr:uid="{00000000-0005-0000-0000-00009E2D0000}"/>
    <cellStyle name="Akzent2 45_est. MEAT" xfId="22906" xr:uid="{00000000-0005-0000-0000-00009F2D0000}"/>
    <cellStyle name="Akzent2 46" xfId="6573" xr:uid="{00000000-0005-0000-0000-0000A02D0000}"/>
    <cellStyle name="Akzent2 46 2" xfId="15991" xr:uid="{00000000-0005-0000-0000-0000A12D0000}"/>
    <cellStyle name="Akzent2 46_est. MEAT" xfId="22907" xr:uid="{00000000-0005-0000-0000-0000A22D0000}"/>
    <cellStyle name="Akzent2 47" xfId="6574" xr:uid="{00000000-0005-0000-0000-0000A32D0000}"/>
    <cellStyle name="Akzent2 47 2" xfId="15992" xr:uid="{00000000-0005-0000-0000-0000A42D0000}"/>
    <cellStyle name="Akzent2 47_est. MEAT" xfId="22908" xr:uid="{00000000-0005-0000-0000-0000A52D0000}"/>
    <cellStyle name="Akzent2 48" xfId="6575" xr:uid="{00000000-0005-0000-0000-0000A62D0000}"/>
    <cellStyle name="Akzent2 48 2" xfId="15993" xr:uid="{00000000-0005-0000-0000-0000A72D0000}"/>
    <cellStyle name="Akzent2 48_est. MEAT" xfId="22909" xr:uid="{00000000-0005-0000-0000-0000A82D0000}"/>
    <cellStyle name="Akzent2 49" xfId="6576" xr:uid="{00000000-0005-0000-0000-0000A92D0000}"/>
    <cellStyle name="Akzent2 49 2" xfId="15994" xr:uid="{00000000-0005-0000-0000-0000AA2D0000}"/>
    <cellStyle name="Akzent2 49_est. MEAT" xfId="22910" xr:uid="{00000000-0005-0000-0000-0000AB2D0000}"/>
    <cellStyle name="Akzent2 5" xfId="6577" xr:uid="{00000000-0005-0000-0000-0000AC2D0000}"/>
    <cellStyle name="Akzent2 5 2" xfId="6578" xr:uid="{00000000-0005-0000-0000-0000AD2D0000}"/>
    <cellStyle name="Akzent2 5 2 2" xfId="15996" xr:uid="{00000000-0005-0000-0000-0000AE2D0000}"/>
    <cellStyle name="Akzent2 5 2_est. MEAT" xfId="22911" xr:uid="{00000000-0005-0000-0000-0000AF2D0000}"/>
    <cellStyle name="Akzent2 5 3" xfId="15995" xr:uid="{00000000-0005-0000-0000-0000B02D0000}"/>
    <cellStyle name="Akzent2 5_2012-2019" xfId="12343" xr:uid="{00000000-0005-0000-0000-0000B12D0000}"/>
    <cellStyle name="Akzent2 50" xfId="6579" xr:uid="{00000000-0005-0000-0000-0000B22D0000}"/>
    <cellStyle name="Akzent2 50 2" xfId="15997" xr:uid="{00000000-0005-0000-0000-0000B32D0000}"/>
    <cellStyle name="Akzent2 50_est. MEAT" xfId="22912" xr:uid="{00000000-0005-0000-0000-0000B42D0000}"/>
    <cellStyle name="Akzent2 51" xfId="6580" xr:uid="{00000000-0005-0000-0000-0000B52D0000}"/>
    <cellStyle name="Akzent2 51 2" xfId="15998" xr:uid="{00000000-0005-0000-0000-0000B62D0000}"/>
    <cellStyle name="Akzent2 51_est. MEAT" xfId="22913" xr:uid="{00000000-0005-0000-0000-0000B72D0000}"/>
    <cellStyle name="Akzent2 52" xfId="6581" xr:uid="{00000000-0005-0000-0000-0000B82D0000}"/>
    <cellStyle name="Akzent2 52 2" xfId="15999" xr:uid="{00000000-0005-0000-0000-0000B92D0000}"/>
    <cellStyle name="Akzent2 52_est. MEAT" xfId="22914" xr:uid="{00000000-0005-0000-0000-0000BA2D0000}"/>
    <cellStyle name="Akzent2 53" xfId="6582" xr:uid="{00000000-0005-0000-0000-0000BB2D0000}"/>
    <cellStyle name="Akzent2 53 2" xfId="16000" xr:uid="{00000000-0005-0000-0000-0000BC2D0000}"/>
    <cellStyle name="Akzent2 53_est. MEAT" xfId="22915" xr:uid="{00000000-0005-0000-0000-0000BD2D0000}"/>
    <cellStyle name="Akzent2 54" xfId="6583" xr:uid="{00000000-0005-0000-0000-0000BE2D0000}"/>
    <cellStyle name="Akzent2 54 2" xfId="16001" xr:uid="{00000000-0005-0000-0000-0000BF2D0000}"/>
    <cellStyle name="Akzent2 54_est. MEAT" xfId="22916" xr:uid="{00000000-0005-0000-0000-0000C02D0000}"/>
    <cellStyle name="Akzent2 55" xfId="6584" xr:uid="{00000000-0005-0000-0000-0000C12D0000}"/>
    <cellStyle name="Akzent2 55 2" xfId="16002" xr:uid="{00000000-0005-0000-0000-0000C22D0000}"/>
    <cellStyle name="Akzent2 55_est. MEAT" xfId="22917" xr:uid="{00000000-0005-0000-0000-0000C32D0000}"/>
    <cellStyle name="Akzent2 56" xfId="6585" xr:uid="{00000000-0005-0000-0000-0000C42D0000}"/>
    <cellStyle name="Akzent2 56 2" xfId="16003" xr:uid="{00000000-0005-0000-0000-0000C52D0000}"/>
    <cellStyle name="Akzent2 56_est. MEAT" xfId="22918" xr:uid="{00000000-0005-0000-0000-0000C62D0000}"/>
    <cellStyle name="Akzent2 57" xfId="6586" xr:uid="{00000000-0005-0000-0000-0000C72D0000}"/>
    <cellStyle name="Akzent2 57 2" xfId="16004" xr:uid="{00000000-0005-0000-0000-0000C82D0000}"/>
    <cellStyle name="Akzent2 57_est. MEAT" xfId="22919" xr:uid="{00000000-0005-0000-0000-0000C92D0000}"/>
    <cellStyle name="Akzent2 58" xfId="6587" xr:uid="{00000000-0005-0000-0000-0000CA2D0000}"/>
    <cellStyle name="Akzent2 58 2" xfId="16005" xr:uid="{00000000-0005-0000-0000-0000CB2D0000}"/>
    <cellStyle name="Akzent2 58_est. MEAT" xfId="22920" xr:uid="{00000000-0005-0000-0000-0000CC2D0000}"/>
    <cellStyle name="Akzent2 59" xfId="6588" xr:uid="{00000000-0005-0000-0000-0000CD2D0000}"/>
    <cellStyle name="Akzent2 59 2" xfId="16006" xr:uid="{00000000-0005-0000-0000-0000CE2D0000}"/>
    <cellStyle name="Akzent2 59_est. MEAT" xfId="22921" xr:uid="{00000000-0005-0000-0000-0000CF2D0000}"/>
    <cellStyle name="Akzent2 6" xfId="6589" xr:uid="{00000000-0005-0000-0000-0000D02D0000}"/>
    <cellStyle name="Akzent2 6 2" xfId="6590" xr:uid="{00000000-0005-0000-0000-0000D12D0000}"/>
    <cellStyle name="Akzent2 6 2 2" xfId="16008" xr:uid="{00000000-0005-0000-0000-0000D22D0000}"/>
    <cellStyle name="Akzent2 6 2_est. MEAT" xfId="22922" xr:uid="{00000000-0005-0000-0000-0000D32D0000}"/>
    <cellStyle name="Akzent2 6 3" xfId="16007" xr:uid="{00000000-0005-0000-0000-0000D42D0000}"/>
    <cellStyle name="Akzent2 6_2012-2019" xfId="12344" xr:uid="{00000000-0005-0000-0000-0000D52D0000}"/>
    <cellStyle name="Akzent2 60" xfId="6591" xr:uid="{00000000-0005-0000-0000-0000D62D0000}"/>
    <cellStyle name="Akzent2 60 2" xfId="16009" xr:uid="{00000000-0005-0000-0000-0000D72D0000}"/>
    <cellStyle name="Akzent2 60_est. MEAT" xfId="22923" xr:uid="{00000000-0005-0000-0000-0000D82D0000}"/>
    <cellStyle name="Akzent2 61" xfId="6592" xr:uid="{00000000-0005-0000-0000-0000D92D0000}"/>
    <cellStyle name="Akzent2 61 2" xfId="16010" xr:uid="{00000000-0005-0000-0000-0000DA2D0000}"/>
    <cellStyle name="Akzent2 61_est. MEAT" xfId="22924" xr:uid="{00000000-0005-0000-0000-0000DB2D0000}"/>
    <cellStyle name="Akzent2 62" xfId="6593" xr:uid="{00000000-0005-0000-0000-0000DC2D0000}"/>
    <cellStyle name="Akzent2 62 2" xfId="16011" xr:uid="{00000000-0005-0000-0000-0000DD2D0000}"/>
    <cellStyle name="Akzent2 62_est. MEAT" xfId="22925" xr:uid="{00000000-0005-0000-0000-0000DE2D0000}"/>
    <cellStyle name="Akzent2 63" xfId="6594" xr:uid="{00000000-0005-0000-0000-0000DF2D0000}"/>
    <cellStyle name="Akzent2 63 2" xfId="16012" xr:uid="{00000000-0005-0000-0000-0000E02D0000}"/>
    <cellStyle name="Akzent2 63_est. MEAT" xfId="22926" xr:uid="{00000000-0005-0000-0000-0000E12D0000}"/>
    <cellStyle name="Akzent2 64" xfId="6595" xr:uid="{00000000-0005-0000-0000-0000E22D0000}"/>
    <cellStyle name="Akzent2 64 2" xfId="16013" xr:uid="{00000000-0005-0000-0000-0000E32D0000}"/>
    <cellStyle name="Akzent2 64_est. MEAT" xfId="22927" xr:uid="{00000000-0005-0000-0000-0000E42D0000}"/>
    <cellStyle name="Akzent2 65" xfId="6596" xr:uid="{00000000-0005-0000-0000-0000E52D0000}"/>
    <cellStyle name="Akzent2 65 2" xfId="16014" xr:uid="{00000000-0005-0000-0000-0000E62D0000}"/>
    <cellStyle name="Akzent2 65_est. MEAT" xfId="22928" xr:uid="{00000000-0005-0000-0000-0000E72D0000}"/>
    <cellStyle name="Akzent2 66" xfId="6597" xr:uid="{00000000-0005-0000-0000-0000E82D0000}"/>
    <cellStyle name="Akzent2 66 2" xfId="16015" xr:uid="{00000000-0005-0000-0000-0000E92D0000}"/>
    <cellStyle name="Akzent2 66_est. MEAT" xfId="22929" xr:uid="{00000000-0005-0000-0000-0000EA2D0000}"/>
    <cellStyle name="Akzent2 67" xfId="6598" xr:uid="{00000000-0005-0000-0000-0000EB2D0000}"/>
    <cellStyle name="Akzent2 67 2" xfId="16016" xr:uid="{00000000-0005-0000-0000-0000EC2D0000}"/>
    <cellStyle name="Akzent2 67_est. MEAT" xfId="22930" xr:uid="{00000000-0005-0000-0000-0000ED2D0000}"/>
    <cellStyle name="Akzent2 68" xfId="6599" xr:uid="{00000000-0005-0000-0000-0000EE2D0000}"/>
    <cellStyle name="Akzent2 68 2" xfId="16017" xr:uid="{00000000-0005-0000-0000-0000EF2D0000}"/>
    <cellStyle name="Akzent2 68_est. MEAT" xfId="22931" xr:uid="{00000000-0005-0000-0000-0000F02D0000}"/>
    <cellStyle name="Akzent2 69" xfId="6600" xr:uid="{00000000-0005-0000-0000-0000F12D0000}"/>
    <cellStyle name="Akzent2 69 2" xfId="16018" xr:uid="{00000000-0005-0000-0000-0000F22D0000}"/>
    <cellStyle name="Akzent2 69_est. MEAT" xfId="22932" xr:uid="{00000000-0005-0000-0000-0000F32D0000}"/>
    <cellStyle name="Akzent2 7" xfId="6601" xr:uid="{00000000-0005-0000-0000-0000F42D0000}"/>
    <cellStyle name="Akzent2 7 2" xfId="6602" xr:uid="{00000000-0005-0000-0000-0000F52D0000}"/>
    <cellStyle name="Akzent2 7 2 2" xfId="16020" xr:uid="{00000000-0005-0000-0000-0000F62D0000}"/>
    <cellStyle name="Akzent2 7 2_est. MEAT" xfId="22933" xr:uid="{00000000-0005-0000-0000-0000F72D0000}"/>
    <cellStyle name="Akzent2 7 3" xfId="16019" xr:uid="{00000000-0005-0000-0000-0000F82D0000}"/>
    <cellStyle name="Akzent2 7_2012-2019" xfId="12345" xr:uid="{00000000-0005-0000-0000-0000F92D0000}"/>
    <cellStyle name="Akzent2 70" xfId="6603" xr:uid="{00000000-0005-0000-0000-0000FA2D0000}"/>
    <cellStyle name="Akzent2 70 2" xfId="16021" xr:uid="{00000000-0005-0000-0000-0000FB2D0000}"/>
    <cellStyle name="Akzent2 70_est. MEAT" xfId="22934" xr:uid="{00000000-0005-0000-0000-0000FC2D0000}"/>
    <cellStyle name="Akzent2 71" xfId="6604" xr:uid="{00000000-0005-0000-0000-0000FD2D0000}"/>
    <cellStyle name="Akzent2 71 2" xfId="16022" xr:uid="{00000000-0005-0000-0000-0000FE2D0000}"/>
    <cellStyle name="Akzent2 71_est. MEAT" xfId="22935" xr:uid="{00000000-0005-0000-0000-0000FF2D0000}"/>
    <cellStyle name="Akzent2 72" xfId="6605" xr:uid="{00000000-0005-0000-0000-0000002E0000}"/>
    <cellStyle name="Akzent2 72 2" xfId="16023" xr:uid="{00000000-0005-0000-0000-0000012E0000}"/>
    <cellStyle name="Akzent2 72_est. MEAT" xfId="22936" xr:uid="{00000000-0005-0000-0000-0000022E0000}"/>
    <cellStyle name="Akzent2 73" xfId="6606" xr:uid="{00000000-0005-0000-0000-0000032E0000}"/>
    <cellStyle name="Akzent2 73 2" xfId="16024" xr:uid="{00000000-0005-0000-0000-0000042E0000}"/>
    <cellStyle name="Akzent2 73_est. MEAT" xfId="22937" xr:uid="{00000000-0005-0000-0000-0000052E0000}"/>
    <cellStyle name="Akzent2 74" xfId="6607" xr:uid="{00000000-0005-0000-0000-0000062E0000}"/>
    <cellStyle name="Akzent2 74 2" xfId="16025" xr:uid="{00000000-0005-0000-0000-0000072E0000}"/>
    <cellStyle name="Akzent2 74_est. MEAT" xfId="22938" xr:uid="{00000000-0005-0000-0000-0000082E0000}"/>
    <cellStyle name="Akzent2 75" xfId="6608" xr:uid="{00000000-0005-0000-0000-0000092E0000}"/>
    <cellStyle name="Akzent2 75 2" xfId="16026" xr:uid="{00000000-0005-0000-0000-00000A2E0000}"/>
    <cellStyle name="Akzent2 75_est. MEAT" xfId="22939" xr:uid="{00000000-0005-0000-0000-00000B2E0000}"/>
    <cellStyle name="Akzent2 76" xfId="6609" xr:uid="{00000000-0005-0000-0000-00000C2E0000}"/>
    <cellStyle name="Akzent2 76 2" xfId="16027" xr:uid="{00000000-0005-0000-0000-00000D2E0000}"/>
    <cellStyle name="Akzent2 76_est. MEAT" xfId="22940" xr:uid="{00000000-0005-0000-0000-00000E2E0000}"/>
    <cellStyle name="Akzent2 77" xfId="6610" xr:uid="{00000000-0005-0000-0000-00000F2E0000}"/>
    <cellStyle name="Akzent2 77 2" xfId="16028" xr:uid="{00000000-0005-0000-0000-0000102E0000}"/>
    <cellStyle name="Akzent2 77_est. MEAT" xfId="22941" xr:uid="{00000000-0005-0000-0000-0000112E0000}"/>
    <cellStyle name="Akzent2 78" xfId="6611" xr:uid="{00000000-0005-0000-0000-0000122E0000}"/>
    <cellStyle name="Akzent2 78 2" xfId="16029" xr:uid="{00000000-0005-0000-0000-0000132E0000}"/>
    <cellStyle name="Akzent2 78_est. MEAT" xfId="22942" xr:uid="{00000000-0005-0000-0000-0000142E0000}"/>
    <cellStyle name="Akzent2 79" xfId="6612" xr:uid="{00000000-0005-0000-0000-0000152E0000}"/>
    <cellStyle name="Akzent2 79 2" xfId="16030" xr:uid="{00000000-0005-0000-0000-0000162E0000}"/>
    <cellStyle name="Akzent2 79_est. MEAT" xfId="22943" xr:uid="{00000000-0005-0000-0000-0000172E0000}"/>
    <cellStyle name="Akzent2 8" xfId="6613" xr:uid="{00000000-0005-0000-0000-0000182E0000}"/>
    <cellStyle name="Akzent2 8 2" xfId="6614" xr:uid="{00000000-0005-0000-0000-0000192E0000}"/>
    <cellStyle name="Akzent2 8 2 2" xfId="16032" xr:uid="{00000000-0005-0000-0000-00001A2E0000}"/>
    <cellStyle name="Akzent2 8 2_est. MEAT" xfId="22944" xr:uid="{00000000-0005-0000-0000-00001B2E0000}"/>
    <cellStyle name="Akzent2 8 3" xfId="16031" xr:uid="{00000000-0005-0000-0000-00001C2E0000}"/>
    <cellStyle name="Akzent2 8_2012-2019" xfId="12346" xr:uid="{00000000-0005-0000-0000-00001D2E0000}"/>
    <cellStyle name="Akzent2 80" xfId="6615" xr:uid="{00000000-0005-0000-0000-00001E2E0000}"/>
    <cellStyle name="Akzent2 80 2" xfId="16033" xr:uid="{00000000-0005-0000-0000-00001F2E0000}"/>
    <cellStyle name="Akzent2 80_est. MEAT" xfId="22945" xr:uid="{00000000-0005-0000-0000-0000202E0000}"/>
    <cellStyle name="Akzent2 81" xfId="6616" xr:uid="{00000000-0005-0000-0000-0000212E0000}"/>
    <cellStyle name="Akzent2 81 2" xfId="16034" xr:uid="{00000000-0005-0000-0000-0000222E0000}"/>
    <cellStyle name="Akzent2 81_est. MEAT" xfId="22946" xr:uid="{00000000-0005-0000-0000-0000232E0000}"/>
    <cellStyle name="Akzent2 82" xfId="6617" xr:uid="{00000000-0005-0000-0000-0000242E0000}"/>
    <cellStyle name="Akzent2 82 2" xfId="16035" xr:uid="{00000000-0005-0000-0000-0000252E0000}"/>
    <cellStyle name="Akzent2 82_est. MEAT" xfId="22947" xr:uid="{00000000-0005-0000-0000-0000262E0000}"/>
    <cellStyle name="Akzent2 83" xfId="6618" xr:uid="{00000000-0005-0000-0000-0000272E0000}"/>
    <cellStyle name="Akzent2 83 2" xfId="16036" xr:uid="{00000000-0005-0000-0000-0000282E0000}"/>
    <cellStyle name="Akzent2 83_est. MEAT" xfId="22948" xr:uid="{00000000-0005-0000-0000-0000292E0000}"/>
    <cellStyle name="Akzent2 84" xfId="6619" xr:uid="{00000000-0005-0000-0000-00002A2E0000}"/>
    <cellStyle name="Akzent2 84 2" xfId="16037" xr:uid="{00000000-0005-0000-0000-00002B2E0000}"/>
    <cellStyle name="Akzent2 84_est. MEAT" xfId="22949" xr:uid="{00000000-0005-0000-0000-00002C2E0000}"/>
    <cellStyle name="Akzent2 85" xfId="6620" xr:uid="{00000000-0005-0000-0000-00002D2E0000}"/>
    <cellStyle name="Akzent2 85 2" xfId="16038" xr:uid="{00000000-0005-0000-0000-00002E2E0000}"/>
    <cellStyle name="Akzent2 85_est. MEAT" xfId="22950" xr:uid="{00000000-0005-0000-0000-00002F2E0000}"/>
    <cellStyle name="Akzent2 86" xfId="6621" xr:uid="{00000000-0005-0000-0000-0000302E0000}"/>
    <cellStyle name="Akzent2 86 2" xfId="16039" xr:uid="{00000000-0005-0000-0000-0000312E0000}"/>
    <cellStyle name="Akzent2 86_est. MEAT" xfId="22951" xr:uid="{00000000-0005-0000-0000-0000322E0000}"/>
    <cellStyle name="Akzent2 87" xfId="6622" xr:uid="{00000000-0005-0000-0000-0000332E0000}"/>
    <cellStyle name="Akzent2 87 2" xfId="16040" xr:uid="{00000000-0005-0000-0000-0000342E0000}"/>
    <cellStyle name="Akzent2 87_est. MEAT" xfId="22952" xr:uid="{00000000-0005-0000-0000-0000352E0000}"/>
    <cellStyle name="Akzent2 88" xfId="6623" xr:uid="{00000000-0005-0000-0000-0000362E0000}"/>
    <cellStyle name="Akzent2 88 2" xfId="16041" xr:uid="{00000000-0005-0000-0000-0000372E0000}"/>
    <cellStyle name="Akzent2 88_est. MEAT" xfId="22953" xr:uid="{00000000-0005-0000-0000-0000382E0000}"/>
    <cellStyle name="Akzent2 89" xfId="6624" xr:uid="{00000000-0005-0000-0000-0000392E0000}"/>
    <cellStyle name="Akzent2 89 2" xfId="16042" xr:uid="{00000000-0005-0000-0000-00003A2E0000}"/>
    <cellStyle name="Akzent2 89_est. MEAT" xfId="22954" xr:uid="{00000000-0005-0000-0000-00003B2E0000}"/>
    <cellStyle name="Akzent2 9" xfId="6625" xr:uid="{00000000-0005-0000-0000-00003C2E0000}"/>
    <cellStyle name="Akzent2 9 2" xfId="6626" xr:uid="{00000000-0005-0000-0000-00003D2E0000}"/>
    <cellStyle name="Akzent2 9 2 2" xfId="16044" xr:uid="{00000000-0005-0000-0000-00003E2E0000}"/>
    <cellStyle name="Akzent2 9 2_est. MEAT" xfId="22955" xr:uid="{00000000-0005-0000-0000-00003F2E0000}"/>
    <cellStyle name="Akzent2 9 3" xfId="16043" xr:uid="{00000000-0005-0000-0000-0000402E0000}"/>
    <cellStyle name="Akzent2 9_2012-2019" xfId="12347" xr:uid="{00000000-0005-0000-0000-0000412E0000}"/>
    <cellStyle name="Akzent2 90" xfId="6627" xr:uid="{00000000-0005-0000-0000-0000422E0000}"/>
    <cellStyle name="Akzent2 90 2" xfId="16045" xr:uid="{00000000-0005-0000-0000-0000432E0000}"/>
    <cellStyle name="Akzent2 90_est. MEAT" xfId="22956" xr:uid="{00000000-0005-0000-0000-0000442E0000}"/>
    <cellStyle name="Akzent2 91" xfId="6628" xr:uid="{00000000-0005-0000-0000-0000452E0000}"/>
    <cellStyle name="Akzent2 91 2" xfId="16046" xr:uid="{00000000-0005-0000-0000-0000462E0000}"/>
    <cellStyle name="Akzent2 91_est. MEAT" xfId="22957" xr:uid="{00000000-0005-0000-0000-0000472E0000}"/>
    <cellStyle name="Akzent2 92" xfId="6629" xr:uid="{00000000-0005-0000-0000-0000482E0000}"/>
    <cellStyle name="Akzent2 92 2" xfId="16047" xr:uid="{00000000-0005-0000-0000-0000492E0000}"/>
    <cellStyle name="Akzent2 92_est. MEAT" xfId="22958" xr:uid="{00000000-0005-0000-0000-00004A2E0000}"/>
    <cellStyle name="Akzent2 93" xfId="6630" xr:uid="{00000000-0005-0000-0000-00004B2E0000}"/>
    <cellStyle name="Akzent2 93 2" xfId="16048" xr:uid="{00000000-0005-0000-0000-00004C2E0000}"/>
    <cellStyle name="Akzent2 93_est. MEAT" xfId="22959" xr:uid="{00000000-0005-0000-0000-00004D2E0000}"/>
    <cellStyle name="Akzent2 94" xfId="6631" xr:uid="{00000000-0005-0000-0000-00004E2E0000}"/>
    <cellStyle name="Akzent2 94 2" xfId="16049" xr:uid="{00000000-0005-0000-0000-00004F2E0000}"/>
    <cellStyle name="Akzent2 94_est. MEAT" xfId="22960" xr:uid="{00000000-0005-0000-0000-0000502E0000}"/>
    <cellStyle name="Akzent2 95" xfId="6632" xr:uid="{00000000-0005-0000-0000-0000512E0000}"/>
    <cellStyle name="Akzent2 95 2" xfId="16050" xr:uid="{00000000-0005-0000-0000-0000522E0000}"/>
    <cellStyle name="Akzent2 95_est. MEAT" xfId="22961" xr:uid="{00000000-0005-0000-0000-0000532E0000}"/>
    <cellStyle name="Akzent2 96" xfId="6633" xr:uid="{00000000-0005-0000-0000-0000542E0000}"/>
    <cellStyle name="Akzent2 96 2" xfId="16051" xr:uid="{00000000-0005-0000-0000-0000552E0000}"/>
    <cellStyle name="Akzent2 96_est. MEAT" xfId="22962" xr:uid="{00000000-0005-0000-0000-0000562E0000}"/>
    <cellStyle name="Akzent2 97" xfId="6634" xr:uid="{00000000-0005-0000-0000-0000572E0000}"/>
    <cellStyle name="Akzent2 97 2" xfId="16052" xr:uid="{00000000-0005-0000-0000-0000582E0000}"/>
    <cellStyle name="Akzent2 97_est. MEAT" xfId="22963" xr:uid="{00000000-0005-0000-0000-0000592E0000}"/>
    <cellStyle name="Akzent2 98" xfId="6635" xr:uid="{00000000-0005-0000-0000-00005A2E0000}"/>
    <cellStyle name="Akzent2 98 2" xfId="16053" xr:uid="{00000000-0005-0000-0000-00005B2E0000}"/>
    <cellStyle name="Akzent2 98_est. MEAT" xfId="22964" xr:uid="{00000000-0005-0000-0000-00005C2E0000}"/>
    <cellStyle name="Akzent2 99" xfId="6636" xr:uid="{00000000-0005-0000-0000-00005D2E0000}"/>
    <cellStyle name="Akzent2 99 2" xfId="16054" xr:uid="{00000000-0005-0000-0000-00005E2E0000}"/>
    <cellStyle name="Akzent2 99_est. MEAT" xfId="22965" xr:uid="{00000000-0005-0000-0000-00005F2E0000}"/>
    <cellStyle name="Akzent2_2012-2019" xfId="12334" xr:uid="{00000000-0005-0000-0000-0000602E0000}"/>
    <cellStyle name="Akzent3" xfId="6637" xr:uid="{00000000-0005-0000-0000-0000612E0000}"/>
    <cellStyle name="Akzent3 10" xfId="6638" xr:uid="{00000000-0005-0000-0000-0000622E0000}"/>
    <cellStyle name="Akzent3 10 2" xfId="6639" xr:uid="{00000000-0005-0000-0000-0000632E0000}"/>
    <cellStyle name="Akzent3 10 2 2" xfId="16057" xr:uid="{00000000-0005-0000-0000-0000642E0000}"/>
    <cellStyle name="Akzent3 10 2_est. MEAT" xfId="22966" xr:uid="{00000000-0005-0000-0000-0000652E0000}"/>
    <cellStyle name="Akzent3 10 3" xfId="16056" xr:uid="{00000000-0005-0000-0000-0000662E0000}"/>
    <cellStyle name="Akzent3 10_2012-2019" xfId="12349" xr:uid="{00000000-0005-0000-0000-0000672E0000}"/>
    <cellStyle name="Akzent3 100" xfId="6640" xr:uid="{00000000-0005-0000-0000-0000682E0000}"/>
    <cellStyle name="Akzent3 100 2" xfId="16058" xr:uid="{00000000-0005-0000-0000-0000692E0000}"/>
    <cellStyle name="Akzent3 100_est. MEAT" xfId="22967" xr:uid="{00000000-0005-0000-0000-00006A2E0000}"/>
    <cellStyle name="Akzent3 101" xfId="6641" xr:uid="{00000000-0005-0000-0000-00006B2E0000}"/>
    <cellStyle name="Akzent3 101 2" xfId="16059" xr:uid="{00000000-0005-0000-0000-00006C2E0000}"/>
    <cellStyle name="Akzent3 101_est. MEAT" xfId="22968" xr:uid="{00000000-0005-0000-0000-00006D2E0000}"/>
    <cellStyle name="Akzent3 102" xfId="6642" xr:uid="{00000000-0005-0000-0000-00006E2E0000}"/>
    <cellStyle name="Akzent3 102 2" xfId="16060" xr:uid="{00000000-0005-0000-0000-00006F2E0000}"/>
    <cellStyle name="Akzent3 102_est. MEAT" xfId="22969" xr:uid="{00000000-0005-0000-0000-0000702E0000}"/>
    <cellStyle name="Akzent3 103" xfId="6643" xr:uid="{00000000-0005-0000-0000-0000712E0000}"/>
    <cellStyle name="Akzent3 103 2" xfId="16061" xr:uid="{00000000-0005-0000-0000-0000722E0000}"/>
    <cellStyle name="Akzent3 103_est. MEAT" xfId="22970" xr:uid="{00000000-0005-0000-0000-0000732E0000}"/>
    <cellStyle name="Akzent3 104" xfId="6644" xr:uid="{00000000-0005-0000-0000-0000742E0000}"/>
    <cellStyle name="Akzent3 104 2" xfId="16062" xr:uid="{00000000-0005-0000-0000-0000752E0000}"/>
    <cellStyle name="Akzent3 104_est. MEAT" xfId="22971" xr:uid="{00000000-0005-0000-0000-0000762E0000}"/>
    <cellStyle name="Akzent3 105" xfId="6645" xr:uid="{00000000-0005-0000-0000-0000772E0000}"/>
    <cellStyle name="Akzent3 105 2" xfId="16063" xr:uid="{00000000-0005-0000-0000-0000782E0000}"/>
    <cellStyle name="Akzent3 105_est. MEAT" xfId="22972" xr:uid="{00000000-0005-0000-0000-0000792E0000}"/>
    <cellStyle name="Akzent3 106" xfId="6646" xr:uid="{00000000-0005-0000-0000-00007A2E0000}"/>
    <cellStyle name="Akzent3 106 2" xfId="16064" xr:uid="{00000000-0005-0000-0000-00007B2E0000}"/>
    <cellStyle name="Akzent3 106_est. MEAT" xfId="22973" xr:uid="{00000000-0005-0000-0000-00007C2E0000}"/>
    <cellStyle name="Akzent3 107" xfId="6647" xr:uid="{00000000-0005-0000-0000-00007D2E0000}"/>
    <cellStyle name="Akzent3 107 2" xfId="16065" xr:uid="{00000000-0005-0000-0000-00007E2E0000}"/>
    <cellStyle name="Akzent3 107_est. MEAT" xfId="22974" xr:uid="{00000000-0005-0000-0000-00007F2E0000}"/>
    <cellStyle name="Akzent3 108" xfId="6648" xr:uid="{00000000-0005-0000-0000-0000802E0000}"/>
    <cellStyle name="Akzent3 108 2" xfId="16066" xr:uid="{00000000-0005-0000-0000-0000812E0000}"/>
    <cellStyle name="Akzent3 108_est. MEAT" xfId="22975" xr:uid="{00000000-0005-0000-0000-0000822E0000}"/>
    <cellStyle name="Akzent3 109" xfId="6649" xr:uid="{00000000-0005-0000-0000-0000832E0000}"/>
    <cellStyle name="Akzent3 109 2" xfId="16067" xr:uid="{00000000-0005-0000-0000-0000842E0000}"/>
    <cellStyle name="Akzent3 109_est. MEAT" xfId="22976" xr:uid="{00000000-0005-0000-0000-0000852E0000}"/>
    <cellStyle name="Akzent3 11" xfId="6650" xr:uid="{00000000-0005-0000-0000-0000862E0000}"/>
    <cellStyle name="Akzent3 11 2" xfId="6651" xr:uid="{00000000-0005-0000-0000-0000872E0000}"/>
    <cellStyle name="Akzent3 11 2 2" xfId="16069" xr:uid="{00000000-0005-0000-0000-0000882E0000}"/>
    <cellStyle name="Akzent3 11 2_est. MEAT" xfId="22977" xr:uid="{00000000-0005-0000-0000-0000892E0000}"/>
    <cellStyle name="Akzent3 11 3" xfId="16068" xr:uid="{00000000-0005-0000-0000-00008A2E0000}"/>
    <cellStyle name="Akzent3 11_2012-2019" xfId="12350" xr:uid="{00000000-0005-0000-0000-00008B2E0000}"/>
    <cellStyle name="Akzent3 110" xfId="6652" xr:uid="{00000000-0005-0000-0000-00008C2E0000}"/>
    <cellStyle name="Akzent3 110 2" xfId="16070" xr:uid="{00000000-0005-0000-0000-00008D2E0000}"/>
    <cellStyle name="Akzent3 110_est. MEAT" xfId="22978" xr:uid="{00000000-0005-0000-0000-00008E2E0000}"/>
    <cellStyle name="Akzent3 111" xfId="6653" xr:uid="{00000000-0005-0000-0000-00008F2E0000}"/>
    <cellStyle name="Akzent3 111 2" xfId="16071" xr:uid="{00000000-0005-0000-0000-0000902E0000}"/>
    <cellStyle name="Akzent3 111_est. MEAT" xfId="22979" xr:uid="{00000000-0005-0000-0000-0000912E0000}"/>
    <cellStyle name="Akzent3 112" xfId="6654" xr:uid="{00000000-0005-0000-0000-0000922E0000}"/>
    <cellStyle name="Akzent3 112 2" xfId="16072" xr:uid="{00000000-0005-0000-0000-0000932E0000}"/>
    <cellStyle name="Akzent3 112_est. MEAT" xfId="22980" xr:uid="{00000000-0005-0000-0000-0000942E0000}"/>
    <cellStyle name="Akzent3 113" xfId="6655" xr:uid="{00000000-0005-0000-0000-0000952E0000}"/>
    <cellStyle name="Akzent3 113 2" xfId="16073" xr:uid="{00000000-0005-0000-0000-0000962E0000}"/>
    <cellStyle name="Akzent3 113_est. MEAT" xfId="22981" xr:uid="{00000000-0005-0000-0000-0000972E0000}"/>
    <cellStyle name="Akzent3 114" xfId="6656" xr:uid="{00000000-0005-0000-0000-0000982E0000}"/>
    <cellStyle name="Akzent3 114 2" xfId="16074" xr:uid="{00000000-0005-0000-0000-0000992E0000}"/>
    <cellStyle name="Akzent3 114_est. MEAT" xfId="22982" xr:uid="{00000000-0005-0000-0000-00009A2E0000}"/>
    <cellStyle name="Akzent3 115" xfId="6657" xr:uid="{00000000-0005-0000-0000-00009B2E0000}"/>
    <cellStyle name="Akzent3 115 2" xfId="16075" xr:uid="{00000000-0005-0000-0000-00009C2E0000}"/>
    <cellStyle name="Akzent3 115_est. MEAT" xfId="22983" xr:uid="{00000000-0005-0000-0000-00009D2E0000}"/>
    <cellStyle name="Akzent3 116" xfId="6658" xr:uid="{00000000-0005-0000-0000-00009E2E0000}"/>
    <cellStyle name="Akzent3 116 2" xfId="16076" xr:uid="{00000000-0005-0000-0000-00009F2E0000}"/>
    <cellStyle name="Akzent3 116_est. MEAT" xfId="22984" xr:uid="{00000000-0005-0000-0000-0000A02E0000}"/>
    <cellStyle name="Akzent3 117" xfId="6659" xr:uid="{00000000-0005-0000-0000-0000A12E0000}"/>
    <cellStyle name="Akzent3 117 2" xfId="16077" xr:uid="{00000000-0005-0000-0000-0000A22E0000}"/>
    <cellStyle name="Akzent3 117_est. MEAT" xfId="22985" xr:uid="{00000000-0005-0000-0000-0000A32E0000}"/>
    <cellStyle name="Akzent3 118" xfId="6660" xr:uid="{00000000-0005-0000-0000-0000A42E0000}"/>
    <cellStyle name="Akzent3 118 2" xfId="16078" xr:uid="{00000000-0005-0000-0000-0000A52E0000}"/>
    <cellStyle name="Akzent3 118_est. MEAT" xfId="22986" xr:uid="{00000000-0005-0000-0000-0000A62E0000}"/>
    <cellStyle name="Akzent3 119" xfId="6661" xr:uid="{00000000-0005-0000-0000-0000A72E0000}"/>
    <cellStyle name="Akzent3 119 2" xfId="16079" xr:uid="{00000000-0005-0000-0000-0000A82E0000}"/>
    <cellStyle name="Akzent3 119_est. MEAT" xfId="22987" xr:uid="{00000000-0005-0000-0000-0000A92E0000}"/>
    <cellStyle name="Akzent3 12" xfId="6662" xr:uid="{00000000-0005-0000-0000-0000AA2E0000}"/>
    <cellStyle name="Akzent3 12 2" xfId="6663" xr:uid="{00000000-0005-0000-0000-0000AB2E0000}"/>
    <cellStyle name="Akzent3 12 2 2" xfId="16081" xr:uid="{00000000-0005-0000-0000-0000AC2E0000}"/>
    <cellStyle name="Akzent3 12 2_est. MEAT" xfId="22988" xr:uid="{00000000-0005-0000-0000-0000AD2E0000}"/>
    <cellStyle name="Akzent3 12 3" xfId="16080" xr:uid="{00000000-0005-0000-0000-0000AE2E0000}"/>
    <cellStyle name="Akzent3 12_2012-2019" xfId="12351" xr:uid="{00000000-0005-0000-0000-0000AF2E0000}"/>
    <cellStyle name="Akzent3 120" xfId="6664" xr:uid="{00000000-0005-0000-0000-0000B02E0000}"/>
    <cellStyle name="Akzent3 120 2" xfId="16082" xr:uid="{00000000-0005-0000-0000-0000B12E0000}"/>
    <cellStyle name="Akzent3 120_est. MEAT" xfId="22989" xr:uid="{00000000-0005-0000-0000-0000B22E0000}"/>
    <cellStyle name="Akzent3 121" xfId="6665" xr:uid="{00000000-0005-0000-0000-0000B32E0000}"/>
    <cellStyle name="Akzent3 121 2" xfId="16083" xr:uid="{00000000-0005-0000-0000-0000B42E0000}"/>
    <cellStyle name="Akzent3 121_est. MEAT" xfId="22990" xr:uid="{00000000-0005-0000-0000-0000B52E0000}"/>
    <cellStyle name="Akzent3 122" xfId="6666" xr:uid="{00000000-0005-0000-0000-0000B62E0000}"/>
    <cellStyle name="Akzent3 122 2" xfId="16084" xr:uid="{00000000-0005-0000-0000-0000B72E0000}"/>
    <cellStyle name="Akzent3 122_est. MEAT" xfId="22991" xr:uid="{00000000-0005-0000-0000-0000B82E0000}"/>
    <cellStyle name="Akzent3 123" xfId="6667" xr:uid="{00000000-0005-0000-0000-0000B92E0000}"/>
    <cellStyle name="Akzent3 123 2" xfId="16085" xr:uid="{00000000-0005-0000-0000-0000BA2E0000}"/>
    <cellStyle name="Akzent3 123_est. MEAT" xfId="22992" xr:uid="{00000000-0005-0000-0000-0000BB2E0000}"/>
    <cellStyle name="Akzent3 124" xfId="6668" xr:uid="{00000000-0005-0000-0000-0000BC2E0000}"/>
    <cellStyle name="Akzent3 124 2" xfId="16086" xr:uid="{00000000-0005-0000-0000-0000BD2E0000}"/>
    <cellStyle name="Akzent3 124_est. MEAT" xfId="22993" xr:uid="{00000000-0005-0000-0000-0000BE2E0000}"/>
    <cellStyle name="Akzent3 125" xfId="6669" xr:uid="{00000000-0005-0000-0000-0000BF2E0000}"/>
    <cellStyle name="Akzent3 125 2" xfId="16087" xr:uid="{00000000-0005-0000-0000-0000C02E0000}"/>
    <cellStyle name="Akzent3 125_est. MEAT" xfId="22994" xr:uid="{00000000-0005-0000-0000-0000C12E0000}"/>
    <cellStyle name="Akzent3 126" xfId="6670" xr:uid="{00000000-0005-0000-0000-0000C22E0000}"/>
    <cellStyle name="Akzent3 126 2" xfId="16088" xr:uid="{00000000-0005-0000-0000-0000C32E0000}"/>
    <cellStyle name="Akzent3 126_est. MEAT" xfId="22995" xr:uid="{00000000-0005-0000-0000-0000C42E0000}"/>
    <cellStyle name="Akzent3 127" xfId="6671" xr:uid="{00000000-0005-0000-0000-0000C52E0000}"/>
    <cellStyle name="Akzent3 127 2" xfId="16089" xr:uid="{00000000-0005-0000-0000-0000C62E0000}"/>
    <cellStyle name="Akzent3 127_est. MEAT" xfId="22996" xr:uid="{00000000-0005-0000-0000-0000C72E0000}"/>
    <cellStyle name="Akzent3 128" xfId="6672" xr:uid="{00000000-0005-0000-0000-0000C82E0000}"/>
    <cellStyle name="Akzent3 128 2" xfId="16090" xr:uid="{00000000-0005-0000-0000-0000C92E0000}"/>
    <cellStyle name="Akzent3 128_est. MEAT" xfId="22997" xr:uid="{00000000-0005-0000-0000-0000CA2E0000}"/>
    <cellStyle name="Akzent3 129" xfId="6673" xr:uid="{00000000-0005-0000-0000-0000CB2E0000}"/>
    <cellStyle name="Akzent3 129 2" xfId="16091" xr:uid="{00000000-0005-0000-0000-0000CC2E0000}"/>
    <cellStyle name="Akzent3 129_est. MEAT" xfId="22998" xr:uid="{00000000-0005-0000-0000-0000CD2E0000}"/>
    <cellStyle name="Akzent3 13" xfId="6674" xr:uid="{00000000-0005-0000-0000-0000CE2E0000}"/>
    <cellStyle name="Akzent3 13 2" xfId="6675" xr:uid="{00000000-0005-0000-0000-0000CF2E0000}"/>
    <cellStyle name="Akzent3 13 2 2" xfId="16093" xr:uid="{00000000-0005-0000-0000-0000D02E0000}"/>
    <cellStyle name="Akzent3 13 2_est. MEAT" xfId="22999" xr:uid="{00000000-0005-0000-0000-0000D12E0000}"/>
    <cellStyle name="Akzent3 13 3" xfId="16092" xr:uid="{00000000-0005-0000-0000-0000D22E0000}"/>
    <cellStyle name="Akzent3 13_2012-2019" xfId="12352" xr:uid="{00000000-0005-0000-0000-0000D32E0000}"/>
    <cellStyle name="Akzent3 130" xfId="6676" xr:uid="{00000000-0005-0000-0000-0000D42E0000}"/>
    <cellStyle name="Akzent3 130 2" xfId="16094" xr:uid="{00000000-0005-0000-0000-0000D52E0000}"/>
    <cellStyle name="Akzent3 130_est. MEAT" xfId="23000" xr:uid="{00000000-0005-0000-0000-0000D62E0000}"/>
    <cellStyle name="Akzent3 131" xfId="6677" xr:uid="{00000000-0005-0000-0000-0000D72E0000}"/>
    <cellStyle name="Akzent3 131 2" xfId="16095" xr:uid="{00000000-0005-0000-0000-0000D82E0000}"/>
    <cellStyle name="Akzent3 131_est. MEAT" xfId="23001" xr:uid="{00000000-0005-0000-0000-0000D92E0000}"/>
    <cellStyle name="Akzent3 132" xfId="6678" xr:uid="{00000000-0005-0000-0000-0000DA2E0000}"/>
    <cellStyle name="Akzent3 132 2" xfId="16096" xr:uid="{00000000-0005-0000-0000-0000DB2E0000}"/>
    <cellStyle name="Akzent3 132_est. MEAT" xfId="23002" xr:uid="{00000000-0005-0000-0000-0000DC2E0000}"/>
    <cellStyle name="Akzent3 133" xfId="6679" xr:uid="{00000000-0005-0000-0000-0000DD2E0000}"/>
    <cellStyle name="Akzent3 133 2" xfId="16097" xr:uid="{00000000-0005-0000-0000-0000DE2E0000}"/>
    <cellStyle name="Akzent3 133_est. MEAT" xfId="23003" xr:uid="{00000000-0005-0000-0000-0000DF2E0000}"/>
    <cellStyle name="Akzent3 134" xfId="6680" xr:uid="{00000000-0005-0000-0000-0000E02E0000}"/>
    <cellStyle name="Akzent3 134 2" xfId="16098" xr:uid="{00000000-0005-0000-0000-0000E12E0000}"/>
    <cellStyle name="Akzent3 134_est. MEAT" xfId="23004" xr:uid="{00000000-0005-0000-0000-0000E22E0000}"/>
    <cellStyle name="Akzent3 135" xfId="6681" xr:uid="{00000000-0005-0000-0000-0000E32E0000}"/>
    <cellStyle name="Akzent3 135 2" xfId="16099" xr:uid="{00000000-0005-0000-0000-0000E42E0000}"/>
    <cellStyle name="Akzent3 135_est. MEAT" xfId="23005" xr:uid="{00000000-0005-0000-0000-0000E52E0000}"/>
    <cellStyle name="Akzent3 136" xfId="6682" xr:uid="{00000000-0005-0000-0000-0000E62E0000}"/>
    <cellStyle name="Akzent3 136 2" xfId="16100" xr:uid="{00000000-0005-0000-0000-0000E72E0000}"/>
    <cellStyle name="Akzent3 136_est. MEAT" xfId="23006" xr:uid="{00000000-0005-0000-0000-0000E82E0000}"/>
    <cellStyle name="Akzent3 137" xfId="6683" xr:uid="{00000000-0005-0000-0000-0000E92E0000}"/>
    <cellStyle name="Akzent3 137 2" xfId="16101" xr:uid="{00000000-0005-0000-0000-0000EA2E0000}"/>
    <cellStyle name="Akzent3 137_est. MEAT" xfId="23007" xr:uid="{00000000-0005-0000-0000-0000EB2E0000}"/>
    <cellStyle name="Akzent3 138" xfId="6684" xr:uid="{00000000-0005-0000-0000-0000EC2E0000}"/>
    <cellStyle name="Akzent3 138 2" xfId="16102" xr:uid="{00000000-0005-0000-0000-0000ED2E0000}"/>
    <cellStyle name="Akzent3 138_est. MEAT" xfId="23008" xr:uid="{00000000-0005-0000-0000-0000EE2E0000}"/>
    <cellStyle name="Akzent3 139" xfId="6685" xr:uid="{00000000-0005-0000-0000-0000EF2E0000}"/>
    <cellStyle name="Akzent3 139 2" xfId="16103" xr:uid="{00000000-0005-0000-0000-0000F02E0000}"/>
    <cellStyle name="Akzent3 139_est. MEAT" xfId="23009" xr:uid="{00000000-0005-0000-0000-0000F12E0000}"/>
    <cellStyle name="Akzent3 14" xfId="6686" xr:uid="{00000000-0005-0000-0000-0000F22E0000}"/>
    <cellStyle name="Akzent3 14 2" xfId="6687" xr:uid="{00000000-0005-0000-0000-0000F32E0000}"/>
    <cellStyle name="Akzent3 14 2 2" xfId="16105" xr:uid="{00000000-0005-0000-0000-0000F42E0000}"/>
    <cellStyle name="Akzent3 14 2_est. MEAT" xfId="23010" xr:uid="{00000000-0005-0000-0000-0000F52E0000}"/>
    <cellStyle name="Akzent3 14 3" xfId="16104" xr:uid="{00000000-0005-0000-0000-0000F62E0000}"/>
    <cellStyle name="Akzent3 14_2012-2019" xfId="12353" xr:uid="{00000000-0005-0000-0000-0000F72E0000}"/>
    <cellStyle name="Akzent3 140" xfId="6688" xr:uid="{00000000-0005-0000-0000-0000F82E0000}"/>
    <cellStyle name="Akzent3 140 2" xfId="16106" xr:uid="{00000000-0005-0000-0000-0000F92E0000}"/>
    <cellStyle name="Akzent3 140_est. MEAT" xfId="23011" xr:uid="{00000000-0005-0000-0000-0000FA2E0000}"/>
    <cellStyle name="Akzent3 141" xfId="6689" xr:uid="{00000000-0005-0000-0000-0000FB2E0000}"/>
    <cellStyle name="Akzent3 141 2" xfId="16107" xr:uid="{00000000-0005-0000-0000-0000FC2E0000}"/>
    <cellStyle name="Akzent3 141_est. MEAT" xfId="23012" xr:uid="{00000000-0005-0000-0000-0000FD2E0000}"/>
    <cellStyle name="Akzent3 142" xfId="6690" xr:uid="{00000000-0005-0000-0000-0000FE2E0000}"/>
    <cellStyle name="Akzent3 142 2" xfId="16108" xr:uid="{00000000-0005-0000-0000-0000FF2E0000}"/>
    <cellStyle name="Akzent3 142_est. MEAT" xfId="23013" xr:uid="{00000000-0005-0000-0000-0000002F0000}"/>
    <cellStyle name="Akzent3 143" xfId="6691" xr:uid="{00000000-0005-0000-0000-0000012F0000}"/>
    <cellStyle name="Akzent3 143 2" xfId="16109" xr:uid="{00000000-0005-0000-0000-0000022F0000}"/>
    <cellStyle name="Akzent3 143_est. MEAT" xfId="23014" xr:uid="{00000000-0005-0000-0000-0000032F0000}"/>
    <cellStyle name="Akzent3 144" xfId="6692" xr:uid="{00000000-0005-0000-0000-0000042F0000}"/>
    <cellStyle name="Akzent3 144 2" xfId="16110" xr:uid="{00000000-0005-0000-0000-0000052F0000}"/>
    <cellStyle name="Akzent3 144_est. MEAT" xfId="23015" xr:uid="{00000000-0005-0000-0000-0000062F0000}"/>
    <cellStyle name="Akzent3 145" xfId="6693" xr:uid="{00000000-0005-0000-0000-0000072F0000}"/>
    <cellStyle name="Akzent3 145 2" xfId="16111" xr:uid="{00000000-0005-0000-0000-0000082F0000}"/>
    <cellStyle name="Akzent3 145_est. MEAT" xfId="23016" xr:uid="{00000000-0005-0000-0000-0000092F0000}"/>
    <cellStyle name="Akzent3 146" xfId="6694" xr:uid="{00000000-0005-0000-0000-00000A2F0000}"/>
    <cellStyle name="Akzent3 146 2" xfId="16112" xr:uid="{00000000-0005-0000-0000-00000B2F0000}"/>
    <cellStyle name="Akzent3 146_est. MEAT" xfId="23017" xr:uid="{00000000-0005-0000-0000-00000C2F0000}"/>
    <cellStyle name="Akzent3 147" xfId="6695" xr:uid="{00000000-0005-0000-0000-00000D2F0000}"/>
    <cellStyle name="Akzent3 147 2" xfId="16113" xr:uid="{00000000-0005-0000-0000-00000E2F0000}"/>
    <cellStyle name="Akzent3 147_est. MEAT" xfId="23018" xr:uid="{00000000-0005-0000-0000-00000F2F0000}"/>
    <cellStyle name="Akzent3 148" xfId="6696" xr:uid="{00000000-0005-0000-0000-0000102F0000}"/>
    <cellStyle name="Akzent3 148 2" xfId="16114" xr:uid="{00000000-0005-0000-0000-0000112F0000}"/>
    <cellStyle name="Akzent3 148_est. MEAT" xfId="23019" xr:uid="{00000000-0005-0000-0000-0000122F0000}"/>
    <cellStyle name="Akzent3 149" xfId="6697" xr:uid="{00000000-0005-0000-0000-0000132F0000}"/>
    <cellStyle name="Akzent3 149 2" xfId="16115" xr:uid="{00000000-0005-0000-0000-0000142F0000}"/>
    <cellStyle name="Akzent3 149_est. MEAT" xfId="23020" xr:uid="{00000000-0005-0000-0000-0000152F0000}"/>
    <cellStyle name="Akzent3 15" xfId="6698" xr:uid="{00000000-0005-0000-0000-0000162F0000}"/>
    <cellStyle name="Akzent3 15 2" xfId="16116" xr:uid="{00000000-0005-0000-0000-0000172F0000}"/>
    <cellStyle name="Akzent3 15_est. MEAT" xfId="23021" xr:uid="{00000000-0005-0000-0000-0000182F0000}"/>
    <cellStyle name="Akzent3 150" xfId="6699" xr:uid="{00000000-0005-0000-0000-0000192F0000}"/>
    <cellStyle name="Akzent3 150 2" xfId="16117" xr:uid="{00000000-0005-0000-0000-00001A2F0000}"/>
    <cellStyle name="Akzent3 150_est. MEAT" xfId="23022" xr:uid="{00000000-0005-0000-0000-00001B2F0000}"/>
    <cellStyle name="Akzent3 151" xfId="6700" xr:uid="{00000000-0005-0000-0000-00001C2F0000}"/>
    <cellStyle name="Akzent3 151 2" xfId="16118" xr:uid="{00000000-0005-0000-0000-00001D2F0000}"/>
    <cellStyle name="Akzent3 151_est. MEAT" xfId="23023" xr:uid="{00000000-0005-0000-0000-00001E2F0000}"/>
    <cellStyle name="Akzent3 152" xfId="16055" xr:uid="{00000000-0005-0000-0000-00001F2F0000}"/>
    <cellStyle name="Akzent3 16" xfId="6701" xr:uid="{00000000-0005-0000-0000-0000202F0000}"/>
    <cellStyle name="Akzent3 16 2" xfId="16119" xr:uid="{00000000-0005-0000-0000-0000212F0000}"/>
    <cellStyle name="Akzent3 16_est. MEAT" xfId="23024" xr:uid="{00000000-0005-0000-0000-0000222F0000}"/>
    <cellStyle name="Akzent3 17" xfId="6702" xr:uid="{00000000-0005-0000-0000-0000232F0000}"/>
    <cellStyle name="Akzent3 17 2" xfId="16120" xr:uid="{00000000-0005-0000-0000-0000242F0000}"/>
    <cellStyle name="Akzent3 17_est. MEAT" xfId="23025" xr:uid="{00000000-0005-0000-0000-0000252F0000}"/>
    <cellStyle name="Akzent3 18" xfId="6703" xr:uid="{00000000-0005-0000-0000-0000262F0000}"/>
    <cellStyle name="Akzent3 18 2" xfId="16121" xr:uid="{00000000-0005-0000-0000-0000272F0000}"/>
    <cellStyle name="Akzent3 18_est. MEAT" xfId="23026" xr:uid="{00000000-0005-0000-0000-0000282F0000}"/>
    <cellStyle name="Akzent3 19" xfId="6704" xr:uid="{00000000-0005-0000-0000-0000292F0000}"/>
    <cellStyle name="Akzent3 19 2" xfId="16122" xr:uid="{00000000-0005-0000-0000-00002A2F0000}"/>
    <cellStyle name="Akzent3 19_est. MEAT" xfId="23027" xr:uid="{00000000-0005-0000-0000-00002B2F0000}"/>
    <cellStyle name="Akzent3 2" xfId="6705" xr:uid="{00000000-0005-0000-0000-00002C2F0000}"/>
    <cellStyle name="Akzent3 2 2" xfId="6706" xr:uid="{00000000-0005-0000-0000-00002D2F0000}"/>
    <cellStyle name="Akzent3 2 2 2" xfId="16124" xr:uid="{00000000-0005-0000-0000-00002E2F0000}"/>
    <cellStyle name="Akzent3 2 2_est. MEAT" xfId="23028" xr:uid="{00000000-0005-0000-0000-00002F2F0000}"/>
    <cellStyle name="Akzent3 2 3" xfId="16123" xr:uid="{00000000-0005-0000-0000-0000302F0000}"/>
    <cellStyle name="Akzent3 2_2012-2019" xfId="12354" xr:uid="{00000000-0005-0000-0000-0000312F0000}"/>
    <cellStyle name="Akzent3 20" xfId="6707" xr:uid="{00000000-0005-0000-0000-0000322F0000}"/>
    <cellStyle name="Akzent3 20 2" xfId="16125" xr:uid="{00000000-0005-0000-0000-0000332F0000}"/>
    <cellStyle name="Akzent3 20_est. MEAT" xfId="23029" xr:uid="{00000000-0005-0000-0000-0000342F0000}"/>
    <cellStyle name="Akzent3 21" xfId="6708" xr:uid="{00000000-0005-0000-0000-0000352F0000}"/>
    <cellStyle name="Akzent3 21 2" xfId="16126" xr:uid="{00000000-0005-0000-0000-0000362F0000}"/>
    <cellStyle name="Akzent3 21_est. MEAT" xfId="23030" xr:uid="{00000000-0005-0000-0000-0000372F0000}"/>
    <cellStyle name="Akzent3 22" xfId="6709" xr:uid="{00000000-0005-0000-0000-0000382F0000}"/>
    <cellStyle name="Akzent3 22 2" xfId="16127" xr:uid="{00000000-0005-0000-0000-0000392F0000}"/>
    <cellStyle name="Akzent3 22_est. MEAT" xfId="23031" xr:uid="{00000000-0005-0000-0000-00003A2F0000}"/>
    <cellStyle name="Akzent3 23" xfId="6710" xr:uid="{00000000-0005-0000-0000-00003B2F0000}"/>
    <cellStyle name="Akzent3 23 2" xfId="16128" xr:uid="{00000000-0005-0000-0000-00003C2F0000}"/>
    <cellStyle name="Akzent3 23_est. MEAT" xfId="23032" xr:uid="{00000000-0005-0000-0000-00003D2F0000}"/>
    <cellStyle name="Akzent3 24" xfId="6711" xr:uid="{00000000-0005-0000-0000-00003E2F0000}"/>
    <cellStyle name="Akzent3 24 2" xfId="16129" xr:uid="{00000000-0005-0000-0000-00003F2F0000}"/>
    <cellStyle name="Akzent3 24_est. MEAT" xfId="23033" xr:uid="{00000000-0005-0000-0000-0000402F0000}"/>
    <cellStyle name="Akzent3 25" xfId="6712" xr:uid="{00000000-0005-0000-0000-0000412F0000}"/>
    <cellStyle name="Akzent3 25 2" xfId="16130" xr:uid="{00000000-0005-0000-0000-0000422F0000}"/>
    <cellStyle name="Akzent3 25_est. MEAT" xfId="23034" xr:uid="{00000000-0005-0000-0000-0000432F0000}"/>
    <cellStyle name="Akzent3 26" xfId="6713" xr:uid="{00000000-0005-0000-0000-0000442F0000}"/>
    <cellStyle name="Akzent3 26 2" xfId="16131" xr:uid="{00000000-0005-0000-0000-0000452F0000}"/>
    <cellStyle name="Akzent3 26_est. MEAT" xfId="23035" xr:uid="{00000000-0005-0000-0000-0000462F0000}"/>
    <cellStyle name="Akzent3 27" xfId="6714" xr:uid="{00000000-0005-0000-0000-0000472F0000}"/>
    <cellStyle name="Akzent3 27 2" xfId="16132" xr:uid="{00000000-0005-0000-0000-0000482F0000}"/>
    <cellStyle name="Akzent3 27_est. MEAT" xfId="23036" xr:uid="{00000000-0005-0000-0000-0000492F0000}"/>
    <cellStyle name="Akzent3 28" xfId="6715" xr:uid="{00000000-0005-0000-0000-00004A2F0000}"/>
    <cellStyle name="Akzent3 28 2" xfId="16133" xr:uid="{00000000-0005-0000-0000-00004B2F0000}"/>
    <cellStyle name="Akzent3 28_est. MEAT" xfId="23037" xr:uid="{00000000-0005-0000-0000-00004C2F0000}"/>
    <cellStyle name="Akzent3 29" xfId="6716" xr:uid="{00000000-0005-0000-0000-00004D2F0000}"/>
    <cellStyle name="Akzent3 29 2" xfId="16134" xr:uid="{00000000-0005-0000-0000-00004E2F0000}"/>
    <cellStyle name="Akzent3 29_est. MEAT" xfId="23038" xr:uid="{00000000-0005-0000-0000-00004F2F0000}"/>
    <cellStyle name="Akzent3 3" xfId="6717" xr:uid="{00000000-0005-0000-0000-0000502F0000}"/>
    <cellStyle name="Akzent3 3 2" xfId="6718" xr:uid="{00000000-0005-0000-0000-0000512F0000}"/>
    <cellStyle name="Akzent3 3 2 2" xfId="16136" xr:uid="{00000000-0005-0000-0000-0000522F0000}"/>
    <cellStyle name="Akzent3 3 2_est. MEAT" xfId="23039" xr:uid="{00000000-0005-0000-0000-0000532F0000}"/>
    <cellStyle name="Akzent3 3 3" xfId="16135" xr:uid="{00000000-0005-0000-0000-0000542F0000}"/>
    <cellStyle name="Akzent3 3_2012-2019" xfId="12355" xr:uid="{00000000-0005-0000-0000-0000552F0000}"/>
    <cellStyle name="Akzent3 30" xfId="6719" xr:uid="{00000000-0005-0000-0000-0000562F0000}"/>
    <cellStyle name="Akzent3 30 2" xfId="16137" xr:uid="{00000000-0005-0000-0000-0000572F0000}"/>
    <cellStyle name="Akzent3 30_est. MEAT" xfId="23040" xr:uid="{00000000-0005-0000-0000-0000582F0000}"/>
    <cellStyle name="Akzent3 31" xfId="6720" xr:uid="{00000000-0005-0000-0000-0000592F0000}"/>
    <cellStyle name="Akzent3 31 2" xfId="16138" xr:uid="{00000000-0005-0000-0000-00005A2F0000}"/>
    <cellStyle name="Akzent3 31_est. MEAT" xfId="23041" xr:uid="{00000000-0005-0000-0000-00005B2F0000}"/>
    <cellStyle name="Akzent3 32" xfId="6721" xr:uid="{00000000-0005-0000-0000-00005C2F0000}"/>
    <cellStyle name="Akzent3 32 2" xfId="16139" xr:uid="{00000000-0005-0000-0000-00005D2F0000}"/>
    <cellStyle name="Akzent3 32_est. MEAT" xfId="23042" xr:uid="{00000000-0005-0000-0000-00005E2F0000}"/>
    <cellStyle name="Akzent3 33" xfId="6722" xr:uid="{00000000-0005-0000-0000-00005F2F0000}"/>
    <cellStyle name="Akzent3 33 2" xfId="16140" xr:uid="{00000000-0005-0000-0000-0000602F0000}"/>
    <cellStyle name="Akzent3 33_est. MEAT" xfId="23043" xr:uid="{00000000-0005-0000-0000-0000612F0000}"/>
    <cellStyle name="Akzent3 34" xfId="6723" xr:uid="{00000000-0005-0000-0000-0000622F0000}"/>
    <cellStyle name="Akzent3 34 2" xfId="16141" xr:uid="{00000000-0005-0000-0000-0000632F0000}"/>
    <cellStyle name="Akzent3 34_est. MEAT" xfId="23044" xr:uid="{00000000-0005-0000-0000-0000642F0000}"/>
    <cellStyle name="Akzent3 35" xfId="6724" xr:uid="{00000000-0005-0000-0000-0000652F0000}"/>
    <cellStyle name="Akzent3 35 2" xfId="16142" xr:uid="{00000000-0005-0000-0000-0000662F0000}"/>
    <cellStyle name="Akzent3 35_est. MEAT" xfId="23045" xr:uid="{00000000-0005-0000-0000-0000672F0000}"/>
    <cellStyle name="Akzent3 36" xfId="6725" xr:uid="{00000000-0005-0000-0000-0000682F0000}"/>
    <cellStyle name="Akzent3 36 2" xfId="16143" xr:uid="{00000000-0005-0000-0000-0000692F0000}"/>
    <cellStyle name="Akzent3 36_est. MEAT" xfId="23046" xr:uid="{00000000-0005-0000-0000-00006A2F0000}"/>
    <cellStyle name="Akzent3 37" xfId="6726" xr:uid="{00000000-0005-0000-0000-00006B2F0000}"/>
    <cellStyle name="Akzent3 37 2" xfId="16144" xr:uid="{00000000-0005-0000-0000-00006C2F0000}"/>
    <cellStyle name="Akzent3 37_est. MEAT" xfId="23047" xr:uid="{00000000-0005-0000-0000-00006D2F0000}"/>
    <cellStyle name="Akzent3 38" xfId="6727" xr:uid="{00000000-0005-0000-0000-00006E2F0000}"/>
    <cellStyle name="Akzent3 38 2" xfId="16145" xr:uid="{00000000-0005-0000-0000-00006F2F0000}"/>
    <cellStyle name="Akzent3 38_est. MEAT" xfId="23048" xr:uid="{00000000-0005-0000-0000-0000702F0000}"/>
    <cellStyle name="Akzent3 39" xfId="6728" xr:uid="{00000000-0005-0000-0000-0000712F0000}"/>
    <cellStyle name="Akzent3 39 2" xfId="16146" xr:uid="{00000000-0005-0000-0000-0000722F0000}"/>
    <cellStyle name="Akzent3 39_est. MEAT" xfId="23049" xr:uid="{00000000-0005-0000-0000-0000732F0000}"/>
    <cellStyle name="Akzent3 4" xfId="6729" xr:uid="{00000000-0005-0000-0000-0000742F0000}"/>
    <cellStyle name="Akzent3 4 2" xfId="6730" xr:uid="{00000000-0005-0000-0000-0000752F0000}"/>
    <cellStyle name="Akzent3 4 2 2" xfId="16148" xr:uid="{00000000-0005-0000-0000-0000762F0000}"/>
    <cellStyle name="Akzent3 4 2_est. MEAT" xfId="23050" xr:uid="{00000000-0005-0000-0000-0000772F0000}"/>
    <cellStyle name="Akzent3 4 3" xfId="16147" xr:uid="{00000000-0005-0000-0000-0000782F0000}"/>
    <cellStyle name="Akzent3 4_2012-2019" xfId="12356" xr:uid="{00000000-0005-0000-0000-0000792F0000}"/>
    <cellStyle name="Akzent3 40" xfId="6731" xr:uid="{00000000-0005-0000-0000-00007A2F0000}"/>
    <cellStyle name="Akzent3 40 2" xfId="16149" xr:uid="{00000000-0005-0000-0000-00007B2F0000}"/>
    <cellStyle name="Akzent3 40_est. MEAT" xfId="23051" xr:uid="{00000000-0005-0000-0000-00007C2F0000}"/>
    <cellStyle name="Akzent3 41" xfId="6732" xr:uid="{00000000-0005-0000-0000-00007D2F0000}"/>
    <cellStyle name="Akzent3 41 2" xfId="16150" xr:uid="{00000000-0005-0000-0000-00007E2F0000}"/>
    <cellStyle name="Akzent3 41_est. MEAT" xfId="23052" xr:uid="{00000000-0005-0000-0000-00007F2F0000}"/>
    <cellStyle name="Akzent3 42" xfId="6733" xr:uid="{00000000-0005-0000-0000-0000802F0000}"/>
    <cellStyle name="Akzent3 42 2" xfId="16151" xr:uid="{00000000-0005-0000-0000-0000812F0000}"/>
    <cellStyle name="Akzent3 42_est. MEAT" xfId="23053" xr:uid="{00000000-0005-0000-0000-0000822F0000}"/>
    <cellStyle name="Akzent3 43" xfId="6734" xr:uid="{00000000-0005-0000-0000-0000832F0000}"/>
    <cellStyle name="Akzent3 43 2" xfId="16152" xr:uid="{00000000-0005-0000-0000-0000842F0000}"/>
    <cellStyle name="Akzent3 43_est. MEAT" xfId="23054" xr:uid="{00000000-0005-0000-0000-0000852F0000}"/>
    <cellStyle name="Akzent3 44" xfId="6735" xr:uid="{00000000-0005-0000-0000-0000862F0000}"/>
    <cellStyle name="Akzent3 44 2" xfId="16153" xr:uid="{00000000-0005-0000-0000-0000872F0000}"/>
    <cellStyle name="Akzent3 44_est. MEAT" xfId="23055" xr:uid="{00000000-0005-0000-0000-0000882F0000}"/>
    <cellStyle name="Akzent3 45" xfId="6736" xr:uid="{00000000-0005-0000-0000-0000892F0000}"/>
    <cellStyle name="Akzent3 45 2" xfId="16154" xr:uid="{00000000-0005-0000-0000-00008A2F0000}"/>
    <cellStyle name="Akzent3 45_est. MEAT" xfId="23056" xr:uid="{00000000-0005-0000-0000-00008B2F0000}"/>
    <cellStyle name="Akzent3 46" xfId="6737" xr:uid="{00000000-0005-0000-0000-00008C2F0000}"/>
    <cellStyle name="Akzent3 46 2" xfId="16155" xr:uid="{00000000-0005-0000-0000-00008D2F0000}"/>
    <cellStyle name="Akzent3 46_est. MEAT" xfId="23057" xr:uid="{00000000-0005-0000-0000-00008E2F0000}"/>
    <cellStyle name="Akzent3 47" xfId="6738" xr:uid="{00000000-0005-0000-0000-00008F2F0000}"/>
    <cellStyle name="Akzent3 47 2" xfId="16156" xr:uid="{00000000-0005-0000-0000-0000902F0000}"/>
    <cellStyle name="Akzent3 47_est. MEAT" xfId="23058" xr:uid="{00000000-0005-0000-0000-0000912F0000}"/>
    <cellStyle name="Akzent3 48" xfId="6739" xr:uid="{00000000-0005-0000-0000-0000922F0000}"/>
    <cellStyle name="Akzent3 48 2" xfId="16157" xr:uid="{00000000-0005-0000-0000-0000932F0000}"/>
    <cellStyle name="Akzent3 48_est. MEAT" xfId="23059" xr:uid="{00000000-0005-0000-0000-0000942F0000}"/>
    <cellStyle name="Akzent3 49" xfId="6740" xr:uid="{00000000-0005-0000-0000-0000952F0000}"/>
    <cellStyle name="Akzent3 49 2" xfId="16158" xr:uid="{00000000-0005-0000-0000-0000962F0000}"/>
    <cellStyle name="Akzent3 49_est. MEAT" xfId="23060" xr:uid="{00000000-0005-0000-0000-0000972F0000}"/>
    <cellStyle name="Akzent3 5" xfId="6741" xr:uid="{00000000-0005-0000-0000-0000982F0000}"/>
    <cellStyle name="Akzent3 5 2" xfId="6742" xr:uid="{00000000-0005-0000-0000-0000992F0000}"/>
    <cellStyle name="Akzent3 5 2 2" xfId="16160" xr:uid="{00000000-0005-0000-0000-00009A2F0000}"/>
    <cellStyle name="Akzent3 5 2_est. MEAT" xfId="23061" xr:uid="{00000000-0005-0000-0000-00009B2F0000}"/>
    <cellStyle name="Akzent3 5 3" xfId="16159" xr:uid="{00000000-0005-0000-0000-00009C2F0000}"/>
    <cellStyle name="Akzent3 5_2012-2019" xfId="12357" xr:uid="{00000000-0005-0000-0000-00009D2F0000}"/>
    <cellStyle name="Akzent3 50" xfId="6743" xr:uid="{00000000-0005-0000-0000-00009E2F0000}"/>
    <cellStyle name="Akzent3 50 2" xfId="16161" xr:uid="{00000000-0005-0000-0000-00009F2F0000}"/>
    <cellStyle name="Akzent3 50_est. MEAT" xfId="23062" xr:uid="{00000000-0005-0000-0000-0000A02F0000}"/>
    <cellStyle name="Akzent3 51" xfId="6744" xr:uid="{00000000-0005-0000-0000-0000A12F0000}"/>
    <cellStyle name="Akzent3 51 2" xfId="16162" xr:uid="{00000000-0005-0000-0000-0000A22F0000}"/>
    <cellStyle name="Akzent3 51_est. MEAT" xfId="23063" xr:uid="{00000000-0005-0000-0000-0000A32F0000}"/>
    <cellStyle name="Akzent3 52" xfId="6745" xr:uid="{00000000-0005-0000-0000-0000A42F0000}"/>
    <cellStyle name="Akzent3 52 2" xfId="16163" xr:uid="{00000000-0005-0000-0000-0000A52F0000}"/>
    <cellStyle name="Akzent3 52_est. MEAT" xfId="23064" xr:uid="{00000000-0005-0000-0000-0000A62F0000}"/>
    <cellStyle name="Akzent3 53" xfId="6746" xr:uid="{00000000-0005-0000-0000-0000A72F0000}"/>
    <cellStyle name="Akzent3 53 2" xfId="16164" xr:uid="{00000000-0005-0000-0000-0000A82F0000}"/>
    <cellStyle name="Akzent3 53_est. MEAT" xfId="23065" xr:uid="{00000000-0005-0000-0000-0000A92F0000}"/>
    <cellStyle name="Akzent3 54" xfId="6747" xr:uid="{00000000-0005-0000-0000-0000AA2F0000}"/>
    <cellStyle name="Akzent3 54 2" xfId="16165" xr:uid="{00000000-0005-0000-0000-0000AB2F0000}"/>
    <cellStyle name="Akzent3 54_est. MEAT" xfId="23066" xr:uid="{00000000-0005-0000-0000-0000AC2F0000}"/>
    <cellStyle name="Akzent3 55" xfId="6748" xr:uid="{00000000-0005-0000-0000-0000AD2F0000}"/>
    <cellStyle name="Akzent3 55 2" xfId="16166" xr:uid="{00000000-0005-0000-0000-0000AE2F0000}"/>
    <cellStyle name="Akzent3 55_est. MEAT" xfId="23067" xr:uid="{00000000-0005-0000-0000-0000AF2F0000}"/>
    <cellStyle name="Akzent3 56" xfId="6749" xr:uid="{00000000-0005-0000-0000-0000B02F0000}"/>
    <cellStyle name="Akzent3 56 2" xfId="16167" xr:uid="{00000000-0005-0000-0000-0000B12F0000}"/>
    <cellStyle name="Akzent3 56_est. MEAT" xfId="23068" xr:uid="{00000000-0005-0000-0000-0000B22F0000}"/>
    <cellStyle name="Akzent3 57" xfId="6750" xr:uid="{00000000-0005-0000-0000-0000B32F0000}"/>
    <cellStyle name="Akzent3 57 2" xfId="16168" xr:uid="{00000000-0005-0000-0000-0000B42F0000}"/>
    <cellStyle name="Akzent3 57_est. MEAT" xfId="23069" xr:uid="{00000000-0005-0000-0000-0000B52F0000}"/>
    <cellStyle name="Akzent3 58" xfId="6751" xr:uid="{00000000-0005-0000-0000-0000B62F0000}"/>
    <cellStyle name="Akzent3 58 2" xfId="16169" xr:uid="{00000000-0005-0000-0000-0000B72F0000}"/>
    <cellStyle name="Akzent3 58_est. MEAT" xfId="23070" xr:uid="{00000000-0005-0000-0000-0000B82F0000}"/>
    <cellStyle name="Akzent3 59" xfId="6752" xr:uid="{00000000-0005-0000-0000-0000B92F0000}"/>
    <cellStyle name="Akzent3 59 2" xfId="16170" xr:uid="{00000000-0005-0000-0000-0000BA2F0000}"/>
    <cellStyle name="Akzent3 59_est. MEAT" xfId="23071" xr:uid="{00000000-0005-0000-0000-0000BB2F0000}"/>
    <cellStyle name="Akzent3 6" xfId="6753" xr:uid="{00000000-0005-0000-0000-0000BC2F0000}"/>
    <cellStyle name="Akzent3 6 2" xfId="6754" xr:uid="{00000000-0005-0000-0000-0000BD2F0000}"/>
    <cellStyle name="Akzent3 6 2 2" xfId="16172" xr:uid="{00000000-0005-0000-0000-0000BE2F0000}"/>
    <cellStyle name="Akzent3 6 2_est. MEAT" xfId="23072" xr:uid="{00000000-0005-0000-0000-0000BF2F0000}"/>
    <cellStyle name="Akzent3 6 3" xfId="16171" xr:uid="{00000000-0005-0000-0000-0000C02F0000}"/>
    <cellStyle name="Akzent3 6_2012-2019" xfId="12358" xr:uid="{00000000-0005-0000-0000-0000C12F0000}"/>
    <cellStyle name="Akzent3 60" xfId="6755" xr:uid="{00000000-0005-0000-0000-0000C22F0000}"/>
    <cellStyle name="Akzent3 60 2" xfId="16173" xr:uid="{00000000-0005-0000-0000-0000C32F0000}"/>
    <cellStyle name="Akzent3 60_est. MEAT" xfId="23073" xr:uid="{00000000-0005-0000-0000-0000C42F0000}"/>
    <cellStyle name="Akzent3 61" xfId="6756" xr:uid="{00000000-0005-0000-0000-0000C52F0000}"/>
    <cellStyle name="Akzent3 61 2" xfId="16174" xr:uid="{00000000-0005-0000-0000-0000C62F0000}"/>
    <cellStyle name="Akzent3 61_est. MEAT" xfId="23074" xr:uid="{00000000-0005-0000-0000-0000C72F0000}"/>
    <cellStyle name="Akzent3 62" xfId="6757" xr:uid="{00000000-0005-0000-0000-0000C82F0000}"/>
    <cellStyle name="Akzent3 62 2" xfId="16175" xr:uid="{00000000-0005-0000-0000-0000C92F0000}"/>
    <cellStyle name="Akzent3 62_est. MEAT" xfId="23075" xr:uid="{00000000-0005-0000-0000-0000CA2F0000}"/>
    <cellStyle name="Akzent3 63" xfId="6758" xr:uid="{00000000-0005-0000-0000-0000CB2F0000}"/>
    <cellStyle name="Akzent3 63 2" xfId="16176" xr:uid="{00000000-0005-0000-0000-0000CC2F0000}"/>
    <cellStyle name="Akzent3 63_est. MEAT" xfId="23076" xr:uid="{00000000-0005-0000-0000-0000CD2F0000}"/>
    <cellStyle name="Akzent3 64" xfId="6759" xr:uid="{00000000-0005-0000-0000-0000CE2F0000}"/>
    <cellStyle name="Akzent3 64 2" xfId="16177" xr:uid="{00000000-0005-0000-0000-0000CF2F0000}"/>
    <cellStyle name="Akzent3 64_est. MEAT" xfId="23077" xr:uid="{00000000-0005-0000-0000-0000D02F0000}"/>
    <cellStyle name="Akzent3 65" xfId="6760" xr:uid="{00000000-0005-0000-0000-0000D12F0000}"/>
    <cellStyle name="Akzent3 65 2" xfId="16178" xr:uid="{00000000-0005-0000-0000-0000D22F0000}"/>
    <cellStyle name="Akzent3 65_est. MEAT" xfId="23078" xr:uid="{00000000-0005-0000-0000-0000D32F0000}"/>
    <cellStyle name="Akzent3 66" xfId="6761" xr:uid="{00000000-0005-0000-0000-0000D42F0000}"/>
    <cellStyle name="Akzent3 66 2" xfId="16179" xr:uid="{00000000-0005-0000-0000-0000D52F0000}"/>
    <cellStyle name="Akzent3 66_est. MEAT" xfId="23079" xr:uid="{00000000-0005-0000-0000-0000D62F0000}"/>
    <cellStyle name="Akzent3 67" xfId="6762" xr:uid="{00000000-0005-0000-0000-0000D72F0000}"/>
    <cellStyle name="Akzent3 67 2" xfId="16180" xr:uid="{00000000-0005-0000-0000-0000D82F0000}"/>
    <cellStyle name="Akzent3 67_est. MEAT" xfId="23080" xr:uid="{00000000-0005-0000-0000-0000D92F0000}"/>
    <cellStyle name="Akzent3 68" xfId="6763" xr:uid="{00000000-0005-0000-0000-0000DA2F0000}"/>
    <cellStyle name="Akzent3 68 2" xfId="16181" xr:uid="{00000000-0005-0000-0000-0000DB2F0000}"/>
    <cellStyle name="Akzent3 68_est. MEAT" xfId="23081" xr:uid="{00000000-0005-0000-0000-0000DC2F0000}"/>
    <cellStyle name="Akzent3 69" xfId="6764" xr:uid="{00000000-0005-0000-0000-0000DD2F0000}"/>
    <cellStyle name="Akzent3 69 2" xfId="16182" xr:uid="{00000000-0005-0000-0000-0000DE2F0000}"/>
    <cellStyle name="Akzent3 69_est. MEAT" xfId="23082" xr:uid="{00000000-0005-0000-0000-0000DF2F0000}"/>
    <cellStyle name="Akzent3 7" xfId="6765" xr:uid="{00000000-0005-0000-0000-0000E02F0000}"/>
    <cellStyle name="Akzent3 7 2" xfId="6766" xr:uid="{00000000-0005-0000-0000-0000E12F0000}"/>
    <cellStyle name="Akzent3 7 2 2" xfId="16184" xr:uid="{00000000-0005-0000-0000-0000E22F0000}"/>
    <cellStyle name="Akzent3 7 2_est. MEAT" xfId="23083" xr:uid="{00000000-0005-0000-0000-0000E32F0000}"/>
    <cellStyle name="Akzent3 7 3" xfId="16183" xr:uid="{00000000-0005-0000-0000-0000E42F0000}"/>
    <cellStyle name="Akzent3 7_2012-2019" xfId="12359" xr:uid="{00000000-0005-0000-0000-0000E52F0000}"/>
    <cellStyle name="Akzent3 70" xfId="6767" xr:uid="{00000000-0005-0000-0000-0000E62F0000}"/>
    <cellStyle name="Akzent3 70 2" xfId="16185" xr:uid="{00000000-0005-0000-0000-0000E72F0000}"/>
    <cellStyle name="Akzent3 70_est. MEAT" xfId="23084" xr:uid="{00000000-0005-0000-0000-0000E82F0000}"/>
    <cellStyle name="Akzent3 71" xfId="6768" xr:uid="{00000000-0005-0000-0000-0000E92F0000}"/>
    <cellStyle name="Akzent3 71 2" xfId="16186" xr:uid="{00000000-0005-0000-0000-0000EA2F0000}"/>
    <cellStyle name="Akzent3 71_est. MEAT" xfId="23085" xr:uid="{00000000-0005-0000-0000-0000EB2F0000}"/>
    <cellStyle name="Akzent3 72" xfId="6769" xr:uid="{00000000-0005-0000-0000-0000EC2F0000}"/>
    <cellStyle name="Akzent3 72 2" xfId="16187" xr:uid="{00000000-0005-0000-0000-0000ED2F0000}"/>
    <cellStyle name="Akzent3 72_est. MEAT" xfId="23086" xr:uid="{00000000-0005-0000-0000-0000EE2F0000}"/>
    <cellStyle name="Akzent3 73" xfId="6770" xr:uid="{00000000-0005-0000-0000-0000EF2F0000}"/>
    <cellStyle name="Akzent3 73 2" xfId="16188" xr:uid="{00000000-0005-0000-0000-0000F02F0000}"/>
    <cellStyle name="Akzent3 73_est. MEAT" xfId="23087" xr:uid="{00000000-0005-0000-0000-0000F12F0000}"/>
    <cellStyle name="Akzent3 74" xfId="6771" xr:uid="{00000000-0005-0000-0000-0000F22F0000}"/>
    <cellStyle name="Akzent3 74 2" xfId="16189" xr:uid="{00000000-0005-0000-0000-0000F32F0000}"/>
    <cellStyle name="Akzent3 74_est. MEAT" xfId="23088" xr:uid="{00000000-0005-0000-0000-0000F42F0000}"/>
    <cellStyle name="Akzent3 75" xfId="6772" xr:uid="{00000000-0005-0000-0000-0000F52F0000}"/>
    <cellStyle name="Akzent3 75 2" xfId="16190" xr:uid="{00000000-0005-0000-0000-0000F62F0000}"/>
    <cellStyle name="Akzent3 75_est. MEAT" xfId="23089" xr:uid="{00000000-0005-0000-0000-0000F72F0000}"/>
    <cellStyle name="Akzent3 76" xfId="6773" xr:uid="{00000000-0005-0000-0000-0000F82F0000}"/>
    <cellStyle name="Akzent3 76 2" xfId="16191" xr:uid="{00000000-0005-0000-0000-0000F92F0000}"/>
    <cellStyle name="Akzent3 76_est. MEAT" xfId="23090" xr:uid="{00000000-0005-0000-0000-0000FA2F0000}"/>
    <cellStyle name="Akzent3 77" xfId="6774" xr:uid="{00000000-0005-0000-0000-0000FB2F0000}"/>
    <cellStyle name="Akzent3 77 2" xfId="16192" xr:uid="{00000000-0005-0000-0000-0000FC2F0000}"/>
    <cellStyle name="Akzent3 77_est. MEAT" xfId="23091" xr:uid="{00000000-0005-0000-0000-0000FD2F0000}"/>
    <cellStyle name="Akzent3 78" xfId="6775" xr:uid="{00000000-0005-0000-0000-0000FE2F0000}"/>
    <cellStyle name="Akzent3 78 2" xfId="16193" xr:uid="{00000000-0005-0000-0000-0000FF2F0000}"/>
    <cellStyle name="Akzent3 78_est. MEAT" xfId="23092" xr:uid="{00000000-0005-0000-0000-000000300000}"/>
    <cellStyle name="Akzent3 79" xfId="6776" xr:uid="{00000000-0005-0000-0000-000001300000}"/>
    <cellStyle name="Akzent3 79 2" xfId="16194" xr:uid="{00000000-0005-0000-0000-000002300000}"/>
    <cellStyle name="Akzent3 79_est. MEAT" xfId="23093" xr:uid="{00000000-0005-0000-0000-000003300000}"/>
    <cellStyle name="Akzent3 8" xfId="6777" xr:uid="{00000000-0005-0000-0000-000004300000}"/>
    <cellStyle name="Akzent3 8 2" xfId="6778" xr:uid="{00000000-0005-0000-0000-000005300000}"/>
    <cellStyle name="Akzent3 8 2 2" xfId="16196" xr:uid="{00000000-0005-0000-0000-000006300000}"/>
    <cellStyle name="Akzent3 8 2_est. MEAT" xfId="23094" xr:uid="{00000000-0005-0000-0000-000007300000}"/>
    <cellStyle name="Akzent3 8 3" xfId="16195" xr:uid="{00000000-0005-0000-0000-000008300000}"/>
    <cellStyle name="Akzent3 8_2012-2019" xfId="12360" xr:uid="{00000000-0005-0000-0000-000009300000}"/>
    <cellStyle name="Akzent3 80" xfId="6779" xr:uid="{00000000-0005-0000-0000-00000A300000}"/>
    <cellStyle name="Akzent3 80 2" xfId="16197" xr:uid="{00000000-0005-0000-0000-00000B300000}"/>
    <cellStyle name="Akzent3 80_est. MEAT" xfId="23095" xr:uid="{00000000-0005-0000-0000-00000C300000}"/>
    <cellStyle name="Akzent3 81" xfId="6780" xr:uid="{00000000-0005-0000-0000-00000D300000}"/>
    <cellStyle name="Akzent3 81 2" xfId="16198" xr:uid="{00000000-0005-0000-0000-00000E300000}"/>
    <cellStyle name="Akzent3 81_est. MEAT" xfId="23096" xr:uid="{00000000-0005-0000-0000-00000F300000}"/>
    <cellStyle name="Akzent3 82" xfId="6781" xr:uid="{00000000-0005-0000-0000-000010300000}"/>
    <cellStyle name="Akzent3 82 2" xfId="16199" xr:uid="{00000000-0005-0000-0000-000011300000}"/>
    <cellStyle name="Akzent3 82_est. MEAT" xfId="23097" xr:uid="{00000000-0005-0000-0000-000012300000}"/>
    <cellStyle name="Akzent3 83" xfId="6782" xr:uid="{00000000-0005-0000-0000-000013300000}"/>
    <cellStyle name="Akzent3 83 2" xfId="16200" xr:uid="{00000000-0005-0000-0000-000014300000}"/>
    <cellStyle name="Akzent3 83_est. MEAT" xfId="23098" xr:uid="{00000000-0005-0000-0000-000015300000}"/>
    <cellStyle name="Akzent3 84" xfId="6783" xr:uid="{00000000-0005-0000-0000-000016300000}"/>
    <cellStyle name="Akzent3 84 2" xfId="16201" xr:uid="{00000000-0005-0000-0000-000017300000}"/>
    <cellStyle name="Akzent3 84_est. MEAT" xfId="23099" xr:uid="{00000000-0005-0000-0000-000018300000}"/>
    <cellStyle name="Akzent3 85" xfId="6784" xr:uid="{00000000-0005-0000-0000-000019300000}"/>
    <cellStyle name="Akzent3 85 2" xfId="16202" xr:uid="{00000000-0005-0000-0000-00001A300000}"/>
    <cellStyle name="Akzent3 85_est. MEAT" xfId="23100" xr:uid="{00000000-0005-0000-0000-00001B300000}"/>
    <cellStyle name="Akzent3 86" xfId="6785" xr:uid="{00000000-0005-0000-0000-00001C300000}"/>
    <cellStyle name="Akzent3 86 2" xfId="16203" xr:uid="{00000000-0005-0000-0000-00001D300000}"/>
    <cellStyle name="Akzent3 86_est. MEAT" xfId="23101" xr:uid="{00000000-0005-0000-0000-00001E300000}"/>
    <cellStyle name="Akzent3 87" xfId="6786" xr:uid="{00000000-0005-0000-0000-00001F300000}"/>
    <cellStyle name="Akzent3 87 2" xfId="16204" xr:uid="{00000000-0005-0000-0000-000020300000}"/>
    <cellStyle name="Akzent3 87_est. MEAT" xfId="23102" xr:uid="{00000000-0005-0000-0000-000021300000}"/>
    <cellStyle name="Akzent3 88" xfId="6787" xr:uid="{00000000-0005-0000-0000-000022300000}"/>
    <cellStyle name="Akzent3 88 2" xfId="16205" xr:uid="{00000000-0005-0000-0000-000023300000}"/>
    <cellStyle name="Akzent3 88_est. MEAT" xfId="23103" xr:uid="{00000000-0005-0000-0000-000024300000}"/>
    <cellStyle name="Akzent3 89" xfId="6788" xr:uid="{00000000-0005-0000-0000-000025300000}"/>
    <cellStyle name="Akzent3 89 2" xfId="16206" xr:uid="{00000000-0005-0000-0000-000026300000}"/>
    <cellStyle name="Akzent3 89_est. MEAT" xfId="23104" xr:uid="{00000000-0005-0000-0000-000027300000}"/>
    <cellStyle name="Akzent3 9" xfId="6789" xr:uid="{00000000-0005-0000-0000-000028300000}"/>
    <cellStyle name="Akzent3 9 2" xfId="6790" xr:uid="{00000000-0005-0000-0000-000029300000}"/>
    <cellStyle name="Akzent3 9 2 2" xfId="16208" xr:uid="{00000000-0005-0000-0000-00002A300000}"/>
    <cellStyle name="Akzent3 9 2_est. MEAT" xfId="23105" xr:uid="{00000000-0005-0000-0000-00002B300000}"/>
    <cellStyle name="Akzent3 9 3" xfId="16207" xr:uid="{00000000-0005-0000-0000-00002C300000}"/>
    <cellStyle name="Akzent3 9_2012-2019" xfId="12361" xr:uid="{00000000-0005-0000-0000-00002D300000}"/>
    <cellStyle name="Akzent3 90" xfId="6791" xr:uid="{00000000-0005-0000-0000-00002E300000}"/>
    <cellStyle name="Akzent3 90 2" xfId="16209" xr:uid="{00000000-0005-0000-0000-00002F300000}"/>
    <cellStyle name="Akzent3 90_est. MEAT" xfId="23106" xr:uid="{00000000-0005-0000-0000-000030300000}"/>
    <cellStyle name="Akzent3 91" xfId="6792" xr:uid="{00000000-0005-0000-0000-000031300000}"/>
    <cellStyle name="Akzent3 91 2" xfId="16210" xr:uid="{00000000-0005-0000-0000-000032300000}"/>
    <cellStyle name="Akzent3 91_est. MEAT" xfId="23107" xr:uid="{00000000-0005-0000-0000-000033300000}"/>
    <cellStyle name="Akzent3 92" xfId="6793" xr:uid="{00000000-0005-0000-0000-000034300000}"/>
    <cellStyle name="Akzent3 92 2" xfId="16211" xr:uid="{00000000-0005-0000-0000-000035300000}"/>
    <cellStyle name="Akzent3 92_est. MEAT" xfId="23108" xr:uid="{00000000-0005-0000-0000-000036300000}"/>
    <cellStyle name="Akzent3 93" xfId="6794" xr:uid="{00000000-0005-0000-0000-000037300000}"/>
    <cellStyle name="Akzent3 93 2" xfId="16212" xr:uid="{00000000-0005-0000-0000-000038300000}"/>
    <cellStyle name="Akzent3 93_est. MEAT" xfId="23109" xr:uid="{00000000-0005-0000-0000-000039300000}"/>
    <cellStyle name="Akzent3 94" xfId="6795" xr:uid="{00000000-0005-0000-0000-00003A300000}"/>
    <cellStyle name="Akzent3 94 2" xfId="16213" xr:uid="{00000000-0005-0000-0000-00003B300000}"/>
    <cellStyle name="Akzent3 94_est. MEAT" xfId="23110" xr:uid="{00000000-0005-0000-0000-00003C300000}"/>
    <cellStyle name="Akzent3 95" xfId="6796" xr:uid="{00000000-0005-0000-0000-00003D300000}"/>
    <cellStyle name="Akzent3 95 2" xfId="16214" xr:uid="{00000000-0005-0000-0000-00003E300000}"/>
    <cellStyle name="Akzent3 95_est. MEAT" xfId="23111" xr:uid="{00000000-0005-0000-0000-00003F300000}"/>
    <cellStyle name="Akzent3 96" xfId="6797" xr:uid="{00000000-0005-0000-0000-000040300000}"/>
    <cellStyle name="Akzent3 96 2" xfId="16215" xr:uid="{00000000-0005-0000-0000-000041300000}"/>
    <cellStyle name="Akzent3 96_est. MEAT" xfId="23112" xr:uid="{00000000-0005-0000-0000-000042300000}"/>
    <cellStyle name="Akzent3 97" xfId="6798" xr:uid="{00000000-0005-0000-0000-000043300000}"/>
    <cellStyle name="Akzent3 97 2" xfId="16216" xr:uid="{00000000-0005-0000-0000-000044300000}"/>
    <cellStyle name="Akzent3 97_est. MEAT" xfId="23113" xr:uid="{00000000-0005-0000-0000-000045300000}"/>
    <cellStyle name="Akzent3 98" xfId="6799" xr:uid="{00000000-0005-0000-0000-000046300000}"/>
    <cellStyle name="Akzent3 98 2" xfId="16217" xr:uid="{00000000-0005-0000-0000-000047300000}"/>
    <cellStyle name="Akzent3 98_est. MEAT" xfId="23114" xr:uid="{00000000-0005-0000-0000-000048300000}"/>
    <cellStyle name="Akzent3 99" xfId="6800" xr:uid="{00000000-0005-0000-0000-000049300000}"/>
    <cellStyle name="Akzent3 99 2" xfId="16218" xr:uid="{00000000-0005-0000-0000-00004A300000}"/>
    <cellStyle name="Akzent3 99_est. MEAT" xfId="23115" xr:uid="{00000000-0005-0000-0000-00004B300000}"/>
    <cellStyle name="Akzent3_2012-2019" xfId="12348" xr:uid="{00000000-0005-0000-0000-00004C300000}"/>
    <cellStyle name="Akzent4" xfId="6801" xr:uid="{00000000-0005-0000-0000-00004D300000}"/>
    <cellStyle name="Akzent4 10" xfId="6802" xr:uid="{00000000-0005-0000-0000-00004E300000}"/>
    <cellStyle name="Akzent4 10 2" xfId="6803" xr:uid="{00000000-0005-0000-0000-00004F300000}"/>
    <cellStyle name="Akzent4 10 2 2" xfId="16221" xr:uid="{00000000-0005-0000-0000-000050300000}"/>
    <cellStyle name="Akzent4 10 2_est. MEAT" xfId="23116" xr:uid="{00000000-0005-0000-0000-000051300000}"/>
    <cellStyle name="Akzent4 10 3" xfId="16220" xr:uid="{00000000-0005-0000-0000-000052300000}"/>
    <cellStyle name="Akzent4 10_2012-2019" xfId="12363" xr:uid="{00000000-0005-0000-0000-000053300000}"/>
    <cellStyle name="Akzent4 100" xfId="6804" xr:uid="{00000000-0005-0000-0000-000054300000}"/>
    <cellStyle name="Akzent4 100 2" xfId="16222" xr:uid="{00000000-0005-0000-0000-000055300000}"/>
    <cellStyle name="Akzent4 100_est. MEAT" xfId="23117" xr:uid="{00000000-0005-0000-0000-000056300000}"/>
    <cellStyle name="Akzent4 101" xfId="6805" xr:uid="{00000000-0005-0000-0000-000057300000}"/>
    <cellStyle name="Akzent4 101 2" xfId="16223" xr:uid="{00000000-0005-0000-0000-000058300000}"/>
    <cellStyle name="Akzent4 101_est. MEAT" xfId="23118" xr:uid="{00000000-0005-0000-0000-000059300000}"/>
    <cellStyle name="Akzent4 102" xfId="6806" xr:uid="{00000000-0005-0000-0000-00005A300000}"/>
    <cellStyle name="Akzent4 102 2" xfId="16224" xr:uid="{00000000-0005-0000-0000-00005B300000}"/>
    <cellStyle name="Akzent4 102_est. MEAT" xfId="23119" xr:uid="{00000000-0005-0000-0000-00005C300000}"/>
    <cellStyle name="Akzent4 103" xfId="6807" xr:uid="{00000000-0005-0000-0000-00005D300000}"/>
    <cellStyle name="Akzent4 103 2" xfId="16225" xr:uid="{00000000-0005-0000-0000-00005E300000}"/>
    <cellStyle name="Akzent4 103_est. MEAT" xfId="23120" xr:uid="{00000000-0005-0000-0000-00005F300000}"/>
    <cellStyle name="Akzent4 104" xfId="6808" xr:uid="{00000000-0005-0000-0000-000060300000}"/>
    <cellStyle name="Akzent4 104 2" xfId="16226" xr:uid="{00000000-0005-0000-0000-000061300000}"/>
    <cellStyle name="Akzent4 104_est. MEAT" xfId="23121" xr:uid="{00000000-0005-0000-0000-000062300000}"/>
    <cellStyle name="Akzent4 105" xfId="6809" xr:uid="{00000000-0005-0000-0000-000063300000}"/>
    <cellStyle name="Akzent4 105 2" xfId="16227" xr:uid="{00000000-0005-0000-0000-000064300000}"/>
    <cellStyle name="Akzent4 105_est. MEAT" xfId="23122" xr:uid="{00000000-0005-0000-0000-000065300000}"/>
    <cellStyle name="Akzent4 106" xfId="6810" xr:uid="{00000000-0005-0000-0000-000066300000}"/>
    <cellStyle name="Akzent4 106 2" xfId="16228" xr:uid="{00000000-0005-0000-0000-000067300000}"/>
    <cellStyle name="Akzent4 106_est. MEAT" xfId="23123" xr:uid="{00000000-0005-0000-0000-000068300000}"/>
    <cellStyle name="Akzent4 107" xfId="6811" xr:uid="{00000000-0005-0000-0000-000069300000}"/>
    <cellStyle name="Akzent4 107 2" xfId="16229" xr:uid="{00000000-0005-0000-0000-00006A300000}"/>
    <cellStyle name="Akzent4 107_est. MEAT" xfId="23124" xr:uid="{00000000-0005-0000-0000-00006B300000}"/>
    <cellStyle name="Akzent4 108" xfId="6812" xr:uid="{00000000-0005-0000-0000-00006C300000}"/>
    <cellStyle name="Akzent4 108 2" xfId="16230" xr:uid="{00000000-0005-0000-0000-00006D300000}"/>
    <cellStyle name="Akzent4 108_est. MEAT" xfId="23125" xr:uid="{00000000-0005-0000-0000-00006E300000}"/>
    <cellStyle name="Akzent4 109" xfId="6813" xr:uid="{00000000-0005-0000-0000-00006F300000}"/>
    <cellStyle name="Akzent4 109 2" xfId="16231" xr:uid="{00000000-0005-0000-0000-000070300000}"/>
    <cellStyle name="Akzent4 109_est. MEAT" xfId="23126" xr:uid="{00000000-0005-0000-0000-000071300000}"/>
    <cellStyle name="Akzent4 11" xfId="6814" xr:uid="{00000000-0005-0000-0000-000072300000}"/>
    <cellStyle name="Akzent4 11 2" xfId="6815" xr:uid="{00000000-0005-0000-0000-000073300000}"/>
    <cellStyle name="Akzent4 11 2 2" xfId="16233" xr:uid="{00000000-0005-0000-0000-000074300000}"/>
    <cellStyle name="Akzent4 11 2_est. MEAT" xfId="23127" xr:uid="{00000000-0005-0000-0000-000075300000}"/>
    <cellStyle name="Akzent4 11 3" xfId="16232" xr:uid="{00000000-0005-0000-0000-000076300000}"/>
    <cellStyle name="Akzent4 11_2012-2019" xfId="12364" xr:uid="{00000000-0005-0000-0000-000077300000}"/>
    <cellStyle name="Akzent4 110" xfId="6816" xr:uid="{00000000-0005-0000-0000-000078300000}"/>
    <cellStyle name="Akzent4 110 2" xfId="16234" xr:uid="{00000000-0005-0000-0000-000079300000}"/>
    <cellStyle name="Akzent4 110_est. MEAT" xfId="23128" xr:uid="{00000000-0005-0000-0000-00007A300000}"/>
    <cellStyle name="Akzent4 111" xfId="6817" xr:uid="{00000000-0005-0000-0000-00007B300000}"/>
    <cellStyle name="Akzent4 111 2" xfId="16235" xr:uid="{00000000-0005-0000-0000-00007C300000}"/>
    <cellStyle name="Akzent4 111_est. MEAT" xfId="23129" xr:uid="{00000000-0005-0000-0000-00007D300000}"/>
    <cellStyle name="Akzent4 112" xfId="6818" xr:uid="{00000000-0005-0000-0000-00007E300000}"/>
    <cellStyle name="Akzent4 112 2" xfId="16236" xr:uid="{00000000-0005-0000-0000-00007F300000}"/>
    <cellStyle name="Akzent4 112_est. MEAT" xfId="23130" xr:uid="{00000000-0005-0000-0000-000080300000}"/>
    <cellStyle name="Akzent4 113" xfId="6819" xr:uid="{00000000-0005-0000-0000-000081300000}"/>
    <cellStyle name="Akzent4 113 2" xfId="16237" xr:uid="{00000000-0005-0000-0000-000082300000}"/>
    <cellStyle name="Akzent4 113_est. MEAT" xfId="23131" xr:uid="{00000000-0005-0000-0000-000083300000}"/>
    <cellStyle name="Akzent4 114" xfId="6820" xr:uid="{00000000-0005-0000-0000-000084300000}"/>
    <cellStyle name="Akzent4 114 2" xfId="16238" xr:uid="{00000000-0005-0000-0000-000085300000}"/>
    <cellStyle name="Akzent4 114_est. MEAT" xfId="23132" xr:uid="{00000000-0005-0000-0000-000086300000}"/>
    <cellStyle name="Akzent4 115" xfId="6821" xr:uid="{00000000-0005-0000-0000-000087300000}"/>
    <cellStyle name="Akzent4 115 2" xfId="16239" xr:uid="{00000000-0005-0000-0000-000088300000}"/>
    <cellStyle name="Akzent4 115_est. MEAT" xfId="23133" xr:uid="{00000000-0005-0000-0000-000089300000}"/>
    <cellStyle name="Akzent4 116" xfId="6822" xr:uid="{00000000-0005-0000-0000-00008A300000}"/>
    <cellStyle name="Akzent4 116 2" xfId="16240" xr:uid="{00000000-0005-0000-0000-00008B300000}"/>
    <cellStyle name="Akzent4 116_est. MEAT" xfId="23134" xr:uid="{00000000-0005-0000-0000-00008C300000}"/>
    <cellStyle name="Akzent4 117" xfId="6823" xr:uid="{00000000-0005-0000-0000-00008D300000}"/>
    <cellStyle name="Akzent4 117 2" xfId="16241" xr:uid="{00000000-0005-0000-0000-00008E300000}"/>
    <cellStyle name="Akzent4 117_est. MEAT" xfId="23135" xr:uid="{00000000-0005-0000-0000-00008F300000}"/>
    <cellStyle name="Akzent4 118" xfId="6824" xr:uid="{00000000-0005-0000-0000-000090300000}"/>
    <cellStyle name="Akzent4 118 2" xfId="16242" xr:uid="{00000000-0005-0000-0000-000091300000}"/>
    <cellStyle name="Akzent4 118_est. MEAT" xfId="23136" xr:uid="{00000000-0005-0000-0000-000092300000}"/>
    <cellStyle name="Akzent4 119" xfId="6825" xr:uid="{00000000-0005-0000-0000-000093300000}"/>
    <cellStyle name="Akzent4 119 2" xfId="16243" xr:uid="{00000000-0005-0000-0000-000094300000}"/>
    <cellStyle name="Akzent4 119_est. MEAT" xfId="23137" xr:uid="{00000000-0005-0000-0000-000095300000}"/>
    <cellStyle name="Akzent4 12" xfId="6826" xr:uid="{00000000-0005-0000-0000-000096300000}"/>
    <cellStyle name="Akzent4 12 2" xfId="6827" xr:uid="{00000000-0005-0000-0000-000097300000}"/>
    <cellStyle name="Akzent4 12 2 2" xfId="16245" xr:uid="{00000000-0005-0000-0000-000098300000}"/>
    <cellStyle name="Akzent4 12 2_est. MEAT" xfId="23138" xr:uid="{00000000-0005-0000-0000-000099300000}"/>
    <cellStyle name="Akzent4 12 3" xfId="16244" xr:uid="{00000000-0005-0000-0000-00009A300000}"/>
    <cellStyle name="Akzent4 12_2012-2019" xfId="12365" xr:uid="{00000000-0005-0000-0000-00009B300000}"/>
    <cellStyle name="Akzent4 120" xfId="6828" xr:uid="{00000000-0005-0000-0000-00009C300000}"/>
    <cellStyle name="Akzent4 120 2" xfId="16246" xr:uid="{00000000-0005-0000-0000-00009D300000}"/>
    <cellStyle name="Akzent4 120_est. MEAT" xfId="23139" xr:uid="{00000000-0005-0000-0000-00009E300000}"/>
    <cellStyle name="Akzent4 121" xfId="6829" xr:uid="{00000000-0005-0000-0000-00009F300000}"/>
    <cellStyle name="Akzent4 121 2" xfId="16247" xr:uid="{00000000-0005-0000-0000-0000A0300000}"/>
    <cellStyle name="Akzent4 121_est. MEAT" xfId="23140" xr:uid="{00000000-0005-0000-0000-0000A1300000}"/>
    <cellStyle name="Akzent4 122" xfId="6830" xr:uid="{00000000-0005-0000-0000-0000A2300000}"/>
    <cellStyle name="Akzent4 122 2" xfId="16248" xr:uid="{00000000-0005-0000-0000-0000A3300000}"/>
    <cellStyle name="Akzent4 122_est. MEAT" xfId="23141" xr:uid="{00000000-0005-0000-0000-0000A4300000}"/>
    <cellStyle name="Akzent4 123" xfId="6831" xr:uid="{00000000-0005-0000-0000-0000A5300000}"/>
    <cellStyle name="Akzent4 123 2" xfId="16249" xr:uid="{00000000-0005-0000-0000-0000A6300000}"/>
    <cellStyle name="Akzent4 123_est. MEAT" xfId="23142" xr:uid="{00000000-0005-0000-0000-0000A7300000}"/>
    <cellStyle name="Akzent4 124" xfId="6832" xr:uid="{00000000-0005-0000-0000-0000A8300000}"/>
    <cellStyle name="Akzent4 124 2" xfId="16250" xr:uid="{00000000-0005-0000-0000-0000A9300000}"/>
    <cellStyle name="Akzent4 124_est. MEAT" xfId="23143" xr:uid="{00000000-0005-0000-0000-0000AA300000}"/>
    <cellStyle name="Akzent4 125" xfId="6833" xr:uid="{00000000-0005-0000-0000-0000AB300000}"/>
    <cellStyle name="Akzent4 125 2" xfId="16251" xr:uid="{00000000-0005-0000-0000-0000AC300000}"/>
    <cellStyle name="Akzent4 125_est. MEAT" xfId="23144" xr:uid="{00000000-0005-0000-0000-0000AD300000}"/>
    <cellStyle name="Akzent4 126" xfId="6834" xr:uid="{00000000-0005-0000-0000-0000AE300000}"/>
    <cellStyle name="Akzent4 126 2" xfId="16252" xr:uid="{00000000-0005-0000-0000-0000AF300000}"/>
    <cellStyle name="Akzent4 126_est. MEAT" xfId="23145" xr:uid="{00000000-0005-0000-0000-0000B0300000}"/>
    <cellStyle name="Akzent4 127" xfId="6835" xr:uid="{00000000-0005-0000-0000-0000B1300000}"/>
    <cellStyle name="Akzent4 127 2" xfId="16253" xr:uid="{00000000-0005-0000-0000-0000B2300000}"/>
    <cellStyle name="Akzent4 127_est. MEAT" xfId="23146" xr:uid="{00000000-0005-0000-0000-0000B3300000}"/>
    <cellStyle name="Akzent4 128" xfId="6836" xr:uid="{00000000-0005-0000-0000-0000B4300000}"/>
    <cellStyle name="Akzent4 128 2" xfId="16254" xr:uid="{00000000-0005-0000-0000-0000B5300000}"/>
    <cellStyle name="Akzent4 128_est. MEAT" xfId="23147" xr:uid="{00000000-0005-0000-0000-0000B6300000}"/>
    <cellStyle name="Akzent4 129" xfId="6837" xr:uid="{00000000-0005-0000-0000-0000B7300000}"/>
    <cellStyle name="Akzent4 129 2" xfId="16255" xr:uid="{00000000-0005-0000-0000-0000B8300000}"/>
    <cellStyle name="Akzent4 129_est. MEAT" xfId="23148" xr:uid="{00000000-0005-0000-0000-0000B9300000}"/>
    <cellStyle name="Akzent4 13" xfId="6838" xr:uid="{00000000-0005-0000-0000-0000BA300000}"/>
    <cellStyle name="Akzent4 13 2" xfId="6839" xr:uid="{00000000-0005-0000-0000-0000BB300000}"/>
    <cellStyle name="Akzent4 13 2 2" xfId="16257" xr:uid="{00000000-0005-0000-0000-0000BC300000}"/>
    <cellStyle name="Akzent4 13 2_est. MEAT" xfId="23149" xr:uid="{00000000-0005-0000-0000-0000BD300000}"/>
    <cellStyle name="Akzent4 13 3" xfId="16256" xr:uid="{00000000-0005-0000-0000-0000BE300000}"/>
    <cellStyle name="Akzent4 13_2012-2019" xfId="12366" xr:uid="{00000000-0005-0000-0000-0000BF300000}"/>
    <cellStyle name="Akzent4 130" xfId="6840" xr:uid="{00000000-0005-0000-0000-0000C0300000}"/>
    <cellStyle name="Akzent4 130 2" xfId="16258" xr:uid="{00000000-0005-0000-0000-0000C1300000}"/>
    <cellStyle name="Akzent4 130_est. MEAT" xfId="23150" xr:uid="{00000000-0005-0000-0000-0000C2300000}"/>
    <cellStyle name="Akzent4 131" xfId="6841" xr:uid="{00000000-0005-0000-0000-0000C3300000}"/>
    <cellStyle name="Akzent4 131 2" xfId="16259" xr:uid="{00000000-0005-0000-0000-0000C4300000}"/>
    <cellStyle name="Akzent4 131_est. MEAT" xfId="23151" xr:uid="{00000000-0005-0000-0000-0000C5300000}"/>
    <cellStyle name="Akzent4 132" xfId="6842" xr:uid="{00000000-0005-0000-0000-0000C6300000}"/>
    <cellStyle name="Akzent4 132 2" xfId="16260" xr:uid="{00000000-0005-0000-0000-0000C7300000}"/>
    <cellStyle name="Akzent4 132_est. MEAT" xfId="23152" xr:uid="{00000000-0005-0000-0000-0000C8300000}"/>
    <cellStyle name="Akzent4 133" xfId="6843" xr:uid="{00000000-0005-0000-0000-0000C9300000}"/>
    <cellStyle name="Akzent4 133 2" xfId="16261" xr:uid="{00000000-0005-0000-0000-0000CA300000}"/>
    <cellStyle name="Akzent4 133_est. MEAT" xfId="23153" xr:uid="{00000000-0005-0000-0000-0000CB300000}"/>
    <cellStyle name="Akzent4 134" xfId="6844" xr:uid="{00000000-0005-0000-0000-0000CC300000}"/>
    <cellStyle name="Akzent4 134 2" xfId="16262" xr:uid="{00000000-0005-0000-0000-0000CD300000}"/>
    <cellStyle name="Akzent4 134_est. MEAT" xfId="23154" xr:uid="{00000000-0005-0000-0000-0000CE300000}"/>
    <cellStyle name="Akzent4 135" xfId="6845" xr:uid="{00000000-0005-0000-0000-0000CF300000}"/>
    <cellStyle name="Akzent4 135 2" xfId="16263" xr:uid="{00000000-0005-0000-0000-0000D0300000}"/>
    <cellStyle name="Akzent4 135_est. MEAT" xfId="23155" xr:uid="{00000000-0005-0000-0000-0000D1300000}"/>
    <cellStyle name="Akzent4 136" xfId="6846" xr:uid="{00000000-0005-0000-0000-0000D2300000}"/>
    <cellStyle name="Akzent4 136 2" xfId="16264" xr:uid="{00000000-0005-0000-0000-0000D3300000}"/>
    <cellStyle name="Akzent4 136_est. MEAT" xfId="23156" xr:uid="{00000000-0005-0000-0000-0000D4300000}"/>
    <cellStyle name="Akzent4 137" xfId="6847" xr:uid="{00000000-0005-0000-0000-0000D5300000}"/>
    <cellStyle name="Akzent4 137 2" xfId="16265" xr:uid="{00000000-0005-0000-0000-0000D6300000}"/>
    <cellStyle name="Akzent4 137_est. MEAT" xfId="23157" xr:uid="{00000000-0005-0000-0000-0000D7300000}"/>
    <cellStyle name="Akzent4 138" xfId="6848" xr:uid="{00000000-0005-0000-0000-0000D8300000}"/>
    <cellStyle name="Akzent4 138 2" xfId="16266" xr:uid="{00000000-0005-0000-0000-0000D9300000}"/>
    <cellStyle name="Akzent4 138_est. MEAT" xfId="23158" xr:uid="{00000000-0005-0000-0000-0000DA300000}"/>
    <cellStyle name="Akzent4 139" xfId="6849" xr:uid="{00000000-0005-0000-0000-0000DB300000}"/>
    <cellStyle name="Akzent4 139 2" xfId="16267" xr:uid="{00000000-0005-0000-0000-0000DC300000}"/>
    <cellStyle name="Akzent4 139_est. MEAT" xfId="23159" xr:uid="{00000000-0005-0000-0000-0000DD300000}"/>
    <cellStyle name="Akzent4 14" xfId="6850" xr:uid="{00000000-0005-0000-0000-0000DE300000}"/>
    <cellStyle name="Akzent4 14 2" xfId="6851" xr:uid="{00000000-0005-0000-0000-0000DF300000}"/>
    <cellStyle name="Akzent4 14 2 2" xfId="16269" xr:uid="{00000000-0005-0000-0000-0000E0300000}"/>
    <cellStyle name="Akzent4 14 2_est. MEAT" xfId="23160" xr:uid="{00000000-0005-0000-0000-0000E1300000}"/>
    <cellStyle name="Akzent4 14 3" xfId="16268" xr:uid="{00000000-0005-0000-0000-0000E2300000}"/>
    <cellStyle name="Akzent4 14_2012-2019" xfId="12367" xr:uid="{00000000-0005-0000-0000-0000E3300000}"/>
    <cellStyle name="Akzent4 140" xfId="6852" xr:uid="{00000000-0005-0000-0000-0000E4300000}"/>
    <cellStyle name="Akzent4 140 2" xfId="16270" xr:uid="{00000000-0005-0000-0000-0000E5300000}"/>
    <cellStyle name="Akzent4 140_est. MEAT" xfId="23161" xr:uid="{00000000-0005-0000-0000-0000E6300000}"/>
    <cellStyle name="Akzent4 141" xfId="6853" xr:uid="{00000000-0005-0000-0000-0000E7300000}"/>
    <cellStyle name="Akzent4 141 2" xfId="16271" xr:uid="{00000000-0005-0000-0000-0000E8300000}"/>
    <cellStyle name="Akzent4 141_est. MEAT" xfId="23162" xr:uid="{00000000-0005-0000-0000-0000E9300000}"/>
    <cellStyle name="Akzent4 142" xfId="6854" xr:uid="{00000000-0005-0000-0000-0000EA300000}"/>
    <cellStyle name="Akzent4 142 2" xfId="16272" xr:uid="{00000000-0005-0000-0000-0000EB300000}"/>
    <cellStyle name="Akzent4 142_est. MEAT" xfId="23163" xr:uid="{00000000-0005-0000-0000-0000EC300000}"/>
    <cellStyle name="Akzent4 143" xfId="6855" xr:uid="{00000000-0005-0000-0000-0000ED300000}"/>
    <cellStyle name="Akzent4 143 2" xfId="16273" xr:uid="{00000000-0005-0000-0000-0000EE300000}"/>
    <cellStyle name="Akzent4 143_est. MEAT" xfId="23164" xr:uid="{00000000-0005-0000-0000-0000EF300000}"/>
    <cellStyle name="Akzent4 144" xfId="6856" xr:uid="{00000000-0005-0000-0000-0000F0300000}"/>
    <cellStyle name="Akzent4 144 2" xfId="16274" xr:uid="{00000000-0005-0000-0000-0000F1300000}"/>
    <cellStyle name="Akzent4 144_est. MEAT" xfId="23165" xr:uid="{00000000-0005-0000-0000-0000F2300000}"/>
    <cellStyle name="Akzent4 145" xfId="6857" xr:uid="{00000000-0005-0000-0000-0000F3300000}"/>
    <cellStyle name="Akzent4 145 2" xfId="16275" xr:uid="{00000000-0005-0000-0000-0000F4300000}"/>
    <cellStyle name="Akzent4 145_est. MEAT" xfId="23166" xr:uid="{00000000-0005-0000-0000-0000F5300000}"/>
    <cellStyle name="Akzent4 146" xfId="6858" xr:uid="{00000000-0005-0000-0000-0000F6300000}"/>
    <cellStyle name="Akzent4 146 2" xfId="16276" xr:uid="{00000000-0005-0000-0000-0000F7300000}"/>
    <cellStyle name="Akzent4 146_est. MEAT" xfId="23167" xr:uid="{00000000-0005-0000-0000-0000F8300000}"/>
    <cellStyle name="Akzent4 147" xfId="6859" xr:uid="{00000000-0005-0000-0000-0000F9300000}"/>
    <cellStyle name="Akzent4 147 2" xfId="16277" xr:uid="{00000000-0005-0000-0000-0000FA300000}"/>
    <cellStyle name="Akzent4 147_est. MEAT" xfId="23168" xr:uid="{00000000-0005-0000-0000-0000FB300000}"/>
    <cellStyle name="Akzent4 148" xfId="6860" xr:uid="{00000000-0005-0000-0000-0000FC300000}"/>
    <cellStyle name="Akzent4 148 2" xfId="16278" xr:uid="{00000000-0005-0000-0000-0000FD300000}"/>
    <cellStyle name="Akzent4 148_est. MEAT" xfId="23169" xr:uid="{00000000-0005-0000-0000-0000FE300000}"/>
    <cellStyle name="Akzent4 149" xfId="6861" xr:uid="{00000000-0005-0000-0000-0000FF300000}"/>
    <cellStyle name="Akzent4 149 2" xfId="16279" xr:uid="{00000000-0005-0000-0000-000000310000}"/>
    <cellStyle name="Akzent4 149_est. MEAT" xfId="23170" xr:uid="{00000000-0005-0000-0000-000001310000}"/>
    <cellStyle name="Akzent4 15" xfId="6862" xr:uid="{00000000-0005-0000-0000-000002310000}"/>
    <cellStyle name="Akzent4 15 2" xfId="16280" xr:uid="{00000000-0005-0000-0000-000003310000}"/>
    <cellStyle name="Akzent4 15_est. MEAT" xfId="23171" xr:uid="{00000000-0005-0000-0000-000004310000}"/>
    <cellStyle name="Akzent4 150" xfId="6863" xr:uid="{00000000-0005-0000-0000-000005310000}"/>
    <cellStyle name="Akzent4 150 2" xfId="16281" xr:uid="{00000000-0005-0000-0000-000006310000}"/>
    <cellStyle name="Akzent4 150_est. MEAT" xfId="23172" xr:uid="{00000000-0005-0000-0000-000007310000}"/>
    <cellStyle name="Akzent4 151" xfId="6864" xr:uid="{00000000-0005-0000-0000-000008310000}"/>
    <cellStyle name="Akzent4 151 2" xfId="16282" xr:uid="{00000000-0005-0000-0000-000009310000}"/>
    <cellStyle name="Akzent4 151_est. MEAT" xfId="23173" xr:uid="{00000000-0005-0000-0000-00000A310000}"/>
    <cellStyle name="Akzent4 152" xfId="16219" xr:uid="{00000000-0005-0000-0000-00000B310000}"/>
    <cellStyle name="Akzent4 16" xfId="6865" xr:uid="{00000000-0005-0000-0000-00000C310000}"/>
    <cellStyle name="Akzent4 16 2" xfId="16283" xr:uid="{00000000-0005-0000-0000-00000D310000}"/>
    <cellStyle name="Akzent4 16_est. MEAT" xfId="23174" xr:uid="{00000000-0005-0000-0000-00000E310000}"/>
    <cellStyle name="Akzent4 17" xfId="6866" xr:uid="{00000000-0005-0000-0000-00000F310000}"/>
    <cellStyle name="Akzent4 17 2" xfId="16284" xr:uid="{00000000-0005-0000-0000-000010310000}"/>
    <cellStyle name="Akzent4 17_est. MEAT" xfId="23175" xr:uid="{00000000-0005-0000-0000-000011310000}"/>
    <cellStyle name="Akzent4 18" xfId="6867" xr:uid="{00000000-0005-0000-0000-000012310000}"/>
    <cellStyle name="Akzent4 18 2" xfId="16285" xr:uid="{00000000-0005-0000-0000-000013310000}"/>
    <cellStyle name="Akzent4 18_est. MEAT" xfId="23176" xr:uid="{00000000-0005-0000-0000-000014310000}"/>
    <cellStyle name="Akzent4 19" xfId="6868" xr:uid="{00000000-0005-0000-0000-000015310000}"/>
    <cellStyle name="Akzent4 19 2" xfId="16286" xr:uid="{00000000-0005-0000-0000-000016310000}"/>
    <cellStyle name="Akzent4 19_est. MEAT" xfId="23177" xr:uid="{00000000-0005-0000-0000-000017310000}"/>
    <cellStyle name="Akzent4 2" xfId="6869" xr:uid="{00000000-0005-0000-0000-000018310000}"/>
    <cellStyle name="Akzent4 2 2" xfId="6870" xr:uid="{00000000-0005-0000-0000-000019310000}"/>
    <cellStyle name="Akzent4 2 2 2" xfId="16288" xr:uid="{00000000-0005-0000-0000-00001A310000}"/>
    <cellStyle name="Akzent4 2 2_est. MEAT" xfId="23178" xr:uid="{00000000-0005-0000-0000-00001B310000}"/>
    <cellStyle name="Akzent4 2 3" xfId="16287" xr:uid="{00000000-0005-0000-0000-00001C310000}"/>
    <cellStyle name="Akzent4 2_2012-2019" xfId="12368" xr:uid="{00000000-0005-0000-0000-00001D310000}"/>
    <cellStyle name="Akzent4 20" xfId="6871" xr:uid="{00000000-0005-0000-0000-00001E310000}"/>
    <cellStyle name="Akzent4 20 2" xfId="16289" xr:uid="{00000000-0005-0000-0000-00001F310000}"/>
    <cellStyle name="Akzent4 20_est. MEAT" xfId="23179" xr:uid="{00000000-0005-0000-0000-000020310000}"/>
    <cellStyle name="Akzent4 21" xfId="6872" xr:uid="{00000000-0005-0000-0000-000021310000}"/>
    <cellStyle name="Akzent4 21 2" xfId="16290" xr:uid="{00000000-0005-0000-0000-000022310000}"/>
    <cellStyle name="Akzent4 21_est. MEAT" xfId="23180" xr:uid="{00000000-0005-0000-0000-000023310000}"/>
    <cellStyle name="Akzent4 22" xfId="6873" xr:uid="{00000000-0005-0000-0000-000024310000}"/>
    <cellStyle name="Akzent4 22 2" xfId="16291" xr:uid="{00000000-0005-0000-0000-000025310000}"/>
    <cellStyle name="Akzent4 22_est. MEAT" xfId="23181" xr:uid="{00000000-0005-0000-0000-000026310000}"/>
    <cellStyle name="Akzent4 23" xfId="6874" xr:uid="{00000000-0005-0000-0000-000027310000}"/>
    <cellStyle name="Akzent4 23 2" xfId="16292" xr:uid="{00000000-0005-0000-0000-000028310000}"/>
    <cellStyle name="Akzent4 23_est. MEAT" xfId="23182" xr:uid="{00000000-0005-0000-0000-000029310000}"/>
    <cellStyle name="Akzent4 24" xfId="6875" xr:uid="{00000000-0005-0000-0000-00002A310000}"/>
    <cellStyle name="Akzent4 24 2" xfId="16293" xr:uid="{00000000-0005-0000-0000-00002B310000}"/>
    <cellStyle name="Akzent4 24_est. MEAT" xfId="23183" xr:uid="{00000000-0005-0000-0000-00002C310000}"/>
    <cellStyle name="Akzent4 25" xfId="6876" xr:uid="{00000000-0005-0000-0000-00002D310000}"/>
    <cellStyle name="Akzent4 25 2" xfId="16294" xr:uid="{00000000-0005-0000-0000-00002E310000}"/>
    <cellStyle name="Akzent4 25_est. MEAT" xfId="23184" xr:uid="{00000000-0005-0000-0000-00002F310000}"/>
    <cellStyle name="Akzent4 26" xfId="6877" xr:uid="{00000000-0005-0000-0000-000030310000}"/>
    <cellStyle name="Akzent4 26 2" xfId="16295" xr:uid="{00000000-0005-0000-0000-000031310000}"/>
    <cellStyle name="Akzent4 26_est. MEAT" xfId="23185" xr:uid="{00000000-0005-0000-0000-000032310000}"/>
    <cellStyle name="Akzent4 27" xfId="6878" xr:uid="{00000000-0005-0000-0000-000033310000}"/>
    <cellStyle name="Akzent4 27 2" xfId="16296" xr:uid="{00000000-0005-0000-0000-000034310000}"/>
    <cellStyle name="Akzent4 27_est. MEAT" xfId="23186" xr:uid="{00000000-0005-0000-0000-000035310000}"/>
    <cellStyle name="Akzent4 28" xfId="6879" xr:uid="{00000000-0005-0000-0000-000036310000}"/>
    <cellStyle name="Akzent4 28 2" xfId="16297" xr:uid="{00000000-0005-0000-0000-000037310000}"/>
    <cellStyle name="Akzent4 28_est. MEAT" xfId="23187" xr:uid="{00000000-0005-0000-0000-000038310000}"/>
    <cellStyle name="Akzent4 29" xfId="6880" xr:uid="{00000000-0005-0000-0000-000039310000}"/>
    <cellStyle name="Akzent4 29 2" xfId="16298" xr:uid="{00000000-0005-0000-0000-00003A310000}"/>
    <cellStyle name="Akzent4 29_est. MEAT" xfId="23188" xr:uid="{00000000-0005-0000-0000-00003B310000}"/>
    <cellStyle name="Akzent4 3" xfId="6881" xr:uid="{00000000-0005-0000-0000-00003C310000}"/>
    <cellStyle name="Akzent4 3 2" xfId="6882" xr:uid="{00000000-0005-0000-0000-00003D310000}"/>
    <cellStyle name="Akzent4 3 2 2" xfId="16300" xr:uid="{00000000-0005-0000-0000-00003E310000}"/>
    <cellStyle name="Akzent4 3 2_est. MEAT" xfId="23189" xr:uid="{00000000-0005-0000-0000-00003F310000}"/>
    <cellStyle name="Akzent4 3 3" xfId="16299" xr:uid="{00000000-0005-0000-0000-000040310000}"/>
    <cellStyle name="Akzent4 3_2012-2019" xfId="12369" xr:uid="{00000000-0005-0000-0000-000041310000}"/>
    <cellStyle name="Akzent4 30" xfId="6883" xr:uid="{00000000-0005-0000-0000-000042310000}"/>
    <cellStyle name="Akzent4 30 2" xfId="16301" xr:uid="{00000000-0005-0000-0000-000043310000}"/>
    <cellStyle name="Akzent4 30_est. MEAT" xfId="23190" xr:uid="{00000000-0005-0000-0000-000044310000}"/>
    <cellStyle name="Akzent4 31" xfId="6884" xr:uid="{00000000-0005-0000-0000-000045310000}"/>
    <cellStyle name="Akzent4 31 2" xfId="16302" xr:uid="{00000000-0005-0000-0000-000046310000}"/>
    <cellStyle name="Akzent4 31_est. MEAT" xfId="23191" xr:uid="{00000000-0005-0000-0000-000047310000}"/>
    <cellStyle name="Akzent4 32" xfId="6885" xr:uid="{00000000-0005-0000-0000-000048310000}"/>
    <cellStyle name="Akzent4 32 2" xfId="16303" xr:uid="{00000000-0005-0000-0000-000049310000}"/>
    <cellStyle name="Akzent4 32_est. MEAT" xfId="23192" xr:uid="{00000000-0005-0000-0000-00004A310000}"/>
    <cellStyle name="Akzent4 33" xfId="6886" xr:uid="{00000000-0005-0000-0000-00004B310000}"/>
    <cellStyle name="Akzent4 33 2" xfId="16304" xr:uid="{00000000-0005-0000-0000-00004C310000}"/>
    <cellStyle name="Akzent4 33_est. MEAT" xfId="23193" xr:uid="{00000000-0005-0000-0000-00004D310000}"/>
    <cellStyle name="Akzent4 34" xfId="6887" xr:uid="{00000000-0005-0000-0000-00004E310000}"/>
    <cellStyle name="Akzent4 34 2" xfId="16305" xr:uid="{00000000-0005-0000-0000-00004F310000}"/>
    <cellStyle name="Akzent4 34_est. MEAT" xfId="23194" xr:uid="{00000000-0005-0000-0000-000050310000}"/>
    <cellStyle name="Akzent4 35" xfId="6888" xr:uid="{00000000-0005-0000-0000-000051310000}"/>
    <cellStyle name="Akzent4 35 2" xfId="16306" xr:uid="{00000000-0005-0000-0000-000052310000}"/>
    <cellStyle name="Akzent4 35_est. MEAT" xfId="23195" xr:uid="{00000000-0005-0000-0000-000053310000}"/>
    <cellStyle name="Akzent4 36" xfId="6889" xr:uid="{00000000-0005-0000-0000-000054310000}"/>
    <cellStyle name="Akzent4 36 2" xfId="16307" xr:uid="{00000000-0005-0000-0000-000055310000}"/>
    <cellStyle name="Akzent4 36_est. MEAT" xfId="23196" xr:uid="{00000000-0005-0000-0000-000056310000}"/>
    <cellStyle name="Akzent4 37" xfId="6890" xr:uid="{00000000-0005-0000-0000-000057310000}"/>
    <cellStyle name="Akzent4 37 2" xfId="16308" xr:uid="{00000000-0005-0000-0000-000058310000}"/>
    <cellStyle name="Akzent4 37_est. MEAT" xfId="23197" xr:uid="{00000000-0005-0000-0000-000059310000}"/>
    <cellStyle name="Akzent4 38" xfId="6891" xr:uid="{00000000-0005-0000-0000-00005A310000}"/>
    <cellStyle name="Akzent4 38 2" xfId="16309" xr:uid="{00000000-0005-0000-0000-00005B310000}"/>
    <cellStyle name="Akzent4 38_est. MEAT" xfId="23198" xr:uid="{00000000-0005-0000-0000-00005C310000}"/>
    <cellStyle name="Akzent4 39" xfId="6892" xr:uid="{00000000-0005-0000-0000-00005D310000}"/>
    <cellStyle name="Akzent4 39 2" xfId="16310" xr:uid="{00000000-0005-0000-0000-00005E310000}"/>
    <cellStyle name="Akzent4 39_est. MEAT" xfId="23199" xr:uid="{00000000-0005-0000-0000-00005F310000}"/>
    <cellStyle name="Akzent4 4" xfId="6893" xr:uid="{00000000-0005-0000-0000-000060310000}"/>
    <cellStyle name="Akzent4 4 2" xfId="6894" xr:uid="{00000000-0005-0000-0000-000061310000}"/>
    <cellStyle name="Akzent4 4 2 2" xfId="16312" xr:uid="{00000000-0005-0000-0000-000062310000}"/>
    <cellStyle name="Akzent4 4 2_est. MEAT" xfId="23200" xr:uid="{00000000-0005-0000-0000-000063310000}"/>
    <cellStyle name="Akzent4 4 3" xfId="16311" xr:uid="{00000000-0005-0000-0000-000064310000}"/>
    <cellStyle name="Akzent4 4_2012-2019" xfId="12370" xr:uid="{00000000-0005-0000-0000-000065310000}"/>
    <cellStyle name="Akzent4 40" xfId="6895" xr:uid="{00000000-0005-0000-0000-000066310000}"/>
    <cellStyle name="Akzent4 40 2" xfId="16313" xr:uid="{00000000-0005-0000-0000-000067310000}"/>
    <cellStyle name="Akzent4 40_est. MEAT" xfId="23201" xr:uid="{00000000-0005-0000-0000-000068310000}"/>
    <cellStyle name="Akzent4 41" xfId="6896" xr:uid="{00000000-0005-0000-0000-000069310000}"/>
    <cellStyle name="Akzent4 41 2" xfId="16314" xr:uid="{00000000-0005-0000-0000-00006A310000}"/>
    <cellStyle name="Akzent4 41_est. MEAT" xfId="23202" xr:uid="{00000000-0005-0000-0000-00006B310000}"/>
    <cellStyle name="Akzent4 42" xfId="6897" xr:uid="{00000000-0005-0000-0000-00006C310000}"/>
    <cellStyle name="Akzent4 42 2" xfId="16315" xr:uid="{00000000-0005-0000-0000-00006D310000}"/>
    <cellStyle name="Akzent4 42_est. MEAT" xfId="23203" xr:uid="{00000000-0005-0000-0000-00006E310000}"/>
    <cellStyle name="Akzent4 43" xfId="6898" xr:uid="{00000000-0005-0000-0000-00006F310000}"/>
    <cellStyle name="Akzent4 43 2" xfId="16316" xr:uid="{00000000-0005-0000-0000-000070310000}"/>
    <cellStyle name="Akzent4 43_est. MEAT" xfId="23204" xr:uid="{00000000-0005-0000-0000-000071310000}"/>
    <cellStyle name="Akzent4 44" xfId="6899" xr:uid="{00000000-0005-0000-0000-000072310000}"/>
    <cellStyle name="Akzent4 44 2" xfId="16317" xr:uid="{00000000-0005-0000-0000-000073310000}"/>
    <cellStyle name="Akzent4 44_est. MEAT" xfId="23205" xr:uid="{00000000-0005-0000-0000-000074310000}"/>
    <cellStyle name="Akzent4 45" xfId="6900" xr:uid="{00000000-0005-0000-0000-000075310000}"/>
    <cellStyle name="Akzent4 45 2" xfId="16318" xr:uid="{00000000-0005-0000-0000-000076310000}"/>
    <cellStyle name="Akzent4 45_est. MEAT" xfId="23206" xr:uid="{00000000-0005-0000-0000-000077310000}"/>
    <cellStyle name="Akzent4 46" xfId="6901" xr:uid="{00000000-0005-0000-0000-000078310000}"/>
    <cellStyle name="Akzent4 46 2" xfId="16319" xr:uid="{00000000-0005-0000-0000-000079310000}"/>
    <cellStyle name="Akzent4 46_est. MEAT" xfId="23207" xr:uid="{00000000-0005-0000-0000-00007A310000}"/>
    <cellStyle name="Akzent4 47" xfId="6902" xr:uid="{00000000-0005-0000-0000-00007B310000}"/>
    <cellStyle name="Akzent4 47 2" xfId="16320" xr:uid="{00000000-0005-0000-0000-00007C310000}"/>
    <cellStyle name="Akzent4 47_est. MEAT" xfId="23208" xr:uid="{00000000-0005-0000-0000-00007D310000}"/>
    <cellStyle name="Akzent4 48" xfId="6903" xr:uid="{00000000-0005-0000-0000-00007E310000}"/>
    <cellStyle name="Akzent4 48 2" xfId="16321" xr:uid="{00000000-0005-0000-0000-00007F310000}"/>
    <cellStyle name="Akzent4 48_est. MEAT" xfId="23209" xr:uid="{00000000-0005-0000-0000-000080310000}"/>
    <cellStyle name="Akzent4 49" xfId="6904" xr:uid="{00000000-0005-0000-0000-000081310000}"/>
    <cellStyle name="Akzent4 49 2" xfId="16322" xr:uid="{00000000-0005-0000-0000-000082310000}"/>
    <cellStyle name="Akzent4 49_est. MEAT" xfId="23210" xr:uid="{00000000-0005-0000-0000-000083310000}"/>
    <cellStyle name="Akzent4 5" xfId="6905" xr:uid="{00000000-0005-0000-0000-000084310000}"/>
    <cellStyle name="Akzent4 5 2" xfId="6906" xr:uid="{00000000-0005-0000-0000-000085310000}"/>
    <cellStyle name="Akzent4 5 2 2" xfId="16324" xr:uid="{00000000-0005-0000-0000-000086310000}"/>
    <cellStyle name="Akzent4 5 2_est. MEAT" xfId="23211" xr:uid="{00000000-0005-0000-0000-000087310000}"/>
    <cellStyle name="Akzent4 5 3" xfId="16323" xr:uid="{00000000-0005-0000-0000-000088310000}"/>
    <cellStyle name="Akzent4 5_2012-2019" xfId="12371" xr:uid="{00000000-0005-0000-0000-000089310000}"/>
    <cellStyle name="Akzent4 50" xfId="6907" xr:uid="{00000000-0005-0000-0000-00008A310000}"/>
    <cellStyle name="Akzent4 50 2" xfId="16325" xr:uid="{00000000-0005-0000-0000-00008B310000}"/>
    <cellStyle name="Akzent4 50_est. MEAT" xfId="23212" xr:uid="{00000000-0005-0000-0000-00008C310000}"/>
    <cellStyle name="Akzent4 51" xfId="6908" xr:uid="{00000000-0005-0000-0000-00008D310000}"/>
    <cellStyle name="Akzent4 51 2" xfId="16326" xr:uid="{00000000-0005-0000-0000-00008E310000}"/>
    <cellStyle name="Akzent4 51_est. MEAT" xfId="23213" xr:uid="{00000000-0005-0000-0000-00008F310000}"/>
    <cellStyle name="Akzent4 52" xfId="6909" xr:uid="{00000000-0005-0000-0000-000090310000}"/>
    <cellStyle name="Akzent4 52 2" xfId="16327" xr:uid="{00000000-0005-0000-0000-000091310000}"/>
    <cellStyle name="Akzent4 52_est. MEAT" xfId="23214" xr:uid="{00000000-0005-0000-0000-000092310000}"/>
    <cellStyle name="Akzent4 53" xfId="6910" xr:uid="{00000000-0005-0000-0000-000093310000}"/>
    <cellStyle name="Akzent4 53 2" xfId="16328" xr:uid="{00000000-0005-0000-0000-000094310000}"/>
    <cellStyle name="Akzent4 53_est. MEAT" xfId="23215" xr:uid="{00000000-0005-0000-0000-000095310000}"/>
    <cellStyle name="Akzent4 54" xfId="6911" xr:uid="{00000000-0005-0000-0000-000096310000}"/>
    <cellStyle name="Akzent4 54 2" xfId="16329" xr:uid="{00000000-0005-0000-0000-000097310000}"/>
    <cellStyle name="Akzent4 54_est. MEAT" xfId="23216" xr:uid="{00000000-0005-0000-0000-000098310000}"/>
    <cellStyle name="Akzent4 55" xfId="6912" xr:uid="{00000000-0005-0000-0000-000099310000}"/>
    <cellStyle name="Akzent4 55 2" xfId="16330" xr:uid="{00000000-0005-0000-0000-00009A310000}"/>
    <cellStyle name="Akzent4 55_est. MEAT" xfId="23217" xr:uid="{00000000-0005-0000-0000-00009B310000}"/>
    <cellStyle name="Akzent4 56" xfId="6913" xr:uid="{00000000-0005-0000-0000-00009C310000}"/>
    <cellStyle name="Akzent4 56 2" xfId="16331" xr:uid="{00000000-0005-0000-0000-00009D310000}"/>
    <cellStyle name="Akzent4 56_est. MEAT" xfId="23218" xr:uid="{00000000-0005-0000-0000-00009E310000}"/>
    <cellStyle name="Akzent4 57" xfId="6914" xr:uid="{00000000-0005-0000-0000-00009F310000}"/>
    <cellStyle name="Akzent4 57 2" xfId="16332" xr:uid="{00000000-0005-0000-0000-0000A0310000}"/>
    <cellStyle name="Akzent4 57_est. MEAT" xfId="23219" xr:uid="{00000000-0005-0000-0000-0000A1310000}"/>
    <cellStyle name="Akzent4 58" xfId="6915" xr:uid="{00000000-0005-0000-0000-0000A2310000}"/>
    <cellStyle name="Akzent4 58 2" xfId="16333" xr:uid="{00000000-0005-0000-0000-0000A3310000}"/>
    <cellStyle name="Akzent4 58_est. MEAT" xfId="23220" xr:uid="{00000000-0005-0000-0000-0000A4310000}"/>
    <cellStyle name="Akzent4 59" xfId="6916" xr:uid="{00000000-0005-0000-0000-0000A5310000}"/>
    <cellStyle name="Akzent4 59 2" xfId="16334" xr:uid="{00000000-0005-0000-0000-0000A6310000}"/>
    <cellStyle name="Akzent4 59_est. MEAT" xfId="23221" xr:uid="{00000000-0005-0000-0000-0000A7310000}"/>
    <cellStyle name="Akzent4 6" xfId="6917" xr:uid="{00000000-0005-0000-0000-0000A8310000}"/>
    <cellStyle name="Akzent4 6 2" xfId="6918" xr:uid="{00000000-0005-0000-0000-0000A9310000}"/>
    <cellStyle name="Akzent4 6 2 2" xfId="16336" xr:uid="{00000000-0005-0000-0000-0000AA310000}"/>
    <cellStyle name="Akzent4 6 2_est. MEAT" xfId="23222" xr:uid="{00000000-0005-0000-0000-0000AB310000}"/>
    <cellStyle name="Akzent4 6 3" xfId="16335" xr:uid="{00000000-0005-0000-0000-0000AC310000}"/>
    <cellStyle name="Akzent4 6_2012-2019" xfId="12372" xr:uid="{00000000-0005-0000-0000-0000AD310000}"/>
    <cellStyle name="Akzent4 60" xfId="6919" xr:uid="{00000000-0005-0000-0000-0000AE310000}"/>
    <cellStyle name="Akzent4 60 2" xfId="16337" xr:uid="{00000000-0005-0000-0000-0000AF310000}"/>
    <cellStyle name="Akzent4 60_est. MEAT" xfId="23223" xr:uid="{00000000-0005-0000-0000-0000B0310000}"/>
    <cellStyle name="Akzent4 61" xfId="6920" xr:uid="{00000000-0005-0000-0000-0000B1310000}"/>
    <cellStyle name="Akzent4 61 2" xfId="16338" xr:uid="{00000000-0005-0000-0000-0000B2310000}"/>
    <cellStyle name="Akzent4 61_est. MEAT" xfId="23224" xr:uid="{00000000-0005-0000-0000-0000B3310000}"/>
    <cellStyle name="Akzent4 62" xfId="6921" xr:uid="{00000000-0005-0000-0000-0000B4310000}"/>
    <cellStyle name="Akzent4 62 2" xfId="16339" xr:uid="{00000000-0005-0000-0000-0000B5310000}"/>
    <cellStyle name="Akzent4 62_est. MEAT" xfId="23225" xr:uid="{00000000-0005-0000-0000-0000B6310000}"/>
    <cellStyle name="Akzent4 63" xfId="6922" xr:uid="{00000000-0005-0000-0000-0000B7310000}"/>
    <cellStyle name="Akzent4 63 2" xfId="16340" xr:uid="{00000000-0005-0000-0000-0000B8310000}"/>
    <cellStyle name="Akzent4 63_est. MEAT" xfId="23226" xr:uid="{00000000-0005-0000-0000-0000B9310000}"/>
    <cellStyle name="Akzent4 64" xfId="6923" xr:uid="{00000000-0005-0000-0000-0000BA310000}"/>
    <cellStyle name="Akzent4 64 2" xfId="16341" xr:uid="{00000000-0005-0000-0000-0000BB310000}"/>
    <cellStyle name="Akzent4 64_est. MEAT" xfId="23227" xr:uid="{00000000-0005-0000-0000-0000BC310000}"/>
    <cellStyle name="Akzent4 65" xfId="6924" xr:uid="{00000000-0005-0000-0000-0000BD310000}"/>
    <cellStyle name="Akzent4 65 2" xfId="16342" xr:uid="{00000000-0005-0000-0000-0000BE310000}"/>
    <cellStyle name="Akzent4 65_est. MEAT" xfId="23228" xr:uid="{00000000-0005-0000-0000-0000BF310000}"/>
    <cellStyle name="Akzent4 66" xfId="6925" xr:uid="{00000000-0005-0000-0000-0000C0310000}"/>
    <cellStyle name="Akzent4 66 2" xfId="16343" xr:uid="{00000000-0005-0000-0000-0000C1310000}"/>
    <cellStyle name="Akzent4 66_est. MEAT" xfId="23229" xr:uid="{00000000-0005-0000-0000-0000C2310000}"/>
    <cellStyle name="Akzent4 67" xfId="6926" xr:uid="{00000000-0005-0000-0000-0000C3310000}"/>
    <cellStyle name="Akzent4 67 2" xfId="16344" xr:uid="{00000000-0005-0000-0000-0000C4310000}"/>
    <cellStyle name="Akzent4 67_est. MEAT" xfId="23230" xr:uid="{00000000-0005-0000-0000-0000C5310000}"/>
    <cellStyle name="Akzent4 68" xfId="6927" xr:uid="{00000000-0005-0000-0000-0000C6310000}"/>
    <cellStyle name="Akzent4 68 2" xfId="16345" xr:uid="{00000000-0005-0000-0000-0000C7310000}"/>
    <cellStyle name="Akzent4 68_est. MEAT" xfId="23231" xr:uid="{00000000-0005-0000-0000-0000C8310000}"/>
    <cellStyle name="Akzent4 69" xfId="6928" xr:uid="{00000000-0005-0000-0000-0000C9310000}"/>
    <cellStyle name="Akzent4 69 2" xfId="16346" xr:uid="{00000000-0005-0000-0000-0000CA310000}"/>
    <cellStyle name="Akzent4 69_est. MEAT" xfId="23232" xr:uid="{00000000-0005-0000-0000-0000CB310000}"/>
    <cellStyle name="Akzent4 7" xfId="6929" xr:uid="{00000000-0005-0000-0000-0000CC310000}"/>
    <cellStyle name="Akzent4 7 2" xfId="6930" xr:uid="{00000000-0005-0000-0000-0000CD310000}"/>
    <cellStyle name="Akzent4 7 2 2" xfId="16348" xr:uid="{00000000-0005-0000-0000-0000CE310000}"/>
    <cellStyle name="Akzent4 7 2_est. MEAT" xfId="23233" xr:uid="{00000000-0005-0000-0000-0000CF310000}"/>
    <cellStyle name="Akzent4 7 3" xfId="16347" xr:uid="{00000000-0005-0000-0000-0000D0310000}"/>
    <cellStyle name="Akzent4 7_2012-2019" xfId="12373" xr:uid="{00000000-0005-0000-0000-0000D1310000}"/>
    <cellStyle name="Akzent4 70" xfId="6931" xr:uid="{00000000-0005-0000-0000-0000D2310000}"/>
    <cellStyle name="Akzent4 70 2" xfId="16349" xr:uid="{00000000-0005-0000-0000-0000D3310000}"/>
    <cellStyle name="Akzent4 70_est. MEAT" xfId="23234" xr:uid="{00000000-0005-0000-0000-0000D4310000}"/>
    <cellStyle name="Akzent4 71" xfId="6932" xr:uid="{00000000-0005-0000-0000-0000D5310000}"/>
    <cellStyle name="Akzent4 71 2" xfId="16350" xr:uid="{00000000-0005-0000-0000-0000D6310000}"/>
    <cellStyle name="Akzent4 71_est. MEAT" xfId="23235" xr:uid="{00000000-0005-0000-0000-0000D7310000}"/>
    <cellStyle name="Akzent4 72" xfId="6933" xr:uid="{00000000-0005-0000-0000-0000D8310000}"/>
    <cellStyle name="Akzent4 72 2" xfId="16351" xr:uid="{00000000-0005-0000-0000-0000D9310000}"/>
    <cellStyle name="Akzent4 72_est. MEAT" xfId="23236" xr:uid="{00000000-0005-0000-0000-0000DA310000}"/>
    <cellStyle name="Akzent4 73" xfId="6934" xr:uid="{00000000-0005-0000-0000-0000DB310000}"/>
    <cellStyle name="Akzent4 73 2" xfId="16352" xr:uid="{00000000-0005-0000-0000-0000DC310000}"/>
    <cellStyle name="Akzent4 73_est. MEAT" xfId="23237" xr:uid="{00000000-0005-0000-0000-0000DD310000}"/>
    <cellStyle name="Akzent4 74" xfId="6935" xr:uid="{00000000-0005-0000-0000-0000DE310000}"/>
    <cellStyle name="Akzent4 74 2" xfId="16353" xr:uid="{00000000-0005-0000-0000-0000DF310000}"/>
    <cellStyle name="Akzent4 74_est. MEAT" xfId="23238" xr:uid="{00000000-0005-0000-0000-0000E0310000}"/>
    <cellStyle name="Akzent4 75" xfId="6936" xr:uid="{00000000-0005-0000-0000-0000E1310000}"/>
    <cellStyle name="Akzent4 75 2" xfId="16354" xr:uid="{00000000-0005-0000-0000-0000E2310000}"/>
    <cellStyle name="Akzent4 75_est. MEAT" xfId="23239" xr:uid="{00000000-0005-0000-0000-0000E3310000}"/>
    <cellStyle name="Akzent4 76" xfId="6937" xr:uid="{00000000-0005-0000-0000-0000E4310000}"/>
    <cellStyle name="Akzent4 76 2" xfId="16355" xr:uid="{00000000-0005-0000-0000-0000E5310000}"/>
    <cellStyle name="Akzent4 76_est. MEAT" xfId="23240" xr:uid="{00000000-0005-0000-0000-0000E6310000}"/>
    <cellStyle name="Akzent4 77" xfId="6938" xr:uid="{00000000-0005-0000-0000-0000E7310000}"/>
    <cellStyle name="Akzent4 77 2" xfId="16356" xr:uid="{00000000-0005-0000-0000-0000E8310000}"/>
    <cellStyle name="Akzent4 77_est. MEAT" xfId="23241" xr:uid="{00000000-0005-0000-0000-0000E9310000}"/>
    <cellStyle name="Akzent4 78" xfId="6939" xr:uid="{00000000-0005-0000-0000-0000EA310000}"/>
    <cellStyle name="Akzent4 78 2" xfId="16357" xr:uid="{00000000-0005-0000-0000-0000EB310000}"/>
    <cellStyle name="Akzent4 78_est. MEAT" xfId="23242" xr:uid="{00000000-0005-0000-0000-0000EC310000}"/>
    <cellStyle name="Akzent4 79" xfId="6940" xr:uid="{00000000-0005-0000-0000-0000ED310000}"/>
    <cellStyle name="Akzent4 79 2" xfId="16358" xr:uid="{00000000-0005-0000-0000-0000EE310000}"/>
    <cellStyle name="Akzent4 79_est. MEAT" xfId="23243" xr:uid="{00000000-0005-0000-0000-0000EF310000}"/>
    <cellStyle name="Akzent4 8" xfId="6941" xr:uid="{00000000-0005-0000-0000-0000F0310000}"/>
    <cellStyle name="Akzent4 8 2" xfId="6942" xr:uid="{00000000-0005-0000-0000-0000F1310000}"/>
    <cellStyle name="Akzent4 8 2 2" xfId="16360" xr:uid="{00000000-0005-0000-0000-0000F2310000}"/>
    <cellStyle name="Akzent4 8 2_est. MEAT" xfId="23244" xr:uid="{00000000-0005-0000-0000-0000F3310000}"/>
    <cellStyle name="Akzent4 8 3" xfId="16359" xr:uid="{00000000-0005-0000-0000-0000F4310000}"/>
    <cellStyle name="Akzent4 8_2012-2019" xfId="12374" xr:uid="{00000000-0005-0000-0000-0000F5310000}"/>
    <cellStyle name="Akzent4 80" xfId="6943" xr:uid="{00000000-0005-0000-0000-0000F6310000}"/>
    <cellStyle name="Akzent4 80 2" xfId="16361" xr:uid="{00000000-0005-0000-0000-0000F7310000}"/>
    <cellStyle name="Akzent4 80_est. MEAT" xfId="23245" xr:uid="{00000000-0005-0000-0000-0000F8310000}"/>
    <cellStyle name="Akzent4 81" xfId="6944" xr:uid="{00000000-0005-0000-0000-0000F9310000}"/>
    <cellStyle name="Akzent4 81 2" xfId="16362" xr:uid="{00000000-0005-0000-0000-0000FA310000}"/>
    <cellStyle name="Akzent4 81_est. MEAT" xfId="23246" xr:uid="{00000000-0005-0000-0000-0000FB310000}"/>
    <cellStyle name="Akzent4 82" xfId="6945" xr:uid="{00000000-0005-0000-0000-0000FC310000}"/>
    <cellStyle name="Akzent4 82 2" xfId="16363" xr:uid="{00000000-0005-0000-0000-0000FD310000}"/>
    <cellStyle name="Akzent4 82_est. MEAT" xfId="23247" xr:uid="{00000000-0005-0000-0000-0000FE310000}"/>
    <cellStyle name="Akzent4 83" xfId="6946" xr:uid="{00000000-0005-0000-0000-0000FF310000}"/>
    <cellStyle name="Akzent4 83 2" xfId="16364" xr:uid="{00000000-0005-0000-0000-000000320000}"/>
    <cellStyle name="Akzent4 83_est. MEAT" xfId="23248" xr:uid="{00000000-0005-0000-0000-000001320000}"/>
    <cellStyle name="Akzent4 84" xfId="6947" xr:uid="{00000000-0005-0000-0000-000002320000}"/>
    <cellStyle name="Akzent4 84 2" xfId="16365" xr:uid="{00000000-0005-0000-0000-000003320000}"/>
    <cellStyle name="Akzent4 84_est. MEAT" xfId="23249" xr:uid="{00000000-0005-0000-0000-000004320000}"/>
    <cellStyle name="Akzent4 85" xfId="6948" xr:uid="{00000000-0005-0000-0000-000005320000}"/>
    <cellStyle name="Akzent4 85 2" xfId="16366" xr:uid="{00000000-0005-0000-0000-000006320000}"/>
    <cellStyle name="Akzent4 85_est. MEAT" xfId="23250" xr:uid="{00000000-0005-0000-0000-000007320000}"/>
    <cellStyle name="Akzent4 86" xfId="6949" xr:uid="{00000000-0005-0000-0000-000008320000}"/>
    <cellStyle name="Akzent4 86 2" xfId="16367" xr:uid="{00000000-0005-0000-0000-000009320000}"/>
    <cellStyle name="Akzent4 86_est. MEAT" xfId="23251" xr:uid="{00000000-0005-0000-0000-00000A320000}"/>
    <cellStyle name="Akzent4 87" xfId="6950" xr:uid="{00000000-0005-0000-0000-00000B320000}"/>
    <cellStyle name="Akzent4 87 2" xfId="16368" xr:uid="{00000000-0005-0000-0000-00000C320000}"/>
    <cellStyle name="Akzent4 87_est. MEAT" xfId="23252" xr:uid="{00000000-0005-0000-0000-00000D320000}"/>
    <cellStyle name="Akzent4 88" xfId="6951" xr:uid="{00000000-0005-0000-0000-00000E320000}"/>
    <cellStyle name="Akzent4 88 2" xfId="16369" xr:uid="{00000000-0005-0000-0000-00000F320000}"/>
    <cellStyle name="Akzent4 88_est. MEAT" xfId="23253" xr:uid="{00000000-0005-0000-0000-000010320000}"/>
    <cellStyle name="Akzent4 89" xfId="6952" xr:uid="{00000000-0005-0000-0000-000011320000}"/>
    <cellStyle name="Akzent4 89 2" xfId="16370" xr:uid="{00000000-0005-0000-0000-000012320000}"/>
    <cellStyle name="Akzent4 89_est. MEAT" xfId="23254" xr:uid="{00000000-0005-0000-0000-000013320000}"/>
    <cellStyle name="Akzent4 9" xfId="6953" xr:uid="{00000000-0005-0000-0000-000014320000}"/>
    <cellStyle name="Akzent4 9 2" xfId="6954" xr:uid="{00000000-0005-0000-0000-000015320000}"/>
    <cellStyle name="Akzent4 9 2 2" xfId="16372" xr:uid="{00000000-0005-0000-0000-000016320000}"/>
    <cellStyle name="Akzent4 9 2_est. MEAT" xfId="23255" xr:uid="{00000000-0005-0000-0000-000017320000}"/>
    <cellStyle name="Akzent4 9 3" xfId="16371" xr:uid="{00000000-0005-0000-0000-000018320000}"/>
    <cellStyle name="Akzent4 9_2012-2019" xfId="12375" xr:uid="{00000000-0005-0000-0000-000019320000}"/>
    <cellStyle name="Akzent4 90" xfId="6955" xr:uid="{00000000-0005-0000-0000-00001A320000}"/>
    <cellStyle name="Akzent4 90 2" xfId="16373" xr:uid="{00000000-0005-0000-0000-00001B320000}"/>
    <cellStyle name="Akzent4 90_est. MEAT" xfId="23256" xr:uid="{00000000-0005-0000-0000-00001C320000}"/>
    <cellStyle name="Akzent4 91" xfId="6956" xr:uid="{00000000-0005-0000-0000-00001D320000}"/>
    <cellStyle name="Akzent4 91 2" xfId="16374" xr:uid="{00000000-0005-0000-0000-00001E320000}"/>
    <cellStyle name="Akzent4 91_est. MEAT" xfId="23257" xr:uid="{00000000-0005-0000-0000-00001F320000}"/>
    <cellStyle name="Akzent4 92" xfId="6957" xr:uid="{00000000-0005-0000-0000-000020320000}"/>
    <cellStyle name="Akzent4 92 2" xfId="16375" xr:uid="{00000000-0005-0000-0000-000021320000}"/>
    <cellStyle name="Akzent4 92_est. MEAT" xfId="23258" xr:uid="{00000000-0005-0000-0000-000022320000}"/>
    <cellStyle name="Akzent4 93" xfId="6958" xr:uid="{00000000-0005-0000-0000-000023320000}"/>
    <cellStyle name="Akzent4 93 2" xfId="16376" xr:uid="{00000000-0005-0000-0000-000024320000}"/>
    <cellStyle name="Akzent4 93_est. MEAT" xfId="23259" xr:uid="{00000000-0005-0000-0000-000025320000}"/>
    <cellStyle name="Akzent4 94" xfId="6959" xr:uid="{00000000-0005-0000-0000-000026320000}"/>
    <cellStyle name="Akzent4 94 2" xfId="16377" xr:uid="{00000000-0005-0000-0000-000027320000}"/>
    <cellStyle name="Akzent4 94_est. MEAT" xfId="23260" xr:uid="{00000000-0005-0000-0000-000028320000}"/>
    <cellStyle name="Akzent4 95" xfId="6960" xr:uid="{00000000-0005-0000-0000-000029320000}"/>
    <cellStyle name="Akzent4 95 2" xfId="16378" xr:uid="{00000000-0005-0000-0000-00002A320000}"/>
    <cellStyle name="Akzent4 95_est. MEAT" xfId="23261" xr:uid="{00000000-0005-0000-0000-00002B320000}"/>
    <cellStyle name="Akzent4 96" xfId="6961" xr:uid="{00000000-0005-0000-0000-00002C320000}"/>
    <cellStyle name="Akzent4 96 2" xfId="16379" xr:uid="{00000000-0005-0000-0000-00002D320000}"/>
    <cellStyle name="Akzent4 96_est. MEAT" xfId="23262" xr:uid="{00000000-0005-0000-0000-00002E320000}"/>
    <cellStyle name="Akzent4 97" xfId="6962" xr:uid="{00000000-0005-0000-0000-00002F320000}"/>
    <cellStyle name="Akzent4 97 2" xfId="16380" xr:uid="{00000000-0005-0000-0000-000030320000}"/>
    <cellStyle name="Akzent4 97_est. MEAT" xfId="23263" xr:uid="{00000000-0005-0000-0000-000031320000}"/>
    <cellStyle name="Akzent4 98" xfId="6963" xr:uid="{00000000-0005-0000-0000-000032320000}"/>
    <cellStyle name="Akzent4 98 2" xfId="16381" xr:uid="{00000000-0005-0000-0000-000033320000}"/>
    <cellStyle name="Akzent4 98_est. MEAT" xfId="23264" xr:uid="{00000000-0005-0000-0000-000034320000}"/>
    <cellStyle name="Akzent4 99" xfId="6964" xr:uid="{00000000-0005-0000-0000-000035320000}"/>
    <cellStyle name="Akzent4 99 2" xfId="16382" xr:uid="{00000000-0005-0000-0000-000036320000}"/>
    <cellStyle name="Akzent4 99_est. MEAT" xfId="23265" xr:uid="{00000000-0005-0000-0000-000037320000}"/>
    <cellStyle name="Akzent4_2012-2019" xfId="12362" xr:uid="{00000000-0005-0000-0000-000038320000}"/>
    <cellStyle name="Akzent5" xfId="6965" xr:uid="{00000000-0005-0000-0000-000039320000}"/>
    <cellStyle name="Akzent5 10" xfId="6966" xr:uid="{00000000-0005-0000-0000-00003A320000}"/>
    <cellStyle name="Akzent5 10 2" xfId="16384" xr:uid="{00000000-0005-0000-0000-00003B320000}"/>
    <cellStyle name="Akzent5 10_est. MEAT" xfId="23266" xr:uid="{00000000-0005-0000-0000-00003C320000}"/>
    <cellStyle name="Akzent5 100" xfId="6967" xr:uid="{00000000-0005-0000-0000-00003D320000}"/>
    <cellStyle name="Akzent5 100 2" xfId="16385" xr:uid="{00000000-0005-0000-0000-00003E320000}"/>
    <cellStyle name="Akzent5 100_est. MEAT" xfId="23267" xr:uid="{00000000-0005-0000-0000-00003F320000}"/>
    <cellStyle name="Akzent5 101" xfId="6968" xr:uid="{00000000-0005-0000-0000-000040320000}"/>
    <cellStyle name="Akzent5 101 2" xfId="16386" xr:uid="{00000000-0005-0000-0000-000041320000}"/>
    <cellStyle name="Akzent5 101_est. MEAT" xfId="23268" xr:uid="{00000000-0005-0000-0000-000042320000}"/>
    <cellStyle name="Akzent5 102" xfId="6969" xr:uid="{00000000-0005-0000-0000-000043320000}"/>
    <cellStyle name="Akzent5 102 2" xfId="16387" xr:uid="{00000000-0005-0000-0000-000044320000}"/>
    <cellStyle name="Akzent5 102_est. MEAT" xfId="23269" xr:uid="{00000000-0005-0000-0000-000045320000}"/>
    <cellStyle name="Akzent5 103" xfId="6970" xr:uid="{00000000-0005-0000-0000-000046320000}"/>
    <cellStyle name="Akzent5 103 2" xfId="16388" xr:uid="{00000000-0005-0000-0000-000047320000}"/>
    <cellStyle name="Akzent5 103_est. MEAT" xfId="23270" xr:uid="{00000000-0005-0000-0000-000048320000}"/>
    <cellStyle name="Akzent5 104" xfId="6971" xr:uid="{00000000-0005-0000-0000-000049320000}"/>
    <cellStyle name="Akzent5 104 2" xfId="16389" xr:uid="{00000000-0005-0000-0000-00004A320000}"/>
    <cellStyle name="Akzent5 104_est. MEAT" xfId="23271" xr:uid="{00000000-0005-0000-0000-00004B320000}"/>
    <cellStyle name="Akzent5 105" xfId="6972" xr:uid="{00000000-0005-0000-0000-00004C320000}"/>
    <cellStyle name="Akzent5 105 2" xfId="16390" xr:uid="{00000000-0005-0000-0000-00004D320000}"/>
    <cellStyle name="Akzent5 105_est. MEAT" xfId="23272" xr:uid="{00000000-0005-0000-0000-00004E320000}"/>
    <cellStyle name="Akzent5 106" xfId="6973" xr:uid="{00000000-0005-0000-0000-00004F320000}"/>
    <cellStyle name="Akzent5 106 2" xfId="16391" xr:uid="{00000000-0005-0000-0000-000050320000}"/>
    <cellStyle name="Akzent5 106_est. MEAT" xfId="23273" xr:uid="{00000000-0005-0000-0000-000051320000}"/>
    <cellStyle name="Akzent5 107" xfId="6974" xr:uid="{00000000-0005-0000-0000-000052320000}"/>
    <cellStyle name="Akzent5 107 2" xfId="16392" xr:uid="{00000000-0005-0000-0000-000053320000}"/>
    <cellStyle name="Akzent5 107_est. MEAT" xfId="23274" xr:uid="{00000000-0005-0000-0000-000054320000}"/>
    <cellStyle name="Akzent5 108" xfId="16383" xr:uid="{00000000-0005-0000-0000-000055320000}"/>
    <cellStyle name="Akzent5 11" xfId="6975" xr:uid="{00000000-0005-0000-0000-000056320000}"/>
    <cellStyle name="Akzent5 11 2" xfId="16393" xr:uid="{00000000-0005-0000-0000-000057320000}"/>
    <cellStyle name="Akzent5 11_est. MEAT" xfId="23275" xr:uid="{00000000-0005-0000-0000-000058320000}"/>
    <cellStyle name="Akzent5 12" xfId="6976" xr:uid="{00000000-0005-0000-0000-000059320000}"/>
    <cellStyle name="Akzent5 12 2" xfId="16394" xr:uid="{00000000-0005-0000-0000-00005A320000}"/>
    <cellStyle name="Akzent5 12_est. MEAT" xfId="23276" xr:uid="{00000000-0005-0000-0000-00005B320000}"/>
    <cellStyle name="Akzent5 13" xfId="6977" xr:uid="{00000000-0005-0000-0000-00005C320000}"/>
    <cellStyle name="Akzent5 13 2" xfId="16395" xr:uid="{00000000-0005-0000-0000-00005D320000}"/>
    <cellStyle name="Akzent5 13_est. MEAT" xfId="23277" xr:uid="{00000000-0005-0000-0000-00005E320000}"/>
    <cellStyle name="Akzent5 14" xfId="6978" xr:uid="{00000000-0005-0000-0000-00005F320000}"/>
    <cellStyle name="Akzent5 14 2" xfId="16396" xr:uid="{00000000-0005-0000-0000-000060320000}"/>
    <cellStyle name="Akzent5 14_est. MEAT" xfId="23278" xr:uid="{00000000-0005-0000-0000-000061320000}"/>
    <cellStyle name="Akzent5 15" xfId="6979" xr:uid="{00000000-0005-0000-0000-000062320000}"/>
    <cellStyle name="Akzent5 15 2" xfId="16397" xr:uid="{00000000-0005-0000-0000-000063320000}"/>
    <cellStyle name="Akzent5 15_est. MEAT" xfId="23279" xr:uid="{00000000-0005-0000-0000-000064320000}"/>
    <cellStyle name="Akzent5 16" xfId="6980" xr:uid="{00000000-0005-0000-0000-000065320000}"/>
    <cellStyle name="Akzent5 16 2" xfId="16398" xr:uid="{00000000-0005-0000-0000-000066320000}"/>
    <cellStyle name="Akzent5 16_est. MEAT" xfId="23280" xr:uid="{00000000-0005-0000-0000-000067320000}"/>
    <cellStyle name="Akzent5 17" xfId="6981" xr:uid="{00000000-0005-0000-0000-000068320000}"/>
    <cellStyle name="Akzent5 17 2" xfId="16399" xr:uid="{00000000-0005-0000-0000-000069320000}"/>
    <cellStyle name="Akzent5 17_est. MEAT" xfId="23281" xr:uid="{00000000-0005-0000-0000-00006A320000}"/>
    <cellStyle name="Akzent5 18" xfId="6982" xr:uid="{00000000-0005-0000-0000-00006B320000}"/>
    <cellStyle name="Akzent5 18 2" xfId="16400" xr:uid="{00000000-0005-0000-0000-00006C320000}"/>
    <cellStyle name="Akzent5 18_est. MEAT" xfId="23282" xr:uid="{00000000-0005-0000-0000-00006D320000}"/>
    <cellStyle name="Akzent5 19" xfId="6983" xr:uid="{00000000-0005-0000-0000-00006E320000}"/>
    <cellStyle name="Akzent5 19 2" xfId="16401" xr:uid="{00000000-0005-0000-0000-00006F320000}"/>
    <cellStyle name="Akzent5 19_est. MEAT" xfId="23283" xr:uid="{00000000-0005-0000-0000-000070320000}"/>
    <cellStyle name="Akzent5 2" xfId="6984" xr:uid="{00000000-0005-0000-0000-000071320000}"/>
    <cellStyle name="Akzent5 2 2" xfId="16402" xr:uid="{00000000-0005-0000-0000-000072320000}"/>
    <cellStyle name="Akzent5 2_est. MEAT" xfId="23284" xr:uid="{00000000-0005-0000-0000-000073320000}"/>
    <cellStyle name="Akzent5 20" xfId="6985" xr:uid="{00000000-0005-0000-0000-000074320000}"/>
    <cellStyle name="Akzent5 20 2" xfId="16403" xr:uid="{00000000-0005-0000-0000-000075320000}"/>
    <cellStyle name="Akzent5 20_est. MEAT" xfId="23285" xr:uid="{00000000-0005-0000-0000-000076320000}"/>
    <cellStyle name="Akzent5 21" xfId="6986" xr:uid="{00000000-0005-0000-0000-000077320000}"/>
    <cellStyle name="Akzent5 21 2" xfId="16404" xr:uid="{00000000-0005-0000-0000-000078320000}"/>
    <cellStyle name="Akzent5 21_est. MEAT" xfId="23286" xr:uid="{00000000-0005-0000-0000-000079320000}"/>
    <cellStyle name="Akzent5 22" xfId="6987" xr:uid="{00000000-0005-0000-0000-00007A320000}"/>
    <cellStyle name="Akzent5 22 2" xfId="16405" xr:uid="{00000000-0005-0000-0000-00007B320000}"/>
    <cellStyle name="Akzent5 22_est. MEAT" xfId="23287" xr:uid="{00000000-0005-0000-0000-00007C320000}"/>
    <cellStyle name="Akzent5 23" xfId="6988" xr:uid="{00000000-0005-0000-0000-00007D320000}"/>
    <cellStyle name="Akzent5 23 2" xfId="16406" xr:uid="{00000000-0005-0000-0000-00007E320000}"/>
    <cellStyle name="Akzent5 23_est. MEAT" xfId="23288" xr:uid="{00000000-0005-0000-0000-00007F320000}"/>
    <cellStyle name="Akzent5 24" xfId="6989" xr:uid="{00000000-0005-0000-0000-000080320000}"/>
    <cellStyle name="Akzent5 24 2" xfId="16407" xr:uid="{00000000-0005-0000-0000-000081320000}"/>
    <cellStyle name="Akzent5 24_est. MEAT" xfId="23289" xr:uid="{00000000-0005-0000-0000-000082320000}"/>
    <cellStyle name="Akzent5 25" xfId="6990" xr:uid="{00000000-0005-0000-0000-000083320000}"/>
    <cellStyle name="Akzent5 25 2" xfId="16408" xr:uid="{00000000-0005-0000-0000-000084320000}"/>
    <cellStyle name="Akzent5 25_est. MEAT" xfId="23290" xr:uid="{00000000-0005-0000-0000-000085320000}"/>
    <cellStyle name="Akzent5 26" xfId="6991" xr:uid="{00000000-0005-0000-0000-000086320000}"/>
    <cellStyle name="Akzent5 26 2" xfId="16409" xr:uid="{00000000-0005-0000-0000-000087320000}"/>
    <cellStyle name="Akzent5 26_est. MEAT" xfId="23291" xr:uid="{00000000-0005-0000-0000-000088320000}"/>
    <cellStyle name="Akzent5 27" xfId="6992" xr:uid="{00000000-0005-0000-0000-000089320000}"/>
    <cellStyle name="Akzent5 27 2" xfId="16410" xr:uid="{00000000-0005-0000-0000-00008A320000}"/>
    <cellStyle name="Akzent5 27_est. MEAT" xfId="23292" xr:uid="{00000000-0005-0000-0000-00008B320000}"/>
    <cellStyle name="Akzent5 28" xfId="6993" xr:uid="{00000000-0005-0000-0000-00008C320000}"/>
    <cellStyle name="Akzent5 28 2" xfId="16411" xr:uid="{00000000-0005-0000-0000-00008D320000}"/>
    <cellStyle name="Akzent5 28_est. MEAT" xfId="23293" xr:uid="{00000000-0005-0000-0000-00008E320000}"/>
    <cellStyle name="Akzent5 29" xfId="6994" xr:uid="{00000000-0005-0000-0000-00008F320000}"/>
    <cellStyle name="Akzent5 29 2" xfId="16412" xr:uid="{00000000-0005-0000-0000-000090320000}"/>
    <cellStyle name="Akzent5 29_est. MEAT" xfId="23294" xr:uid="{00000000-0005-0000-0000-000091320000}"/>
    <cellStyle name="Akzent5 3" xfId="6995" xr:uid="{00000000-0005-0000-0000-000092320000}"/>
    <cellStyle name="Akzent5 3 2" xfId="16413" xr:uid="{00000000-0005-0000-0000-000093320000}"/>
    <cellStyle name="Akzent5 3_est. MEAT" xfId="23295" xr:uid="{00000000-0005-0000-0000-000094320000}"/>
    <cellStyle name="Akzent5 30" xfId="6996" xr:uid="{00000000-0005-0000-0000-000095320000}"/>
    <cellStyle name="Akzent5 30 2" xfId="16414" xr:uid="{00000000-0005-0000-0000-000096320000}"/>
    <cellStyle name="Akzent5 30_est. MEAT" xfId="23296" xr:uid="{00000000-0005-0000-0000-000097320000}"/>
    <cellStyle name="Akzent5 31" xfId="6997" xr:uid="{00000000-0005-0000-0000-000098320000}"/>
    <cellStyle name="Akzent5 31 2" xfId="16415" xr:uid="{00000000-0005-0000-0000-000099320000}"/>
    <cellStyle name="Akzent5 31_est. MEAT" xfId="23297" xr:uid="{00000000-0005-0000-0000-00009A320000}"/>
    <cellStyle name="Akzent5 32" xfId="6998" xr:uid="{00000000-0005-0000-0000-00009B320000}"/>
    <cellStyle name="Akzent5 32 2" xfId="16416" xr:uid="{00000000-0005-0000-0000-00009C320000}"/>
    <cellStyle name="Akzent5 32_est. MEAT" xfId="23298" xr:uid="{00000000-0005-0000-0000-00009D320000}"/>
    <cellStyle name="Akzent5 33" xfId="6999" xr:uid="{00000000-0005-0000-0000-00009E320000}"/>
    <cellStyle name="Akzent5 33 2" xfId="16417" xr:uid="{00000000-0005-0000-0000-00009F320000}"/>
    <cellStyle name="Akzent5 33_est. MEAT" xfId="23299" xr:uid="{00000000-0005-0000-0000-0000A0320000}"/>
    <cellStyle name="Akzent5 34" xfId="7000" xr:uid="{00000000-0005-0000-0000-0000A1320000}"/>
    <cellStyle name="Akzent5 34 2" xfId="16418" xr:uid="{00000000-0005-0000-0000-0000A2320000}"/>
    <cellStyle name="Akzent5 34_est. MEAT" xfId="23300" xr:uid="{00000000-0005-0000-0000-0000A3320000}"/>
    <cellStyle name="Akzent5 35" xfId="7001" xr:uid="{00000000-0005-0000-0000-0000A4320000}"/>
    <cellStyle name="Akzent5 35 2" xfId="16419" xr:uid="{00000000-0005-0000-0000-0000A5320000}"/>
    <cellStyle name="Akzent5 35_est. MEAT" xfId="23301" xr:uid="{00000000-0005-0000-0000-0000A6320000}"/>
    <cellStyle name="Akzent5 36" xfId="7002" xr:uid="{00000000-0005-0000-0000-0000A7320000}"/>
    <cellStyle name="Akzent5 36 2" xfId="16420" xr:uid="{00000000-0005-0000-0000-0000A8320000}"/>
    <cellStyle name="Akzent5 36_est. MEAT" xfId="23302" xr:uid="{00000000-0005-0000-0000-0000A9320000}"/>
    <cellStyle name="Akzent5 37" xfId="7003" xr:uid="{00000000-0005-0000-0000-0000AA320000}"/>
    <cellStyle name="Akzent5 37 2" xfId="16421" xr:uid="{00000000-0005-0000-0000-0000AB320000}"/>
    <cellStyle name="Akzent5 37_est. MEAT" xfId="23303" xr:uid="{00000000-0005-0000-0000-0000AC320000}"/>
    <cellStyle name="Akzent5 38" xfId="7004" xr:uid="{00000000-0005-0000-0000-0000AD320000}"/>
    <cellStyle name="Akzent5 38 2" xfId="16422" xr:uid="{00000000-0005-0000-0000-0000AE320000}"/>
    <cellStyle name="Akzent5 38_est. MEAT" xfId="23304" xr:uid="{00000000-0005-0000-0000-0000AF320000}"/>
    <cellStyle name="Akzent5 39" xfId="7005" xr:uid="{00000000-0005-0000-0000-0000B0320000}"/>
    <cellStyle name="Akzent5 39 2" xfId="16423" xr:uid="{00000000-0005-0000-0000-0000B1320000}"/>
    <cellStyle name="Akzent5 39_est. MEAT" xfId="23305" xr:uid="{00000000-0005-0000-0000-0000B2320000}"/>
    <cellStyle name="Akzent5 4" xfId="7006" xr:uid="{00000000-0005-0000-0000-0000B3320000}"/>
    <cellStyle name="Akzent5 4 2" xfId="16424" xr:uid="{00000000-0005-0000-0000-0000B4320000}"/>
    <cellStyle name="Akzent5 4_est. MEAT" xfId="23306" xr:uid="{00000000-0005-0000-0000-0000B5320000}"/>
    <cellStyle name="Akzent5 40" xfId="7007" xr:uid="{00000000-0005-0000-0000-0000B6320000}"/>
    <cellStyle name="Akzent5 40 2" xfId="16425" xr:uid="{00000000-0005-0000-0000-0000B7320000}"/>
    <cellStyle name="Akzent5 40_est. MEAT" xfId="23307" xr:uid="{00000000-0005-0000-0000-0000B8320000}"/>
    <cellStyle name="Akzent5 41" xfId="7008" xr:uid="{00000000-0005-0000-0000-0000B9320000}"/>
    <cellStyle name="Akzent5 41 2" xfId="16426" xr:uid="{00000000-0005-0000-0000-0000BA320000}"/>
    <cellStyle name="Akzent5 41_est. MEAT" xfId="23308" xr:uid="{00000000-0005-0000-0000-0000BB320000}"/>
    <cellStyle name="Akzent5 42" xfId="7009" xr:uid="{00000000-0005-0000-0000-0000BC320000}"/>
    <cellStyle name="Akzent5 42 2" xfId="16427" xr:uid="{00000000-0005-0000-0000-0000BD320000}"/>
    <cellStyle name="Akzent5 42_est. MEAT" xfId="23309" xr:uid="{00000000-0005-0000-0000-0000BE320000}"/>
    <cellStyle name="Akzent5 43" xfId="7010" xr:uid="{00000000-0005-0000-0000-0000BF320000}"/>
    <cellStyle name="Akzent5 43 2" xfId="16428" xr:uid="{00000000-0005-0000-0000-0000C0320000}"/>
    <cellStyle name="Akzent5 43_est. MEAT" xfId="23310" xr:uid="{00000000-0005-0000-0000-0000C1320000}"/>
    <cellStyle name="Akzent5 44" xfId="7011" xr:uid="{00000000-0005-0000-0000-0000C2320000}"/>
    <cellStyle name="Akzent5 44 2" xfId="16429" xr:uid="{00000000-0005-0000-0000-0000C3320000}"/>
    <cellStyle name="Akzent5 44_est. MEAT" xfId="23311" xr:uid="{00000000-0005-0000-0000-0000C4320000}"/>
    <cellStyle name="Akzent5 45" xfId="7012" xr:uid="{00000000-0005-0000-0000-0000C5320000}"/>
    <cellStyle name="Akzent5 45 2" xfId="16430" xr:uid="{00000000-0005-0000-0000-0000C6320000}"/>
    <cellStyle name="Akzent5 45_est. MEAT" xfId="23312" xr:uid="{00000000-0005-0000-0000-0000C7320000}"/>
    <cellStyle name="Akzent5 46" xfId="7013" xr:uid="{00000000-0005-0000-0000-0000C8320000}"/>
    <cellStyle name="Akzent5 46 2" xfId="16431" xr:uid="{00000000-0005-0000-0000-0000C9320000}"/>
    <cellStyle name="Akzent5 46_est. MEAT" xfId="23313" xr:uid="{00000000-0005-0000-0000-0000CA320000}"/>
    <cellStyle name="Akzent5 47" xfId="7014" xr:uid="{00000000-0005-0000-0000-0000CB320000}"/>
    <cellStyle name="Akzent5 47 2" xfId="16432" xr:uid="{00000000-0005-0000-0000-0000CC320000}"/>
    <cellStyle name="Akzent5 47_est. MEAT" xfId="23314" xr:uid="{00000000-0005-0000-0000-0000CD320000}"/>
    <cellStyle name="Akzent5 48" xfId="7015" xr:uid="{00000000-0005-0000-0000-0000CE320000}"/>
    <cellStyle name="Akzent5 48 2" xfId="16433" xr:uid="{00000000-0005-0000-0000-0000CF320000}"/>
    <cellStyle name="Akzent5 48_est. MEAT" xfId="23315" xr:uid="{00000000-0005-0000-0000-0000D0320000}"/>
    <cellStyle name="Akzent5 49" xfId="7016" xr:uid="{00000000-0005-0000-0000-0000D1320000}"/>
    <cellStyle name="Akzent5 49 2" xfId="16434" xr:uid="{00000000-0005-0000-0000-0000D2320000}"/>
    <cellStyle name="Akzent5 49_est. MEAT" xfId="23316" xr:uid="{00000000-0005-0000-0000-0000D3320000}"/>
    <cellStyle name="Akzent5 5" xfId="7017" xr:uid="{00000000-0005-0000-0000-0000D4320000}"/>
    <cellStyle name="Akzent5 5 2" xfId="16435" xr:uid="{00000000-0005-0000-0000-0000D5320000}"/>
    <cellStyle name="Akzent5 5_est. MEAT" xfId="23317" xr:uid="{00000000-0005-0000-0000-0000D6320000}"/>
    <cellStyle name="Akzent5 50" xfId="7018" xr:uid="{00000000-0005-0000-0000-0000D7320000}"/>
    <cellStyle name="Akzent5 50 2" xfId="16436" xr:uid="{00000000-0005-0000-0000-0000D8320000}"/>
    <cellStyle name="Akzent5 50_est. MEAT" xfId="23318" xr:uid="{00000000-0005-0000-0000-0000D9320000}"/>
    <cellStyle name="Akzent5 51" xfId="7019" xr:uid="{00000000-0005-0000-0000-0000DA320000}"/>
    <cellStyle name="Akzent5 51 2" xfId="16437" xr:uid="{00000000-0005-0000-0000-0000DB320000}"/>
    <cellStyle name="Akzent5 51_est. MEAT" xfId="23319" xr:uid="{00000000-0005-0000-0000-0000DC320000}"/>
    <cellStyle name="Akzent5 52" xfId="7020" xr:uid="{00000000-0005-0000-0000-0000DD320000}"/>
    <cellStyle name="Akzent5 52 2" xfId="16438" xr:uid="{00000000-0005-0000-0000-0000DE320000}"/>
    <cellStyle name="Akzent5 52_est. MEAT" xfId="23320" xr:uid="{00000000-0005-0000-0000-0000DF320000}"/>
    <cellStyle name="Akzent5 53" xfId="7021" xr:uid="{00000000-0005-0000-0000-0000E0320000}"/>
    <cellStyle name="Akzent5 53 2" xfId="16439" xr:uid="{00000000-0005-0000-0000-0000E1320000}"/>
    <cellStyle name="Akzent5 53_est. MEAT" xfId="23321" xr:uid="{00000000-0005-0000-0000-0000E2320000}"/>
    <cellStyle name="Akzent5 54" xfId="7022" xr:uid="{00000000-0005-0000-0000-0000E3320000}"/>
    <cellStyle name="Akzent5 54 2" xfId="16440" xr:uid="{00000000-0005-0000-0000-0000E4320000}"/>
    <cellStyle name="Akzent5 54_est. MEAT" xfId="23322" xr:uid="{00000000-0005-0000-0000-0000E5320000}"/>
    <cellStyle name="Akzent5 55" xfId="7023" xr:uid="{00000000-0005-0000-0000-0000E6320000}"/>
    <cellStyle name="Akzent5 55 2" xfId="16441" xr:uid="{00000000-0005-0000-0000-0000E7320000}"/>
    <cellStyle name="Akzent5 55_est. MEAT" xfId="23323" xr:uid="{00000000-0005-0000-0000-0000E8320000}"/>
    <cellStyle name="Akzent5 56" xfId="7024" xr:uid="{00000000-0005-0000-0000-0000E9320000}"/>
    <cellStyle name="Akzent5 56 2" xfId="16442" xr:uid="{00000000-0005-0000-0000-0000EA320000}"/>
    <cellStyle name="Akzent5 56_est. MEAT" xfId="23324" xr:uid="{00000000-0005-0000-0000-0000EB320000}"/>
    <cellStyle name="Akzent5 57" xfId="7025" xr:uid="{00000000-0005-0000-0000-0000EC320000}"/>
    <cellStyle name="Akzent5 57 2" xfId="16443" xr:uid="{00000000-0005-0000-0000-0000ED320000}"/>
    <cellStyle name="Akzent5 57_est. MEAT" xfId="23325" xr:uid="{00000000-0005-0000-0000-0000EE320000}"/>
    <cellStyle name="Akzent5 58" xfId="7026" xr:uid="{00000000-0005-0000-0000-0000EF320000}"/>
    <cellStyle name="Akzent5 58 2" xfId="16444" xr:uid="{00000000-0005-0000-0000-0000F0320000}"/>
    <cellStyle name="Akzent5 58_est. MEAT" xfId="23326" xr:uid="{00000000-0005-0000-0000-0000F1320000}"/>
    <cellStyle name="Akzent5 59" xfId="7027" xr:uid="{00000000-0005-0000-0000-0000F2320000}"/>
    <cellStyle name="Akzent5 59 2" xfId="16445" xr:uid="{00000000-0005-0000-0000-0000F3320000}"/>
    <cellStyle name="Akzent5 59_est. MEAT" xfId="23327" xr:uid="{00000000-0005-0000-0000-0000F4320000}"/>
    <cellStyle name="Akzent5 6" xfId="7028" xr:uid="{00000000-0005-0000-0000-0000F5320000}"/>
    <cellStyle name="Akzent5 6 2" xfId="16446" xr:uid="{00000000-0005-0000-0000-0000F6320000}"/>
    <cellStyle name="Akzent5 6_est. MEAT" xfId="23328" xr:uid="{00000000-0005-0000-0000-0000F7320000}"/>
    <cellStyle name="Akzent5 60" xfId="7029" xr:uid="{00000000-0005-0000-0000-0000F8320000}"/>
    <cellStyle name="Akzent5 60 2" xfId="16447" xr:uid="{00000000-0005-0000-0000-0000F9320000}"/>
    <cellStyle name="Akzent5 60_est. MEAT" xfId="23329" xr:uid="{00000000-0005-0000-0000-0000FA320000}"/>
    <cellStyle name="Akzent5 61" xfId="7030" xr:uid="{00000000-0005-0000-0000-0000FB320000}"/>
    <cellStyle name="Akzent5 61 2" xfId="16448" xr:uid="{00000000-0005-0000-0000-0000FC320000}"/>
    <cellStyle name="Akzent5 61_est. MEAT" xfId="23330" xr:uid="{00000000-0005-0000-0000-0000FD320000}"/>
    <cellStyle name="Akzent5 62" xfId="7031" xr:uid="{00000000-0005-0000-0000-0000FE320000}"/>
    <cellStyle name="Akzent5 62 2" xfId="16449" xr:uid="{00000000-0005-0000-0000-0000FF320000}"/>
    <cellStyle name="Akzent5 62_est. MEAT" xfId="23331" xr:uid="{00000000-0005-0000-0000-000000330000}"/>
    <cellStyle name="Akzent5 63" xfId="7032" xr:uid="{00000000-0005-0000-0000-000001330000}"/>
    <cellStyle name="Akzent5 63 2" xfId="16450" xr:uid="{00000000-0005-0000-0000-000002330000}"/>
    <cellStyle name="Akzent5 63_est. MEAT" xfId="23332" xr:uid="{00000000-0005-0000-0000-000003330000}"/>
    <cellStyle name="Akzent5 64" xfId="7033" xr:uid="{00000000-0005-0000-0000-000004330000}"/>
    <cellStyle name="Akzent5 64 2" xfId="16451" xr:uid="{00000000-0005-0000-0000-000005330000}"/>
    <cellStyle name="Akzent5 64_est. MEAT" xfId="23333" xr:uid="{00000000-0005-0000-0000-000006330000}"/>
    <cellStyle name="Akzent5 65" xfId="7034" xr:uid="{00000000-0005-0000-0000-000007330000}"/>
    <cellStyle name="Akzent5 65 2" xfId="16452" xr:uid="{00000000-0005-0000-0000-000008330000}"/>
    <cellStyle name="Akzent5 65_est. MEAT" xfId="23334" xr:uid="{00000000-0005-0000-0000-000009330000}"/>
    <cellStyle name="Akzent5 66" xfId="7035" xr:uid="{00000000-0005-0000-0000-00000A330000}"/>
    <cellStyle name="Akzent5 66 2" xfId="16453" xr:uid="{00000000-0005-0000-0000-00000B330000}"/>
    <cellStyle name="Akzent5 66_est. MEAT" xfId="23335" xr:uid="{00000000-0005-0000-0000-00000C330000}"/>
    <cellStyle name="Akzent5 67" xfId="7036" xr:uid="{00000000-0005-0000-0000-00000D330000}"/>
    <cellStyle name="Akzent5 67 2" xfId="16454" xr:uid="{00000000-0005-0000-0000-00000E330000}"/>
    <cellStyle name="Akzent5 67_est. MEAT" xfId="23336" xr:uid="{00000000-0005-0000-0000-00000F330000}"/>
    <cellStyle name="Akzent5 68" xfId="7037" xr:uid="{00000000-0005-0000-0000-000010330000}"/>
    <cellStyle name="Akzent5 68 2" xfId="16455" xr:uid="{00000000-0005-0000-0000-000011330000}"/>
    <cellStyle name="Akzent5 68_est. MEAT" xfId="23337" xr:uid="{00000000-0005-0000-0000-000012330000}"/>
    <cellStyle name="Akzent5 69" xfId="7038" xr:uid="{00000000-0005-0000-0000-000013330000}"/>
    <cellStyle name="Akzent5 69 2" xfId="16456" xr:uid="{00000000-0005-0000-0000-000014330000}"/>
    <cellStyle name="Akzent5 69_est. MEAT" xfId="23338" xr:uid="{00000000-0005-0000-0000-000015330000}"/>
    <cellStyle name="Akzent5 7" xfId="7039" xr:uid="{00000000-0005-0000-0000-000016330000}"/>
    <cellStyle name="Akzent5 7 2" xfId="16457" xr:uid="{00000000-0005-0000-0000-000017330000}"/>
    <cellStyle name="Akzent5 7_est. MEAT" xfId="23339" xr:uid="{00000000-0005-0000-0000-000018330000}"/>
    <cellStyle name="Akzent5 70" xfId="7040" xr:uid="{00000000-0005-0000-0000-000019330000}"/>
    <cellStyle name="Akzent5 70 2" xfId="16458" xr:uid="{00000000-0005-0000-0000-00001A330000}"/>
    <cellStyle name="Akzent5 70_est. MEAT" xfId="23340" xr:uid="{00000000-0005-0000-0000-00001B330000}"/>
    <cellStyle name="Akzent5 71" xfId="7041" xr:uid="{00000000-0005-0000-0000-00001C330000}"/>
    <cellStyle name="Akzent5 71 2" xfId="16459" xr:uid="{00000000-0005-0000-0000-00001D330000}"/>
    <cellStyle name="Akzent5 71_est. MEAT" xfId="23341" xr:uid="{00000000-0005-0000-0000-00001E330000}"/>
    <cellStyle name="Akzent5 72" xfId="7042" xr:uid="{00000000-0005-0000-0000-00001F330000}"/>
    <cellStyle name="Akzent5 72 2" xfId="16460" xr:uid="{00000000-0005-0000-0000-000020330000}"/>
    <cellStyle name="Akzent5 72_est. MEAT" xfId="23342" xr:uid="{00000000-0005-0000-0000-000021330000}"/>
    <cellStyle name="Akzent5 73" xfId="7043" xr:uid="{00000000-0005-0000-0000-000022330000}"/>
    <cellStyle name="Akzent5 73 2" xfId="16461" xr:uid="{00000000-0005-0000-0000-000023330000}"/>
    <cellStyle name="Akzent5 73_est. MEAT" xfId="23343" xr:uid="{00000000-0005-0000-0000-000024330000}"/>
    <cellStyle name="Akzent5 74" xfId="7044" xr:uid="{00000000-0005-0000-0000-000025330000}"/>
    <cellStyle name="Akzent5 74 2" xfId="16462" xr:uid="{00000000-0005-0000-0000-000026330000}"/>
    <cellStyle name="Akzent5 74_est. MEAT" xfId="23344" xr:uid="{00000000-0005-0000-0000-000027330000}"/>
    <cellStyle name="Akzent5 75" xfId="7045" xr:uid="{00000000-0005-0000-0000-000028330000}"/>
    <cellStyle name="Akzent5 75 2" xfId="16463" xr:uid="{00000000-0005-0000-0000-000029330000}"/>
    <cellStyle name="Akzent5 75_est. MEAT" xfId="23345" xr:uid="{00000000-0005-0000-0000-00002A330000}"/>
    <cellStyle name="Akzent5 76" xfId="7046" xr:uid="{00000000-0005-0000-0000-00002B330000}"/>
    <cellStyle name="Akzent5 76 2" xfId="16464" xr:uid="{00000000-0005-0000-0000-00002C330000}"/>
    <cellStyle name="Akzent5 76_est. MEAT" xfId="23346" xr:uid="{00000000-0005-0000-0000-00002D330000}"/>
    <cellStyle name="Akzent5 77" xfId="7047" xr:uid="{00000000-0005-0000-0000-00002E330000}"/>
    <cellStyle name="Akzent5 77 2" xfId="16465" xr:uid="{00000000-0005-0000-0000-00002F330000}"/>
    <cellStyle name="Akzent5 77_est. MEAT" xfId="23347" xr:uid="{00000000-0005-0000-0000-000030330000}"/>
    <cellStyle name="Akzent5 78" xfId="7048" xr:uid="{00000000-0005-0000-0000-000031330000}"/>
    <cellStyle name="Akzent5 78 2" xfId="16466" xr:uid="{00000000-0005-0000-0000-000032330000}"/>
    <cellStyle name="Akzent5 78_est. MEAT" xfId="23348" xr:uid="{00000000-0005-0000-0000-000033330000}"/>
    <cellStyle name="Akzent5 79" xfId="7049" xr:uid="{00000000-0005-0000-0000-000034330000}"/>
    <cellStyle name="Akzent5 79 2" xfId="16467" xr:uid="{00000000-0005-0000-0000-000035330000}"/>
    <cellStyle name="Akzent5 79_est. MEAT" xfId="23349" xr:uid="{00000000-0005-0000-0000-000036330000}"/>
    <cellStyle name="Akzent5 8" xfId="7050" xr:uid="{00000000-0005-0000-0000-000037330000}"/>
    <cellStyle name="Akzent5 8 2" xfId="16468" xr:uid="{00000000-0005-0000-0000-000038330000}"/>
    <cellStyle name="Akzent5 8_est. MEAT" xfId="23350" xr:uid="{00000000-0005-0000-0000-000039330000}"/>
    <cellStyle name="Akzent5 80" xfId="7051" xr:uid="{00000000-0005-0000-0000-00003A330000}"/>
    <cellStyle name="Akzent5 80 2" xfId="16469" xr:uid="{00000000-0005-0000-0000-00003B330000}"/>
    <cellStyle name="Akzent5 80_est. MEAT" xfId="23351" xr:uid="{00000000-0005-0000-0000-00003C330000}"/>
    <cellStyle name="Akzent5 81" xfId="7052" xr:uid="{00000000-0005-0000-0000-00003D330000}"/>
    <cellStyle name="Akzent5 81 2" xfId="16470" xr:uid="{00000000-0005-0000-0000-00003E330000}"/>
    <cellStyle name="Akzent5 81_est. MEAT" xfId="23352" xr:uid="{00000000-0005-0000-0000-00003F330000}"/>
    <cellStyle name="Akzent5 82" xfId="7053" xr:uid="{00000000-0005-0000-0000-000040330000}"/>
    <cellStyle name="Akzent5 82 2" xfId="16471" xr:uid="{00000000-0005-0000-0000-000041330000}"/>
    <cellStyle name="Akzent5 82_est. MEAT" xfId="23353" xr:uid="{00000000-0005-0000-0000-000042330000}"/>
    <cellStyle name="Akzent5 83" xfId="7054" xr:uid="{00000000-0005-0000-0000-000043330000}"/>
    <cellStyle name="Akzent5 83 2" xfId="16472" xr:uid="{00000000-0005-0000-0000-000044330000}"/>
    <cellStyle name="Akzent5 83_est. MEAT" xfId="23354" xr:uid="{00000000-0005-0000-0000-000045330000}"/>
    <cellStyle name="Akzent5 84" xfId="7055" xr:uid="{00000000-0005-0000-0000-000046330000}"/>
    <cellStyle name="Akzent5 84 2" xfId="16473" xr:uid="{00000000-0005-0000-0000-000047330000}"/>
    <cellStyle name="Akzent5 84_est. MEAT" xfId="23355" xr:uid="{00000000-0005-0000-0000-000048330000}"/>
    <cellStyle name="Akzent5 85" xfId="7056" xr:uid="{00000000-0005-0000-0000-000049330000}"/>
    <cellStyle name="Akzent5 85 2" xfId="16474" xr:uid="{00000000-0005-0000-0000-00004A330000}"/>
    <cellStyle name="Akzent5 85_est. MEAT" xfId="23356" xr:uid="{00000000-0005-0000-0000-00004B330000}"/>
    <cellStyle name="Akzent5 86" xfId="7057" xr:uid="{00000000-0005-0000-0000-00004C330000}"/>
    <cellStyle name="Akzent5 86 2" xfId="16475" xr:uid="{00000000-0005-0000-0000-00004D330000}"/>
    <cellStyle name="Akzent5 86_est. MEAT" xfId="23357" xr:uid="{00000000-0005-0000-0000-00004E330000}"/>
    <cellStyle name="Akzent5 87" xfId="7058" xr:uid="{00000000-0005-0000-0000-00004F330000}"/>
    <cellStyle name="Akzent5 87 2" xfId="16476" xr:uid="{00000000-0005-0000-0000-000050330000}"/>
    <cellStyle name="Akzent5 87_est. MEAT" xfId="23358" xr:uid="{00000000-0005-0000-0000-000051330000}"/>
    <cellStyle name="Akzent5 88" xfId="7059" xr:uid="{00000000-0005-0000-0000-000052330000}"/>
    <cellStyle name="Akzent5 88 2" xfId="16477" xr:uid="{00000000-0005-0000-0000-000053330000}"/>
    <cellStyle name="Akzent5 88_est. MEAT" xfId="23359" xr:uid="{00000000-0005-0000-0000-000054330000}"/>
    <cellStyle name="Akzent5 89" xfId="7060" xr:uid="{00000000-0005-0000-0000-000055330000}"/>
    <cellStyle name="Akzent5 89 2" xfId="16478" xr:uid="{00000000-0005-0000-0000-000056330000}"/>
    <cellStyle name="Akzent5 89_est. MEAT" xfId="23360" xr:uid="{00000000-0005-0000-0000-000057330000}"/>
    <cellStyle name="Akzent5 9" xfId="7061" xr:uid="{00000000-0005-0000-0000-000058330000}"/>
    <cellStyle name="Akzent5 9 2" xfId="16479" xr:uid="{00000000-0005-0000-0000-000059330000}"/>
    <cellStyle name="Akzent5 9_est. MEAT" xfId="23361" xr:uid="{00000000-0005-0000-0000-00005A330000}"/>
    <cellStyle name="Akzent5 90" xfId="7062" xr:uid="{00000000-0005-0000-0000-00005B330000}"/>
    <cellStyle name="Akzent5 90 2" xfId="16480" xr:uid="{00000000-0005-0000-0000-00005C330000}"/>
    <cellStyle name="Akzent5 90_est. MEAT" xfId="23362" xr:uid="{00000000-0005-0000-0000-00005D330000}"/>
    <cellStyle name="Akzent5 91" xfId="7063" xr:uid="{00000000-0005-0000-0000-00005E330000}"/>
    <cellStyle name="Akzent5 91 2" xfId="16481" xr:uid="{00000000-0005-0000-0000-00005F330000}"/>
    <cellStyle name="Akzent5 91_est. MEAT" xfId="23363" xr:uid="{00000000-0005-0000-0000-000060330000}"/>
    <cellStyle name="Akzent5 92" xfId="7064" xr:uid="{00000000-0005-0000-0000-000061330000}"/>
    <cellStyle name="Akzent5 92 2" xfId="16482" xr:uid="{00000000-0005-0000-0000-000062330000}"/>
    <cellStyle name="Akzent5 92_est. MEAT" xfId="23364" xr:uid="{00000000-0005-0000-0000-000063330000}"/>
    <cellStyle name="Akzent5 93" xfId="7065" xr:uid="{00000000-0005-0000-0000-000064330000}"/>
    <cellStyle name="Akzent5 93 2" xfId="16483" xr:uid="{00000000-0005-0000-0000-000065330000}"/>
    <cellStyle name="Akzent5 93_est. MEAT" xfId="23365" xr:uid="{00000000-0005-0000-0000-000066330000}"/>
    <cellStyle name="Akzent5 94" xfId="7066" xr:uid="{00000000-0005-0000-0000-000067330000}"/>
    <cellStyle name="Akzent5 94 2" xfId="16484" xr:uid="{00000000-0005-0000-0000-000068330000}"/>
    <cellStyle name="Akzent5 94_est. MEAT" xfId="23366" xr:uid="{00000000-0005-0000-0000-000069330000}"/>
    <cellStyle name="Akzent5 95" xfId="7067" xr:uid="{00000000-0005-0000-0000-00006A330000}"/>
    <cellStyle name="Akzent5 95 2" xfId="16485" xr:uid="{00000000-0005-0000-0000-00006B330000}"/>
    <cellStyle name="Akzent5 95_est. MEAT" xfId="23367" xr:uid="{00000000-0005-0000-0000-00006C330000}"/>
    <cellStyle name="Akzent5 96" xfId="7068" xr:uid="{00000000-0005-0000-0000-00006D330000}"/>
    <cellStyle name="Akzent5 96 2" xfId="16486" xr:uid="{00000000-0005-0000-0000-00006E330000}"/>
    <cellStyle name="Akzent5 96_est. MEAT" xfId="23368" xr:uid="{00000000-0005-0000-0000-00006F330000}"/>
    <cellStyle name="Akzent5 97" xfId="7069" xr:uid="{00000000-0005-0000-0000-000070330000}"/>
    <cellStyle name="Akzent5 97 2" xfId="16487" xr:uid="{00000000-0005-0000-0000-000071330000}"/>
    <cellStyle name="Akzent5 97_est. MEAT" xfId="23369" xr:uid="{00000000-0005-0000-0000-000072330000}"/>
    <cellStyle name="Akzent5 98" xfId="7070" xr:uid="{00000000-0005-0000-0000-000073330000}"/>
    <cellStyle name="Akzent5 98 2" xfId="16488" xr:uid="{00000000-0005-0000-0000-000074330000}"/>
    <cellStyle name="Akzent5 98_est. MEAT" xfId="23370" xr:uid="{00000000-0005-0000-0000-000075330000}"/>
    <cellStyle name="Akzent5 99" xfId="7071" xr:uid="{00000000-0005-0000-0000-000076330000}"/>
    <cellStyle name="Akzent5 99 2" xfId="16489" xr:uid="{00000000-0005-0000-0000-000077330000}"/>
    <cellStyle name="Akzent5 99_est. MEAT" xfId="23371" xr:uid="{00000000-0005-0000-0000-000078330000}"/>
    <cellStyle name="Akzent5_2012-2019" xfId="12376" xr:uid="{00000000-0005-0000-0000-000079330000}"/>
    <cellStyle name="Akzent6" xfId="7072" xr:uid="{00000000-0005-0000-0000-00007A330000}"/>
    <cellStyle name="Akzent6 10" xfId="7073" xr:uid="{00000000-0005-0000-0000-00007B330000}"/>
    <cellStyle name="Akzent6 10 2" xfId="7074" xr:uid="{00000000-0005-0000-0000-00007C330000}"/>
    <cellStyle name="Akzent6 10 2 2" xfId="16492" xr:uid="{00000000-0005-0000-0000-00007D330000}"/>
    <cellStyle name="Akzent6 10 2_est. MEAT" xfId="23372" xr:uid="{00000000-0005-0000-0000-00007E330000}"/>
    <cellStyle name="Akzent6 10 3" xfId="16491" xr:uid="{00000000-0005-0000-0000-00007F330000}"/>
    <cellStyle name="Akzent6 10_2012-2019" xfId="12378" xr:uid="{00000000-0005-0000-0000-000080330000}"/>
    <cellStyle name="Akzent6 100" xfId="7075" xr:uid="{00000000-0005-0000-0000-000081330000}"/>
    <cellStyle name="Akzent6 100 2" xfId="16493" xr:uid="{00000000-0005-0000-0000-000082330000}"/>
    <cellStyle name="Akzent6 100_est. MEAT" xfId="23373" xr:uid="{00000000-0005-0000-0000-000083330000}"/>
    <cellStyle name="Akzent6 101" xfId="7076" xr:uid="{00000000-0005-0000-0000-000084330000}"/>
    <cellStyle name="Akzent6 101 2" xfId="16494" xr:uid="{00000000-0005-0000-0000-000085330000}"/>
    <cellStyle name="Akzent6 101_est. MEAT" xfId="23374" xr:uid="{00000000-0005-0000-0000-000086330000}"/>
    <cellStyle name="Akzent6 102" xfId="7077" xr:uid="{00000000-0005-0000-0000-000087330000}"/>
    <cellStyle name="Akzent6 102 2" xfId="16495" xr:uid="{00000000-0005-0000-0000-000088330000}"/>
    <cellStyle name="Akzent6 102_est. MEAT" xfId="23375" xr:uid="{00000000-0005-0000-0000-000089330000}"/>
    <cellStyle name="Akzent6 103" xfId="7078" xr:uid="{00000000-0005-0000-0000-00008A330000}"/>
    <cellStyle name="Akzent6 103 2" xfId="16496" xr:uid="{00000000-0005-0000-0000-00008B330000}"/>
    <cellStyle name="Akzent6 103_est. MEAT" xfId="23376" xr:uid="{00000000-0005-0000-0000-00008C330000}"/>
    <cellStyle name="Akzent6 104" xfId="7079" xr:uid="{00000000-0005-0000-0000-00008D330000}"/>
    <cellStyle name="Akzent6 104 2" xfId="16497" xr:uid="{00000000-0005-0000-0000-00008E330000}"/>
    <cellStyle name="Akzent6 104_est. MEAT" xfId="23377" xr:uid="{00000000-0005-0000-0000-00008F330000}"/>
    <cellStyle name="Akzent6 105" xfId="7080" xr:uid="{00000000-0005-0000-0000-000090330000}"/>
    <cellStyle name="Akzent6 105 2" xfId="16498" xr:uid="{00000000-0005-0000-0000-000091330000}"/>
    <cellStyle name="Akzent6 105_est. MEAT" xfId="23378" xr:uid="{00000000-0005-0000-0000-000092330000}"/>
    <cellStyle name="Akzent6 106" xfId="7081" xr:uid="{00000000-0005-0000-0000-000093330000}"/>
    <cellStyle name="Akzent6 106 2" xfId="16499" xr:uid="{00000000-0005-0000-0000-000094330000}"/>
    <cellStyle name="Akzent6 106_est. MEAT" xfId="23379" xr:uid="{00000000-0005-0000-0000-000095330000}"/>
    <cellStyle name="Akzent6 107" xfId="7082" xr:uid="{00000000-0005-0000-0000-000096330000}"/>
    <cellStyle name="Akzent6 107 2" xfId="16500" xr:uid="{00000000-0005-0000-0000-000097330000}"/>
    <cellStyle name="Akzent6 107_est. MEAT" xfId="23380" xr:uid="{00000000-0005-0000-0000-000098330000}"/>
    <cellStyle name="Akzent6 108" xfId="7083" xr:uid="{00000000-0005-0000-0000-000099330000}"/>
    <cellStyle name="Akzent6 108 2" xfId="16501" xr:uid="{00000000-0005-0000-0000-00009A330000}"/>
    <cellStyle name="Akzent6 108_est. MEAT" xfId="23381" xr:uid="{00000000-0005-0000-0000-00009B330000}"/>
    <cellStyle name="Akzent6 109" xfId="7084" xr:uid="{00000000-0005-0000-0000-00009C330000}"/>
    <cellStyle name="Akzent6 109 2" xfId="16502" xr:uid="{00000000-0005-0000-0000-00009D330000}"/>
    <cellStyle name="Akzent6 109_est. MEAT" xfId="23382" xr:uid="{00000000-0005-0000-0000-00009E330000}"/>
    <cellStyle name="Akzent6 11" xfId="7085" xr:uid="{00000000-0005-0000-0000-00009F330000}"/>
    <cellStyle name="Akzent6 11 2" xfId="7086" xr:uid="{00000000-0005-0000-0000-0000A0330000}"/>
    <cellStyle name="Akzent6 11 2 2" xfId="16504" xr:uid="{00000000-0005-0000-0000-0000A1330000}"/>
    <cellStyle name="Akzent6 11 2_est. MEAT" xfId="23383" xr:uid="{00000000-0005-0000-0000-0000A2330000}"/>
    <cellStyle name="Akzent6 11 3" xfId="16503" xr:uid="{00000000-0005-0000-0000-0000A3330000}"/>
    <cellStyle name="Akzent6 11_2012-2019" xfId="12379" xr:uid="{00000000-0005-0000-0000-0000A4330000}"/>
    <cellStyle name="Akzent6 110" xfId="7087" xr:uid="{00000000-0005-0000-0000-0000A5330000}"/>
    <cellStyle name="Akzent6 110 2" xfId="16505" xr:uid="{00000000-0005-0000-0000-0000A6330000}"/>
    <cellStyle name="Akzent6 110_est. MEAT" xfId="23384" xr:uid="{00000000-0005-0000-0000-0000A7330000}"/>
    <cellStyle name="Akzent6 111" xfId="7088" xr:uid="{00000000-0005-0000-0000-0000A8330000}"/>
    <cellStyle name="Akzent6 111 2" xfId="16506" xr:uid="{00000000-0005-0000-0000-0000A9330000}"/>
    <cellStyle name="Akzent6 111_est. MEAT" xfId="23385" xr:uid="{00000000-0005-0000-0000-0000AA330000}"/>
    <cellStyle name="Akzent6 112" xfId="7089" xr:uid="{00000000-0005-0000-0000-0000AB330000}"/>
    <cellStyle name="Akzent6 112 2" xfId="16507" xr:uid="{00000000-0005-0000-0000-0000AC330000}"/>
    <cellStyle name="Akzent6 112_est. MEAT" xfId="23386" xr:uid="{00000000-0005-0000-0000-0000AD330000}"/>
    <cellStyle name="Akzent6 113" xfId="7090" xr:uid="{00000000-0005-0000-0000-0000AE330000}"/>
    <cellStyle name="Akzent6 113 2" xfId="16508" xr:uid="{00000000-0005-0000-0000-0000AF330000}"/>
    <cellStyle name="Akzent6 113_est. MEAT" xfId="23387" xr:uid="{00000000-0005-0000-0000-0000B0330000}"/>
    <cellStyle name="Akzent6 114" xfId="7091" xr:uid="{00000000-0005-0000-0000-0000B1330000}"/>
    <cellStyle name="Akzent6 114 2" xfId="16509" xr:uid="{00000000-0005-0000-0000-0000B2330000}"/>
    <cellStyle name="Akzent6 114_est. MEAT" xfId="23388" xr:uid="{00000000-0005-0000-0000-0000B3330000}"/>
    <cellStyle name="Akzent6 115" xfId="7092" xr:uid="{00000000-0005-0000-0000-0000B4330000}"/>
    <cellStyle name="Akzent6 115 2" xfId="16510" xr:uid="{00000000-0005-0000-0000-0000B5330000}"/>
    <cellStyle name="Akzent6 115_est. MEAT" xfId="23389" xr:uid="{00000000-0005-0000-0000-0000B6330000}"/>
    <cellStyle name="Akzent6 116" xfId="7093" xr:uid="{00000000-0005-0000-0000-0000B7330000}"/>
    <cellStyle name="Akzent6 116 2" xfId="16511" xr:uid="{00000000-0005-0000-0000-0000B8330000}"/>
    <cellStyle name="Akzent6 116_est. MEAT" xfId="23390" xr:uid="{00000000-0005-0000-0000-0000B9330000}"/>
    <cellStyle name="Akzent6 117" xfId="7094" xr:uid="{00000000-0005-0000-0000-0000BA330000}"/>
    <cellStyle name="Akzent6 117 2" xfId="16512" xr:uid="{00000000-0005-0000-0000-0000BB330000}"/>
    <cellStyle name="Akzent6 117_est. MEAT" xfId="23391" xr:uid="{00000000-0005-0000-0000-0000BC330000}"/>
    <cellStyle name="Akzent6 118" xfId="7095" xr:uid="{00000000-0005-0000-0000-0000BD330000}"/>
    <cellStyle name="Akzent6 118 2" xfId="16513" xr:uid="{00000000-0005-0000-0000-0000BE330000}"/>
    <cellStyle name="Akzent6 118_est. MEAT" xfId="23392" xr:uid="{00000000-0005-0000-0000-0000BF330000}"/>
    <cellStyle name="Akzent6 119" xfId="7096" xr:uid="{00000000-0005-0000-0000-0000C0330000}"/>
    <cellStyle name="Akzent6 119 2" xfId="16514" xr:uid="{00000000-0005-0000-0000-0000C1330000}"/>
    <cellStyle name="Akzent6 119_est. MEAT" xfId="23393" xr:uid="{00000000-0005-0000-0000-0000C2330000}"/>
    <cellStyle name="Akzent6 12" xfId="7097" xr:uid="{00000000-0005-0000-0000-0000C3330000}"/>
    <cellStyle name="Akzent6 12 2" xfId="7098" xr:uid="{00000000-0005-0000-0000-0000C4330000}"/>
    <cellStyle name="Akzent6 12 2 2" xfId="16516" xr:uid="{00000000-0005-0000-0000-0000C5330000}"/>
    <cellStyle name="Akzent6 12 2_est. MEAT" xfId="23394" xr:uid="{00000000-0005-0000-0000-0000C6330000}"/>
    <cellStyle name="Akzent6 12 3" xfId="16515" xr:uid="{00000000-0005-0000-0000-0000C7330000}"/>
    <cellStyle name="Akzent6 12_2012-2019" xfId="12380" xr:uid="{00000000-0005-0000-0000-0000C8330000}"/>
    <cellStyle name="Akzent6 120" xfId="7099" xr:uid="{00000000-0005-0000-0000-0000C9330000}"/>
    <cellStyle name="Akzent6 120 2" xfId="16517" xr:uid="{00000000-0005-0000-0000-0000CA330000}"/>
    <cellStyle name="Akzent6 120_est. MEAT" xfId="23395" xr:uid="{00000000-0005-0000-0000-0000CB330000}"/>
    <cellStyle name="Akzent6 121" xfId="7100" xr:uid="{00000000-0005-0000-0000-0000CC330000}"/>
    <cellStyle name="Akzent6 121 2" xfId="16518" xr:uid="{00000000-0005-0000-0000-0000CD330000}"/>
    <cellStyle name="Akzent6 121_est. MEAT" xfId="23396" xr:uid="{00000000-0005-0000-0000-0000CE330000}"/>
    <cellStyle name="Akzent6 122" xfId="7101" xr:uid="{00000000-0005-0000-0000-0000CF330000}"/>
    <cellStyle name="Akzent6 122 2" xfId="16519" xr:uid="{00000000-0005-0000-0000-0000D0330000}"/>
    <cellStyle name="Akzent6 122_est. MEAT" xfId="23397" xr:uid="{00000000-0005-0000-0000-0000D1330000}"/>
    <cellStyle name="Akzent6 123" xfId="7102" xr:uid="{00000000-0005-0000-0000-0000D2330000}"/>
    <cellStyle name="Akzent6 123 2" xfId="16520" xr:uid="{00000000-0005-0000-0000-0000D3330000}"/>
    <cellStyle name="Akzent6 123_est. MEAT" xfId="23398" xr:uid="{00000000-0005-0000-0000-0000D4330000}"/>
    <cellStyle name="Akzent6 124" xfId="7103" xr:uid="{00000000-0005-0000-0000-0000D5330000}"/>
    <cellStyle name="Akzent6 124 2" xfId="16521" xr:uid="{00000000-0005-0000-0000-0000D6330000}"/>
    <cellStyle name="Akzent6 124_est. MEAT" xfId="23399" xr:uid="{00000000-0005-0000-0000-0000D7330000}"/>
    <cellStyle name="Akzent6 125" xfId="7104" xr:uid="{00000000-0005-0000-0000-0000D8330000}"/>
    <cellStyle name="Akzent6 125 2" xfId="16522" xr:uid="{00000000-0005-0000-0000-0000D9330000}"/>
    <cellStyle name="Akzent6 125_est. MEAT" xfId="23400" xr:uid="{00000000-0005-0000-0000-0000DA330000}"/>
    <cellStyle name="Akzent6 126" xfId="7105" xr:uid="{00000000-0005-0000-0000-0000DB330000}"/>
    <cellStyle name="Akzent6 126 2" xfId="16523" xr:uid="{00000000-0005-0000-0000-0000DC330000}"/>
    <cellStyle name="Akzent6 126_est. MEAT" xfId="23401" xr:uid="{00000000-0005-0000-0000-0000DD330000}"/>
    <cellStyle name="Akzent6 127" xfId="7106" xr:uid="{00000000-0005-0000-0000-0000DE330000}"/>
    <cellStyle name="Akzent6 127 2" xfId="16524" xr:uid="{00000000-0005-0000-0000-0000DF330000}"/>
    <cellStyle name="Akzent6 127_est. MEAT" xfId="23402" xr:uid="{00000000-0005-0000-0000-0000E0330000}"/>
    <cellStyle name="Akzent6 128" xfId="7107" xr:uid="{00000000-0005-0000-0000-0000E1330000}"/>
    <cellStyle name="Akzent6 128 2" xfId="16525" xr:uid="{00000000-0005-0000-0000-0000E2330000}"/>
    <cellStyle name="Akzent6 128_est. MEAT" xfId="23403" xr:uid="{00000000-0005-0000-0000-0000E3330000}"/>
    <cellStyle name="Akzent6 129" xfId="7108" xr:uid="{00000000-0005-0000-0000-0000E4330000}"/>
    <cellStyle name="Akzent6 129 2" xfId="16526" xr:uid="{00000000-0005-0000-0000-0000E5330000}"/>
    <cellStyle name="Akzent6 129_est. MEAT" xfId="23404" xr:uid="{00000000-0005-0000-0000-0000E6330000}"/>
    <cellStyle name="Akzent6 13" xfId="7109" xr:uid="{00000000-0005-0000-0000-0000E7330000}"/>
    <cellStyle name="Akzent6 13 2" xfId="7110" xr:uid="{00000000-0005-0000-0000-0000E8330000}"/>
    <cellStyle name="Akzent6 13 2 2" xfId="16528" xr:uid="{00000000-0005-0000-0000-0000E9330000}"/>
    <cellStyle name="Akzent6 13 2_est. MEAT" xfId="23405" xr:uid="{00000000-0005-0000-0000-0000EA330000}"/>
    <cellStyle name="Akzent6 13 3" xfId="16527" xr:uid="{00000000-0005-0000-0000-0000EB330000}"/>
    <cellStyle name="Akzent6 13_2012-2019" xfId="12381" xr:uid="{00000000-0005-0000-0000-0000EC330000}"/>
    <cellStyle name="Akzent6 130" xfId="7111" xr:uid="{00000000-0005-0000-0000-0000ED330000}"/>
    <cellStyle name="Akzent6 130 2" xfId="16529" xr:uid="{00000000-0005-0000-0000-0000EE330000}"/>
    <cellStyle name="Akzent6 130_est. MEAT" xfId="23406" xr:uid="{00000000-0005-0000-0000-0000EF330000}"/>
    <cellStyle name="Akzent6 131" xfId="7112" xr:uid="{00000000-0005-0000-0000-0000F0330000}"/>
    <cellStyle name="Akzent6 131 2" xfId="16530" xr:uid="{00000000-0005-0000-0000-0000F1330000}"/>
    <cellStyle name="Akzent6 131_est. MEAT" xfId="23407" xr:uid="{00000000-0005-0000-0000-0000F2330000}"/>
    <cellStyle name="Akzent6 132" xfId="7113" xr:uid="{00000000-0005-0000-0000-0000F3330000}"/>
    <cellStyle name="Akzent6 132 2" xfId="16531" xr:uid="{00000000-0005-0000-0000-0000F4330000}"/>
    <cellStyle name="Akzent6 132_est. MEAT" xfId="23408" xr:uid="{00000000-0005-0000-0000-0000F5330000}"/>
    <cellStyle name="Akzent6 133" xfId="7114" xr:uid="{00000000-0005-0000-0000-0000F6330000}"/>
    <cellStyle name="Akzent6 133 2" xfId="16532" xr:uid="{00000000-0005-0000-0000-0000F7330000}"/>
    <cellStyle name="Akzent6 133_est. MEAT" xfId="23409" xr:uid="{00000000-0005-0000-0000-0000F8330000}"/>
    <cellStyle name="Akzent6 134" xfId="7115" xr:uid="{00000000-0005-0000-0000-0000F9330000}"/>
    <cellStyle name="Akzent6 134 2" xfId="16533" xr:uid="{00000000-0005-0000-0000-0000FA330000}"/>
    <cellStyle name="Akzent6 134_est. MEAT" xfId="23410" xr:uid="{00000000-0005-0000-0000-0000FB330000}"/>
    <cellStyle name="Akzent6 135" xfId="7116" xr:uid="{00000000-0005-0000-0000-0000FC330000}"/>
    <cellStyle name="Akzent6 135 2" xfId="16534" xr:uid="{00000000-0005-0000-0000-0000FD330000}"/>
    <cellStyle name="Akzent6 135_est. MEAT" xfId="23411" xr:uid="{00000000-0005-0000-0000-0000FE330000}"/>
    <cellStyle name="Akzent6 136" xfId="7117" xr:uid="{00000000-0005-0000-0000-0000FF330000}"/>
    <cellStyle name="Akzent6 136 2" xfId="16535" xr:uid="{00000000-0005-0000-0000-000000340000}"/>
    <cellStyle name="Akzent6 136_est. MEAT" xfId="23412" xr:uid="{00000000-0005-0000-0000-000001340000}"/>
    <cellStyle name="Akzent6 137" xfId="7118" xr:uid="{00000000-0005-0000-0000-000002340000}"/>
    <cellStyle name="Akzent6 137 2" xfId="16536" xr:uid="{00000000-0005-0000-0000-000003340000}"/>
    <cellStyle name="Akzent6 137_est. MEAT" xfId="23413" xr:uid="{00000000-0005-0000-0000-000004340000}"/>
    <cellStyle name="Akzent6 138" xfId="7119" xr:uid="{00000000-0005-0000-0000-000005340000}"/>
    <cellStyle name="Akzent6 138 2" xfId="16537" xr:uid="{00000000-0005-0000-0000-000006340000}"/>
    <cellStyle name="Akzent6 138_est. MEAT" xfId="23414" xr:uid="{00000000-0005-0000-0000-000007340000}"/>
    <cellStyle name="Akzent6 139" xfId="7120" xr:uid="{00000000-0005-0000-0000-000008340000}"/>
    <cellStyle name="Akzent6 139 2" xfId="16538" xr:uid="{00000000-0005-0000-0000-000009340000}"/>
    <cellStyle name="Akzent6 139_est. MEAT" xfId="23415" xr:uid="{00000000-0005-0000-0000-00000A340000}"/>
    <cellStyle name="Akzent6 14" xfId="7121" xr:uid="{00000000-0005-0000-0000-00000B340000}"/>
    <cellStyle name="Akzent6 14 2" xfId="7122" xr:uid="{00000000-0005-0000-0000-00000C340000}"/>
    <cellStyle name="Akzent6 14 2 2" xfId="16540" xr:uid="{00000000-0005-0000-0000-00000D340000}"/>
    <cellStyle name="Akzent6 14 2_est. MEAT" xfId="23416" xr:uid="{00000000-0005-0000-0000-00000E340000}"/>
    <cellStyle name="Akzent6 14 3" xfId="16539" xr:uid="{00000000-0005-0000-0000-00000F340000}"/>
    <cellStyle name="Akzent6 14_2012-2019" xfId="12382" xr:uid="{00000000-0005-0000-0000-000010340000}"/>
    <cellStyle name="Akzent6 140" xfId="7123" xr:uid="{00000000-0005-0000-0000-000011340000}"/>
    <cellStyle name="Akzent6 140 2" xfId="16541" xr:uid="{00000000-0005-0000-0000-000012340000}"/>
    <cellStyle name="Akzent6 140_est. MEAT" xfId="23417" xr:uid="{00000000-0005-0000-0000-000013340000}"/>
    <cellStyle name="Akzent6 141" xfId="7124" xr:uid="{00000000-0005-0000-0000-000014340000}"/>
    <cellStyle name="Akzent6 141 2" xfId="16542" xr:uid="{00000000-0005-0000-0000-000015340000}"/>
    <cellStyle name="Akzent6 141_est. MEAT" xfId="23418" xr:uid="{00000000-0005-0000-0000-000016340000}"/>
    <cellStyle name="Akzent6 142" xfId="7125" xr:uid="{00000000-0005-0000-0000-000017340000}"/>
    <cellStyle name="Akzent6 142 2" xfId="16543" xr:uid="{00000000-0005-0000-0000-000018340000}"/>
    <cellStyle name="Akzent6 142_est. MEAT" xfId="23419" xr:uid="{00000000-0005-0000-0000-000019340000}"/>
    <cellStyle name="Akzent6 143" xfId="7126" xr:uid="{00000000-0005-0000-0000-00001A340000}"/>
    <cellStyle name="Akzent6 143 2" xfId="16544" xr:uid="{00000000-0005-0000-0000-00001B340000}"/>
    <cellStyle name="Akzent6 143_est. MEAT" xfId="23420" xr:uid="{00000000-0005-0000-0000-00001C340000}"/>
    <cellStyle name="Akzent6 144" xfId="7127" xr:uid="{00000000-0005-0000-0000-00001D340000}"/>
    <cellStyle name="Akzent6 144 2" xfId="16545" xr:uid="{00000000-0005-0000-0000-00001E340000}"/>
    <cellStyle name="Akzent6 144_est. MEAT" xfId="23421" xr:uid="{00000000-0005-0000-0000-00001F340000}"/>
    <cellStyle name="Akzent6 145" xfId="7128" xr:uid="{00000000-0005-0000-0000-000020340000}"/>
    <cellStyle name="Akzent6 145 2" xfId="16546" xr:uid="{00000000-0005-0000-0000-000021340000}"/>
    <cellStyle name="Akzent6 145_est. MEAT" xfId="23422" xr:uid="{00000000-0005-0000-0000-000022340000}"/>
    <cellStyle name="Akzent6 146" xfId="7129" xr:uid="{00000000-0005-0000-0000-000023340000}"/>
    <cellStyle name="Akzent6 146 2" xfId="16547" xr:uid="{00000000-0005-0000-0000-000024340000}"/>
    <cellStyle name="Akzent6 146_est. MEAT" xfId="23423" xr:uid="{00000000-0005-0000-0000-000025340000}"/>
    <cellStyle name="Akzent6 147" xfId="7130" xr:uid="{00000000-0005-0000-0000-000026340000}"/>
    <cellStyle name="Akzent6 147 2" xfId="16548" xr:uid="{00000000-0005-0000-0000-000027340000}"/>
    <cellStyle name="Akzent6 147_est. MEAT" xfId="23424" xr:uid="{00000000-0005-0000-0000-000028340000}"/>
    <cellStyle name="Akzent6 148" xfId="7131" xr:uid="{00000000-0005-0000-0000-000029340000}"/>
    <cellStyle name="Akzent6 148 2" xfId="16549" xr:uid="{00000000-0005-0000-0000-00002A340000}"/>
    <cellStyle name="Akzent6 148_est. MEAT" xfId="23425" xr:uid="{00000000-0005-0000-0000-00002B340000}"/>
    <cellStyle name="Akzent6 149" xfId="7132" xr:uid="{00000000-0005-0000-0000-00002C340000}"/>
    <cellStyle name="Akzent6 149 2" xfId="16550" xr:uid="{00000000-0005-0000-0000-00002D340000}"/>
    <cellStyle name="Akzent6 149_est. MEAT" xfId="23426" xr:uid="{00000000-0005-0000-0000-00002E340000}"/>
    <cellStyle name="Akzent6 15" xfId="7133" xr:uid="{00000000-0005-0000-0000-00002F340000}"/>
    <cellStyle name="Akzent6 15 2" xfId="16551" xr:uid="{00000000-0005-0000-0000-000030340000}"/>
    <cellStyle name="Akzent6 15_est. MEAT" xfId="23427" xr:uid="{00000000-0005-0000-0000-000031340000}"/>
    <cellStyle name="Akzent6 150" xfId="7134" xr:uid="{00000000-0005-0000-0000-000032340000}"/>
    <cellStyle name="Akzent6 150 2" xfId="16552" xr:uid="{00000000-0005-0000-0000-000033340000}"/>
    <cellStyle name="Akzent6 150_est. MEAT" xfId="23428" xr:uid="{00000000-0005-0000-0000-000034340000}"/>
    <cellStyle name="Akzent6 151" xfId="7135" xr:uid="{00000000-0005-0000-0000-000035340000}"/>
    <cellStyle name="Akzent6 151 2" xfId="16553" xr:uid="{00000000-0005-0000-0000-000036340000}"/>
    <cellStyle name="Akzent6 151_est. MEAT" xfId="23429" xr:uid="{00000000-0005-0000-0000-000037340000}"/>
    <cellStyle name="Akzent6 152" xfId="16490" xr:uid="{00000000-0005-0000-0000-000038340000}"/>
    <cellStyle name="Akzent6 16" xfId="7136" xr:uid="{00000000-0005-0000-0000-000039340000}"/>
    <cellStyle name="Akzent6 16 2" xfId="16554" xr:uid="{00000000-0005-0000-0000-00003A340000}"/>
    <cellStyle name="Akzent6 16_est. MEAT" xfId="23430" xr:uid="{00000000-0005-0000-0000-00003B340000}"/>
    <cellStyle name="Akzent6 17" xfId="7137" xr:uid="{00000000-0005-0000-0000-00003C340000}"/>
    <cellStyle name="Akzent6 17 2" xfId="16555" xr:uid="{00000000-0005-0000-0000-00003D340000}"/>
    <cellStyle name="Akzent6 17_est. MEAT" xfId="23431" xr:uid="{00000000-0005-0000-0000-00003E340000}"/>
    <cellStyle name="Akzent6 18" xfId="7138" xr:uid="{00000000-0005-0000-0000-00003F340000}"/>
    <cellStyle name="Akzent6 18 2" xfId="16556" xr:uid="{00000000-0005-0000-0000-000040340000}"/>
    <cellStyle name="Akzent6 18_est. MEAT" xfId="23432" xr:uid="{00000000-0005-0000-0000-000041340000}"/>
    <cellStyle name="Akzent6 19" xfId="7139" xr:uid="{00000000-0005-0000-0000-000042340000}"/>
    <cellStyle name="Akzent6 19 2" xfId="16557" xr:uid="{00000000-0005-0000-0000-000043340000}"/>
    <cellStyle name="Akzent6 19_est. MEAT" xfId="23433" xr:uid="{00000000-0005-0000-0000-000044340000}"/>
    <cellStyle name="Akzent6 2" xfId="7140" xr:uid="{00000000-0005-0000-0000-000045340000}"/>
    <cellStyle name="Akzent6 2 2" xfId="7141" xr:uid="{00000000-0005-0000-0000-000046340000}"/>
    <cellStyle name="Akzent6 2 2 2" xfId="16559" xr:uid="{00000000-0005-0000-0000-000047340000}"/>
    <cellStyle name="Akzent6 2 2_est. MEAT" xfId="23434" xr:uid="{00000000-0005-0000-0000-000048340000}"/>
    <cellStyle name="Akzent6 2 3" xfId="16558" xr:uid="{00000000-0005-0000-0000-000049340000}"/>
    <cellStyle name="Akzent6 2_2012-2019" xfId="12383" xr:uid="{00000000-0005-0000-0000-00004A340000}"/>
    <cellStyle name="Akzent6 20" xfId="7142" xr:uid="{00000000-0005-0000-0000-00004B340000}"/>
    <cellStyle name="Akzent6 20 2" xfId="16560" xr:uid="{00000000-0005-0000-0000-00004C340000}"/>
    <cellStyle name="Akzent6 20_est. MEAT" xfId="23435" xr:uid="{00000000-0005-0000-0000-00004D340000}"/>
    <cellStyle name="Akzent6 21" xfId="7143" xr:uid="{00000000-0005-0000-0000-00004E340000}"/>
    <cellStyle name="Akzent6 21 2" xfId="16561" xr:uid="{00000000-0005-0000-0000-00004F340000}"/>
    <cellStyle name="Akzent6 21_est. MEAT" xfId="23436" xr:uid="{00000000-0005-0000-0000-000050340000}"/>
    <cellStyle name="Akzent6 22" xfId="7144" xr:uid="{00000000-0005-0000-0000-000051340000}"/>
    <cellStyle name="Akzent6 22 2" xfId="16562" xr:uid="{00000000-0005-0000-0000-000052340000}"/>
    <cellStyle name="Akzent6 22_est. MEAT" xfId="23437" xr:uid="{00000000-0005-0000-0000-000053340000}"/>
    <cellStyle name="Akzent6 23" xfId="7145" xr:uid="{00000000-0005-0000-0000-000054340000}"/>
    <cellStyle name="Akzent6 23 2" xfId="16563" xr:uid="{00000000-0005-0000-0000-000055340000}"/>
    <cellStyle name="Akzent6 23_est. MEAT" xfId="23438" xr:uid="{00000000-0005-0000-0000-000056340000}"/>
    <cellStyle name="Akzent6 24" xfId="7146" xr:uid="{00000000-0005-0000-0000-000057340000}"/>
    <cellStyle name="Akzent6 24 2" xfId="16564" xr:uid="{00000000-0005-0000-0000-000058340000}"/>
    <cellStyle name="Akzent6 24_est. MEAT" xfId="23439" xr:uid="{00000000-0005-0000-0000-000059340000}"/>
    <cellStyle name="Akzent6 25" xfId="7147" xr:uid="{00000000-0005-0000-0000-00005A340000}"/>
    <cellStyle name="Akzent6 25 2" xfId="16565" xr:uid="{00000000-0005-0000-0000-00005B340000}"/>
    <cellStyle name="Akzent6 25_est. MEAT" xfId="23440" xr:uid="{00000000-0005-0000-0000-00005C340000}"/>
    <cellStyle name="Akzent6 26" xfId="7148" xr:uid="{00000000-0005-0000-0000-00005D340000}"/>
    <cellStyle name="Akzent6 26 2" xfId="16566" xr:uid="{00000000-0005-0000-0000-00005E340000}"/>
    <cellStyle name="Akzent6 26_est. MEAT" xfId="23441" xr:uid="{00000000-0005-0000-0000-00005F340000}"/>
    <cellStyle name="Akzent6 27" xfId="7149" xr:uid="{00000000-0005-0000-0000-000060340000}"/>
    <cellStyle name="Akzent6 27 2" xfId="16567" xr:uid="{00000000-0005-0000-0000-000061340000}"/>
    <cellStyle name="Akzent6 27_est. MEAT" xfId="23442" xr:uid="{00000000-0005-0000-0000-000062340000}"/>
    <cellStyle name="Akzent6 28" xfId="7150" xr:uid="{00000000-0005-0000-0000-000063340000}"/>
    <cellStyle name="Akzent6 28 2" xfId="16568" xr:uid="{00000000-0005-0000-0000-000064340000}"/>
    <cellStyle name="Akzent6 28_est. MEAT" xfId="23443" xr:uid="{00000000-0005-0000-0000-000065340000}"/>
    <cellStyle name="Akzent6 29" xfId="7151" xr:uid="{00000000-0005-0000-0000-000066340000}"/>
    <cellStyle name="Akzent6 29 2" xfId="16569" xr:uid="{00000000-0005-0000-0000-000067340000}"/>
    <cellStyle name="Akzent6 29_est. MEAT" xfId="23444" xr:uid="{00000000-0005-0000-0000-000068340000}"/>
    <cellStyle name="Akzent6 3" xfId="7152" xr:uid="{00000000-0005-0000-0000-000069340000}"/>
    <cellStyle name="Akzent6 3 2" xfId="7153" xr:uid="{00000000-0005-0000-0000-00006A340000}"/>
    <cellStyle name="Akzent6 3 2 2" xfId="16571" xr:uid="{00000000-0005-0000-0000-00006B340000}"/>
    <cellStyle name="Akzent6 3 2_est. MEAT" xfId="23445" xr:uid="{00000000-0005-0000-0000-00006C340000}"/>
    <cellStyle name="Akzent6 3 3" xfId="16570" xr:uid="{00000000-0005-0000-0000-00006D340000}"/>
    <cellStyle name="Akzent6 3_2012-2019" xfId="12384" xr:uid="{00000000-0005-0000-0000-00006E340000}"/>
    <cellStyle name="Akzent6 30" xfId="7154" xr:uid="{00000000-0005-0000-0000-00006F340000}"/>
    <cellStyle name="Akzent6 30 2" xfId="16572" xr:uid="{00000000-0005-0000-0000-000070340000}"/>
    <cellStyle name="Akzent6 30_est. MEAT" xfId="23446" xr:uid="{00000000-0005-0000-0000-000071340000}"/>
    <cellStyle name="Akzent6 31" xfId="7155" xr:uid="{00000000-0005-0000-0000-000072340000}"/>
    <cellStyle name="Akzent6 31 2" xfId="16573" xr:uid="{00000000-0005-0000-0000-000073340000}"/>
    <cellStyle name="Akzent6 31_est. MEAT" xfId="23447" xr:uid="{00000000-0005-0000-0000-000074340000}"/>
    <cellStyle name="Akzent6 32" xfId="7156" xr:uid="{00000000-0005-0000-0000-000075340000}"/>
    <cellStyle name="Akzent6 32 2" xfId="16574" xr:uid="{00000000-0005-0000-0000-000076340000}"/>
    <cellStyle name="Akzent6 32_est. MEAT" xfId="23448" xr:uid="{00000000-0005-0000-0000-000077340000}"/>
    <cellStyle name="Akzent6 33" xfId="7157" xr:uid="{00000000-0005-0000-0000-000078340000}"/>
    <cellStyle name="Akzent6 33 2" xfId="16575" xr:uid="{00000000-0005-0000-0000-000079340000}"/>
    <cellStyle name="Akzent6 33_est. MEAT" xfId="23449" xr:uid="{00000000-0005-0000-0000-00007A340000}"/>
    <cellStyle name="Akzent6 34" xfId="7158" xr:uid="{00000000-0005-0000-0000-00007B340000}"/>
    <cellStyle name="Akzent6 34 2" xfId="16576" xr:uid="{00000000-0005-0000-0000-00007C340000}"/>
    <cellStyle name="Akzent6 34_est. MEAT" xfId="23450" xr:uid="{00000000-0005-0000-0000-00007D340000}"/>
    <cellStyle name="Akzent6 35" xfId="7159" xr:uid="{00000000-0005-0000-0000-00007E340000}"/>
    <cellStyle name="Akzent6 35 2" xfId="16577" xr:uid="{00000000-0005-0000-0000-00007F340000}"/>
    <cellStyle name="Akzent6 35_est. MEAT" xfId="23451" xr:uid="{00000000-0005-0000-0000-000080340000}"/>
    <cellStyle name="Akzent6 36" xfId="7160" xr:uid="{00000000-0005-0000-0000-000081340000}"/>
    <cellStyle name="Akzent6 36 2" xfId="16578" xr:uid="{00000000-0005-0000-0000-000082340000}"/>
    <cellStyle name="Akzent6 36_est. MEAT" xfId="23452" xr:uid="{00000000-0005-0000-0000-000083340000}"/>
    <cellStyle name="Akzent6 37" xfId="7161" xr:uid="{00000000-0005-0000-0000-000084340000}"/>
    <cellStyle name="Akzent6 37 2" xfId="16579" xr:uid="{00000000-0005-0000-0000-000085340000}"/>
    <cellStyle name="Akzent6 37_est. MEAT" xfId="23453" xr:uid="{00000000-0005-0000-0000-000086340000}"/>
    <cellStyle name="Akzent6 38" xfId="7162" xr:uid="{00000000-0005-0000-0000-000087340000}"/>
    <cellStyle name="Akzent6 38 2" xfId="16580" xr:uid="{00000000-0005-0000-0000-000088340000}"/>
    <cellStyle name="Akzent6 38_est. MEAT" xfId="23454" xr:uid="{00000000-0005-0000-0000-000089340000}"/>
    <cellStyle name="Akzent6 39" xfId="7163" xr:uid="{00000000-0005-0000-0000-00008A340000}"/>
    <cellStyle name="Akzent6 39 2" xfId="16581" xr:uid="{00000000-0005-0000-0000-00008B340000}"/>
    <cellStyle name="Akzent6 39_est. MEAT" xfId="23455" xr:uid="{00000000-0005-0000-0000-00008C340000}"/>
    <cellStyle name="Akzent6 4" xfId="7164" xr:uid="{00000000-0005-0000-0000-00008D340000}"/>
    <cellStyle name="Akzent6 4 2" xfId="7165" xr:uid="{00000000-0005-0000-0000-00008E340000}"/>
    <cellStyle name="Akzent6 4 2 2" xfId="16583" xr:uid="{00000000-0005-0000-0000-00008F340000}"/>
    <cellStyle name="Akzent6 4 2_est. MEAT" xfId="23456" xr:uid="{00000000-0005-0000-0000-000090340000}"/>
    <cellStyle name="Akzent6 4 3" xfId="16582" xr:uid="{00000000-0005-0000-0000-000091340000}"/>
    <cellStyle name="Akzent6 4_2012-2019" xfId="12385" xr:uid="{00000000-0005-0000-0000-000092340000}"/>
    <cellStyle name="Akzent6 40" xfId="7166" xr:uid="{00000000-0005-0000-0000-000093340000}"/>
    <cellStyle name="Akzent6 40 2" xfId="16584" xr:uid="{00000000-0005-0000-0000-000094340000}"/>
    <cellStyle name="Akzent6 40_est. MEAT" xfId="23457" xr:uid="{00000000-0005-0000-0000-000095340000}"/>
    <cellStyle name="Akzent6 41" xfId="7167" xr:uid="{00000000-0005-0000-0000-000096340000}"/>
    <cellStyle name="Akzent6 41 2" xfId="16585" xr:uid="{00000000-0005-0000-0000-000097340000}"/>
    <cellStyle name="Akzent6 41_est. MEAT" xfId="23458" xr:uid="{00000000-0005-0000-0000-000098340000}"/>
    <cellStyle name="Akzent6 42" xfId="7168" xr:uid="{00000000-0005-0000-0000-000099340000}"/>
    <cellStyle name="Akzent6 42 2" xfId="16586" xr:uid="{00000000-0005-0000-0000-00009A340000}"/>
    <cellStyle name="Akzent6 42_est. MEAT" xfId="23459" xr:uid="{00000000-0005-0000-0000-00009B340000}"/>
    <cellStyle name="Akzent6 43" xfId="7169" xr:uid="{00000000-0005-0000-0000-00009C340000}"/>
    <cellStyle name="Akzent6 43 2" xfId="16587" xr:uid="{00000000-0005-0000-0000-00009D340000}"/>
    <cellStyle name="Akzent6 43_est. MEAT" xfId="23460" xr:uid="{00000000-0005-0000-0000-00009E340000}"/>
    <cellStyle name="Akzent6 44" xfId="7170" xr:uid="{00000000-0005-0000-0000-00009F340000}"/>
    <cellStyle name="Akzent6 44 2" xfId="16588" xr:uid="{00000000-0005-0000-0000-0000A0340000}"/>
    <cellStyle name="Akzent6 44_est. MEAT" xfId="23461" xr:uid="{00000000-0005-0000-0000-0000A1340000}"/>
    <cellStyle name="Akzent6 45" xfId="7171" xr:uid="{00000000-0005-0000-0000-0000A2340000}"/>
    <cellStyle name="Akzent6 45 2" xfId="16589" xr:uid="{00000000-0005-0000-0000-0000A3340000}"/>
    <cellStyle name="Akzent6 45_est. MEAT" xfId="23462" xr:uid="{00000000-0005-0000-0000-0000A4340000}"/>
    <cellStyle name="Akzent6 46" xfId="7172" xr:uid="{00000000-0005-0000-0000-0000A5340000}"/>
    <cellStyle name="Akzent6 46 2" xfId="16590" xr:uid="{00000000-0005-0000-0000-0000A6340000}"/>
    <cellStyle name="Akzent6 46_est. MEAT" xfId="23463" xr:uid="{00000000-0005-0000-0000-0000A7340000}"/>
    <cellStyle name="Akzent6 47" xfId="7173" xr:uid="{00000000-0005-0000-0000-0000A8340000}"/>
    <cellStyle name="Akzent6 47 2" xfId="16591" xr:uid="{00000000-0005-0000-0000-0000A9340000}"/>
    <cellStyle name="Akzent6 47_est. MEAT" xfId="23464" xr:uid="{00000000-0005-0000-0000-0000AA340000}"/>
    <cellStyle name="Akzent6 48" xfId="7174" xr:uid="{00000000-0005-0000-0000-0000AB340000}"/>
    <cellStyle name="Akzent6 48 2" xfId="16592" xr:uid="{00000000-0005-0000-0000-0000AC340000}"/>
    <cellStyle name="Akzent6 48_est. MEAT" xfId="23465" xr:uid="{00000000-0005-0000-0000-0000AD340000}"/>
    <cellStyle name="Akzent6 49" xfId="7175" xr:uid="{00000000-0005-0000-0000-0000AE340000}"/>
    <cellStyle name="Akzent6 49 2" xfId="16593" xr:uid="{00000000-0005-0000-0000-0000AF340000}"/>
    <cellStyle name="Akzent6 49_est. MEAT" xfId="23466" xr:uid="{00000000-0005-0000-0000-0000B0340000}"/>
    <cellStyle name="Akzent6 5" xfId="7176" xr:uid="{00000000-0005-0000-0000-0000B1340000}"/>
    <cellStyle name="Akzent6 5 2" xfId="7177" xr:uid="{00000000-0005-0000-0000-0000B2340000}"/>
    <cellStyle name="Akzent6 5 2 2" xfId="16595" xr:uid="{00000000-0005-0000-0000-0000B3340000}"/>
    <cellStyle name="Akzent6 5 2_est. MEAT" xfId="23467" xr:uid="{00000000-0005-0000-0000-0000B4340000}"/>
    <cellStyle name="Akzent6 5 3" xfId="16594" xr:uid="{00000000-0005-0000-0000-0000B5340000}"/>
    <cellStyle name="Akzent6 5_2012-2019" xfId="12386" xr:uid="{00000000-0005-0000-0000-0000B6340000}"/>
    <cellStyle name="Akzent6 50" xfId="7178" xr:uid="{00000000-0005-0000-0000-0000B7340000}"/>
    <cellStyle name="Akzent6 50 2" xfId="16596" xr:uid="{00000000-0005-0000-0000-0000B8340000}"/>
    <cellStyle name="Akzent6 50_est. MEAT" xfId="23468" xr:uid="{00000000-0005-0000-0000-0000B9340000}"/>
    <cellStyle name="Akzent6 51" xfId="7179" xr:uid="{00000000-0005-0000-0000-0000BA340000}"/>
    <cellStyle name="Akzent6 51 2" xfId="16597" xr:uid="{00000000-0005-0000-0000-0000BB340000}"/>
    <cellStyle name="Akzent6 51_est. MEAT" xfId="23469" xr:uid="{00000000-0005-0000-0000-0000BC340000}"/>
    <cellStyle name="Akzent6 52" xfId="7180" xr:uid="{00000000-0005-0000-0000-0000BD340000}"/>
    <cellStyle name="Akzent6 52 2" xfId="16598" xr:uid="{00000000-0005-0000-0000-0000BE340000}"/>
    <cellStyle name="Akzent6 52_est. MEAT" xfId="23470" xr:uid="{00000000-0005-0000-0000-0000BF340000}"/>
    <cellStyle name="Akzent6 53" xfId="7181" xr:uid="{00000000-0005-0000-0000-0000C0340000}"/>
    <cellStyle name="Akzent6 53 2" xfId="16599" xr:uid="{00000000-0005-0000-0000-0000C1340000}"/>
    <cellStyle name="Akzent6 53_est. MEAT" xfId="23471" xr:uid="{00000000-0005-0000-0000-0000C2340000}"/>
    <cellStyle name="Akzent6 54" xfId="7182" xr:uid="{00000000-0005-0000-0000-0000C3340000}"/>
    <cellStyle name="Akzent6 54 2" xfId="16600" xr:uid="{00000000-0005-0000-0000-0000C4340000}"/>
    <cellStyle name="Akzent6 54_est. MEAT" xfId="23472" xr:uid="{00000000-0005-0000-0000-0000C5340000}"/>
    <cellStyle name="Akzent6 55" xfId="7183" xr:uid="{00000000-0005-0000-0000-0000C6340000}"/>
    <cellStyle name="Akzent6 55 2" xfId="16601" xr:uid="{00000000-0005-0000-0000-0000C7340000}"/>
    <cellStyle name="Akzent6 55_est. MEAT" xfId="23473" xr:uid="{00000000-0005-0000-0000-0000C8340000}"/>
    <cellStyle name="Akzent6 56" xfId="7184" xr:uid="{00000000-0005-0000-0000-0000C9340000}"/>
    <cellStyle name="Akzent6 56 2" xfId="16602" xr:uid="{00000000-0005-0000-0000-0000CA340000}"/>
    <cellStyle name="Akzent6 56_est. MEAT" xfId="23474" xr:uid="{00000000-0005-0000-0000-0000CB340000}"/>
    <cellStyle name="Akzent6 57" xfId="7185" xr:uid="{00000000-0005-0000-0000-0000CC340000}"/>
    <cellStyle name="Akzent6 57 2" xfId="16603" xr:uid="{00000000-0005-0000-0000-0000CD340000}"/>
    <cellStyle name="Akzent6 57_est. MEAT" xfId="23475" xr:uid="{00000000-0005-0000-0000-0000CE340000}"/>
    <cellStyle name="Akzent6 58" xfId="7186" xr:uid="{00000000-0005-0000-0000-0000CF340000}"/>
    <cellStyle name="Akzent6 58 2" xfId="16604" xr:uid="{00000000-0005-0000-0000-0000D0340000}"/>
    <cellStyle name="Akzent6 58_est. MEAT" xfId="23476" xr:uid="{00000000-0005-0000-0000-0000D1340000}"/>
    <cellStyle name="Akzent6 59" xfId="7187" xr:uid="{00000000-0005-0000-0000-0000D2340000}"/>
    <cellStyle name="Akzent6 59 2" xfId="16605" xr:uid="{00000000-0005-0000-0000-0000D3340000}"/>
    <cellStyle name="Akzent6 59_est. MEAT" xfId="23477" xr:uid="{00000000-0005-0000-0000-0000D4340000}"/>
    <cellStyle name="Akzent6 6" xfId="7188" xr:uid="{00000000-0005-0000-0000-0000D5340000}"/>
    <cellStyle name="Akzent6 6 2" xfId="7189" xr:uid="{00000000-0005-0000-0000-0000D6340000}"/>
    <cellStyle name="Akzent6 6 2 2" xfId="16607" xr:uid="{00000000-0005-0000-0000-0000D7340000}"/>
    <cellStyle name="Akzent6 6 2_est. MEAT" xfId="23478" xr:uid="{00000000-0005-0000-0000-0000D8340000}"/>
    <cellStyle name="Akzent6 6 3" xfId="16606" xr:uid="{00000000-0005-0000-0000-0000D9340000}"/>
    <cellStyle name="Akzent6 6_2012-2019" xfId="12387" xr:uid="{00000000-0005-0000-0000-0000DA340000}"/>
    <cellStyle name="Akzent6 60" xfId="7190" xr:uid="{00000000-0005-0000-0000-0000DB340000}"/>
    <cellStyle name="Akzent6 60 2" xfId="16608" xr:uid="{00000000-0005-0000-0000-0000DC340000}"/>
    <cellStyle name="Akzent6 60_est. MEAT" xfId="23479" xr:uid="{00000000-0005-0000-0000-0000DD340000}"/>
    <cellStyle name="Akzent6 61" xfId="7191" xr:uid="{00000000-0005-0000-0000-0000DE340000}"/>
    <cellStyle name="Akzent6 61 2" xfId="16609" xr:uid="{00000000-0005-0000-0000-0000DF340000}"/>
    <cellStyle name="Akzent6 61_est. MEAT" xfId="23480" xr:uid="{00000000-0005-0000-0000-0000E0340000}"/>
    <cellStyle name="Akzent6 62" xfId="7192" xr:uid="{00000000-0005-0000-0000-0000E1340000}"/>
    <cellStyle name="Akzent6 62 2" xfId="16610" xr:uid="{00000000-0005-0000-0000-0000E2340000}"/>
    <cellStyle name="Akzent6 62_est. MEAT" xfId="23481" xr:uid="{00000000-0005-0000-0000-0000E3340000}"/>
    <cellStyle name="Akzent6 63" xfId="7193" xr:uid="{00000000-0005-0000-0000-0000E4340000}"/>
    <cellStyle name="Akzent6 63 2" xfId="16611" xr:uid="{00000000-0005-0000-0000-0000E5340000}"/>
    <cellStyle name="Akzent6 63_est. MEAT" xfId="23482" xr:uid="{00000000-0005-0000-0000-0000E6340000}"/>
    <cellStyle name="Akzent6 64" xfId="7194" xr:uid="{00000000-0005-0000-0000-0000E7340000}"/>
    <cellStyle name="Akzent6 64 2" xfId="16612" xr:uid="{00000000-0005-0000-0000-0000E8340000}"/>
    <cellStyle name="Akzent6 64_est. MEAT" xfId="23483" xr:uid="{00000000-0005-0000-0000-0000E9340000}"/>
    <cellStyle name="Akzent6 65" xfId="7195" xr:uid="{00000000-0005-0000-0000-0000EA340000}"/>
    <cellStyle name="Akzent6 65 2" xfId="16613" xr:uid="{00000000-0005-0000-0000-0000EB340000}"/>
    <cellStyle name="Akzent6 65_est. MEAT" xfId="23484" xr:uid="{00000000-0005-0000-0000-0000EC340000}"/>
    <cellStyle name="Akzent6 66" xfId="7196" xr:uid="{00000000-0005-0000-0000-0000ED340000}"/>
    <cellStyle name="Akzent6 66 2" xfId="16614" xr:uid="{00000000-0005-0000-0000-0000EE340000}"/>
    <cellStyle name="Akzent6 66_est. MEAT" xfId="23485" xr:uid="{00000000-0005-0000-0000-0000EF340000}"/>
    <cellStyle name="Akzent6 67" xfId="7197" xr:uid="{00000000-0005-0000-0000-0000F0340000}"/>
    <cellStyle name="Akzent6 67 2" xfId="16615" xr:uid="{00000000-0005-0000-0000-0000F1340000}"/>
    <cellStyle name="Akzent6 67_est. MEAT" xfId="23486" xr:uid="{00000000-0005-0000-0000-0000F2340000}"/>
    <cellStyle name="Akzent6 68" xfId="7198" xr:uid="{00000000-0005-0000-0000-0000F3340000}"/>
    <cellStyle name="Akzent6 68 2" xfId="16616" xr:uid="{00000000-0005-0000-0000-0000F4340000}"/>
    <cellStyle name="Akzent6 68_est. MEAT" xfId="23487" xr:uid="{00000000-0005-0000-0000-0000F5340000}"/>
    <cellStyle name="Akzent6 69" xfId="7199" xr:uid="{00000000-0005-0000-0000-0000F6340000}"/>
    <cellStyle name="Akzent6 69 2" xfId="16617" xr:uid="{00000000-0005-0000-0000-0000F7340000}"/>
    <cellStyle name="Akzent6 69_est. MEAT" xfId="23488" xr:uid="{00000000-0005-0000-0000-0000F8340000}"/>
    <cellStyle name="Akzent6 7" xfId="7200" xr:uid="{00000000-0005-0000-0000-0000F9340000}"/>
    <cellStyle name="Akzent6 7 2" xfId="7201" xr:uid="{00000000-0005-0000-0000-0000FA340000}"/>
    <cellStyle name="Akzent6 7 2 2" xfId="16619" xr:uid="{00000000-0005-0000-0000-0000FB340000}"/>
    <cellStyle name="Akzent6 7 2_est. MEAT" xfId="23489" xr:uid="{00000000-0005-0000-0000-0000FC340000}"/>
    <cellStyle name="Akzent6 7 3" xfId="16618" xr:uid="{00000000-0005-0000-0000-0000FD340000}"/>
    <cellStyle name="Akzent6 7_2012-2019" xfId="12388" xr:uid="{00000000-0005-0000-0000-0000FE340000}"/>
    <cellStyle name="Akzent6 70" xfId="7202" xr:uid="{00000000-0005-0000-0000-0000FF340000}"/>
    <cellStyle name="Akzent6 70 2" xfId="16620" xr:uid="{00000000-0005-0000-0000-000000350000}"/>
    <cellStyle name="Akzent6 70_est. MEAT" xfId="23490" xr:uid="{00000000-0005-0000-0000-000001350000}"/>
    <cellStyle name="Akzent6 71" xfId="7203" xr:uid="{00000000-0005-0000-0000-000002350000}"/>
    <cellStyle name="Akzent6 71 2" xfId="16621" xr:uid="{00000000-0005-0000-0000-000003350000}"/>
    <cellStyle name="Akzent6 71_est. MEAT" xfId="23491" xr:uid="{00000000-0005-0000-0000-000004350000}"/>
    <cellStyle name="Akzent6 72" xfId="7204" xr:uid="{00000000-0005-0000-0000-000005350000}"/>
    <cellStyle name="Akzent6 72 2" xfId="16622" xr:uid="{00000000-0005-0000-0000-000006350000}"/>
    <cellStyle name="Akzent6 72_est. MEAT" xfId="23492" xr:uid="{00000000-0005-0000-0000-000007350000}"/>
    <cellStyle name="Akzent6 73" xfId="7205" xr:uid="{00000000-0005-0000-0000-000008350000}"/>
    <cellStyle name="Akzent6 73 2" xfId="16623" xr:uid="{00000000-0005-0000-0000-000009350000}"/>
    <cellStyle name="Akzent6 73_est. MEAT" xfId="23493" xr:uid="{00000000-0005-0000-0000-00000A350000}"/>
    <cellStyle name="Akzent6 74" xfId="7206" xr:uid="{00000000-0005-0000-0000-00000B350000}"/>
    <cellStyle name="Akzent6 74 2" xfId="16624" xr:uid="{00000000-0005-0000-0000-00000C350000}"/>
    <cellStyle name="Akzent6 74_est. MEAT" xfId="23494" xr:uid="{00000000-0005-0000-0000-00000D350000}"/>
    <cellStyle name="Akzent6 75" xfId="7207" xr:uid="{00000000-0005-0000-0000-00000E350000}"/>
    <cellStyle name="Akzent6 75 2" xfId="16625" xr:uid="{00000000-0005-0000-0000-00000F350000}"/>
    <cellStyle name="Akzent6 75_est. MEAT" xfId="23495" xr:uid="{00000000-0005-0000-0000-000010350000}"/>
    <cellStyle name="Akzent6 76" xfId="7208" xr:uid="{00000000-0005-0000-0000-000011350000}"/>
    <cellStyle name="Akzent6 76 2" xfId="16626" xr:uid="{00000000-0005-0000-0000-000012350000}"/>
    <cellStyle name="Akzent6 76_est. MEAT" xfId="23496" xr:uid="{00000000-0005-0000-0000-000013350000}"/>
    <cellStyle name="Akzent6 77" xfId="7209" xr:uid="{00000000-0005-0000-0000-000014350000}"/>
    <cellStyle name="Akzent6 77 2" xfId="16627" xr:uid="{00000000-0005-0000-0000-000015350000}"/>
    <cellStyle name="Akzent6 77_est. MEAT" xfId="23497" xr:uid="{00000000-0005-0000-0000-000016350000}"/>
    <cellStyle name="Akzent6 78" xfId="7210" xr:uid="{00000000-0005-0000-0000-000017350000}"/>
    <cellStyle name="Akzent6 78 2" xfId="16628" xr:uid="{00000000-0005-0000-0000-000018350000}"/>
    <cellStyle name="Akzent6 78_est. MEAT" xfId="23498" xr:uid="{00000000-0005-0000-0000-000019350000}"/>
    <cellStyle name="Akzent6 79" xfId="7211" xr:uid="{00000000-0005-0000-0000-00001A350000}"/>
    <cellStyle name="Akzent6 79 2" xfId="16629" xr:uid="{00000000-0005-0000-0000-00001B350000}"/>
    <cellStyle name="Akzent6 79_est. MEAT" xfId="23499" xr:uid="{00000000-0005-0000-0000-00001C350000}"/>
    <cellStyle name="Akzent6 8" xfId="7212" xr:uid="{00000000-0005-0000-0000-00001D350000}"/>
    <cellStyle name="Akzent6 8 2" xfId="7213" xr:uid="{00000000-0005-0000-0000-00001E350000}"/>
    <cellStyle name="Akzent6 8 2 2" xfId="16631" xr:uid="{00000000-0005-0000-0000-00001F350000}"/>
    <cellStyle name="Akzent6 8 2_est. MEAT" xfId="23500" xr:uid="{00000000-0005-0000-0000-000020350000}"/>
    <cellStyle name="Akzent6 8 3" xfId="16630" xr:uid="{00000000-0005-0000-0000-000021350000}"/>
    <cellStyle name="Akzent6 8_2012-2019" xfId="12389" xr:uid="{00000000-0005-0000-0000-000022350000}"/>
    <cellStyle name="Akzent6 80" xfId="7214" xr:uid="{00000000-0005-0000-0000-000023350000}"/>
    <cellStyle name="Akzent6 80 2" xfId="16632" xr:uid="{00000000-0005-0000-0000-000024350000}"/>
    <cellStyle name="Akzent6 80_est. MEAT" xfId="23501" xr:uid="{00000000-0005-0000-0000-000025350000}"/>
    <cellStyle name="Akzent6 81" xfId="7215" xr:uid="{00000000-0005-0000-0000-000026350000}"/>
    <cellStyle name="Akzent6 81 2" xfId="16633" xr:uid="{00000000-0005-0000-0000-000027350000}"/>
    <cellStyle name="Akzent6 81_est. MEAT" xfId="23502" xr:uid="{00000000-0005-0000-0000-000028350000}"/>
    <cellStyle name="Akzent6 82" xfId="7216" xr:uid="{00000000-0005-0000-0000-000029350000}"/>
    <cellStyle name="Akzent6 82 2" xfId="16634" xr:uid="{00000000-0005-0000-0000-00002A350000}"/>
    <cellStyle name="Akzent6 82_est. MEAT" xfId="23503" xr:uid="{00000000-0005-0000-0000-00002B350000}"/>
    <cellStyle name="Akzent6 83" xfId="7217" xr:uid="{00000000-0005-0000-0000-00002C350000}"/>
    <cellStyle name="Akzent6 83 2" xfId="16635" xr:uid="{00000000-0005-0000-0000-00002D350000}"/>
    <cellStyle name="Akzent6 83_est. MEAT" xfId="23504" xr:uid="{00000000-0005-0000-0000-00002E350000}"/>
    <cellStyle name="Akzent6 84" xfId="7218" xr:uid="{00000000-0005-0000-0000-00002F350000}"/>
    <cellStyle name="Akzent6 84 2" xfId="16636" xr:uid="{00000000-0005-0000-0000-000030350000}"/>
    <cellStyle name="Akzent6 84_est. MEAT" xfId="23505" xr:uid="{00000000-0005-0000-0000-000031350000}"/>
    <cellStyle name="Akzent6 85" xfId="7219" xr:uid="{00000000-0005-0000-0000-000032350000}"/>
    <cellStyle name="Akzent6 85 2" xfId="16637" xr:uid="{00000000-0005-0000-0000-000033350000}"/>
    <cellStyle name="Akzent6 85_est. MEAT" xfId="23506" xr:uid="{00000000-0005-0000-0000-000034350000}"/>
    <cellStyle name="Akzent6 86" xfId="7220" xr:uid="{00000000-0005-0000-0000-000035350000}"/>
    <cellStyle name="Akzent6 86 2" xfId="16638" xr:uid="{00000000-0005-0000-0000-000036350000}"/>
    <cellStyle name="Akzent6 86_est. MEAT" xfId="23507" xr:uid="{00000000-0005-0000-0000-000037350000}"/>
    <cellStyle name="Akzent6 87" xfId="7221" xr:uid="{00000000-0005-0000-0000-000038350000}"/>
    <cellStyle name="Akzent6 87 2" xfId="16639" xr:uid="{00000000-0005-0000-0000-000039350000}"/>
    <cellStyle name="Akzent6 87_est. MEAT" xfId="23508" xr:uid="{00000000-0005-0000-0000-00003A350000}"/>
    <cellStyle name="Akzent6 88" xfId="7222" xr:uid="{00000000-0005-0000-0000-00003B350000}"/>
    <cellStyle name="Akzent6 88 2" xfId="16640" xr:uid="{00000000-0005-0000-0000-00003C350000}"/>
    <cellStyle name="Akzent6 88_est. MEAT" xfId="23509" xr:uid="{00000000-0005-0000-0000-00003D350000}"/>
    <cellStyle name="Akzent6 89" xfId="7223" xr:uid="{00000000-0005-0000-0000-00003E350000}"/>
    <cellStyle name="Akzent6 89 2" xfId="16641" xr:uid="{00000000-0005-0000-0000-00003F350000}"/>
    <cellStyle name="Akzent6 89_est. MEAT" xfId="23510" xr:uid="{00000000-0005-0000-0000-000040350000}"/>
    <cellStyle name="Akzent6 9" xfId="7224" xr:uid="{00000000-0005-0000-0000-000041350000}"/>
    <cellStyle name="Akzent6 9 2" xfId="7225" xr:uid="{00000000-0005-0000-0000-000042350000}"/>
    <cellStyle name="Akzent6 9 2 2" xfId="16643" xr:uid="{00000000-0005-0000-0000-000043350000}"/>
    <cellStyle name="Akzent6 9 2_est. MEAT" xfId="23511" xr:uid="{00000000-0005-0000-0000-000044350000}"/>
    <cellStyle name="Akzent6 9 3" xfId="16642" xr:uid="{00000000-0005-0000-0000-000045350000}"/>
    <cellStyle name="Akzent6 9_2012-2019" xfId="12390" xr:uid="{00000000-0005-0000-0000-000046350000}"/>
    <cellStyle name="Akzent6 90" xfId="7226" xr:uid="{00000000-0005-0000-0000-000047350000}"/>
    <cellStyle name="Akzent6 90 2" xfId="16644" xr:uid="{00000000-0005-0000-0000-000048350000}"/>
    <cellStyle name="Akzent6 90_est. MEAT" xfId="23512" xr:uid="{00000000-0005-0000-0000-000049350000}"/>
    <cellStyle name="Akzent6 91" xfId="7227" xr:uid="{00000000-0005-0000-0000-00004A350000}"/>
    <cellStyle name="Akzent6 91 2" xfId="16645" xr:uid="{00000000-0005-0000-0000-00004B350000}"/>
    <cellStyle name="Akzent6 91_est. MEAT" xfId="23513" xr:uid="{00000000-0005-0000-0000-00004C350000}"/>
    <cellStyle name="Akzent6 92" xfId="7228" xr:uid="{00000000-0005-0000-0000-00004D350000}"/>
    <cellStyle name="Akzent6 92 2" xfId="16646" xr:uid="{00000000-0005-0000-0000-00004E350000}"/>
    <cellStyle name="Akzent6 92_est. MEAT" xfId="23514" xr:uid="{00000000-0005-0000-0000-00004F350000}"/>
    <cellStyle name="Akzent6 93" xfId="7229" xr:uid="{00000000-0005-0000-0000-000050350000}"/>
    <cellStyle name="Akzent6 93 2" xfId="16647" xr:uid="{00000000-0005-0000-0000-000051350000}"/>
    <cellStyle name="Akzent6 93_est. MEAT" xfId="23515" xr:uid="{00000000-0005-0000-0000-000052350000}"/>
    <cellStyle name="Akzent6 94" xfId="7230" xr:uid="{00000000-0005-0000-0000-000053350000}"/>
    <cellStyle name="Akzent6 94 2" xfId="16648" xr:uid="{00000000-0005-0000-0000-000054350000}"/>
    <cellStyle name="Akzent6 94_est. MEAT" xfId="23516" xr:uid="{00000000-0005-0000-0000-000055350000}"/>
    <cellStyle name="Akzent6 95" xfId="7231" xr:uid="{00000000-0005-0000-0000-000056350000}"/>
    <cellStyle name="Akzent6 95 2" xfId="16649" xr:uid="{00000000-0005-0000-0000-000057350000}"/>
    <cellStyle name="Akzent6 95_est. MEAT" xfId="23517" xr:uid="{00000000-0005-0000-0000-000058350000}"/>
    <cellStyle name="Akzent6 96" xfId="7232" xr:uid="{00000000-0005-0000-0000-000059350000}"/>
    <cellStyle name="Akzent6 96 2" xfId="16650" xr:uid="{00000000-0005-0000-0000-00005A350000}"/>
    <cellStyle name="Akzent6 96_est. MEAT" xfId="23518" xr:uid="{00000000-0005-0000-0000-00005B350000}"/>
    <cellStyle name="Akzent6 97" xfId="7233" xr:uid="{00000000-0005-0000-0000-00005C350000}"/>
    <cellStyle name="Akzent6 97 2" xfId="16651" xr:uid="{00000000-0005-0000-0000-00005D350000}"/>
    <cellStyle name="Akzent6 97_est. MEAT" xfId="23519" xr:uid="{00000000-0005-0000-0000-00005E350000}"/>
    <cellStyle name="Akzent6 98" xfId="7234" xr:uid="{00000000-0005-0000-0000-00005F350000}"/>
    <cellStyle name="Akzent6 98 2" xfId="16652" xr:uid="{00000000-0005-0000-0000-000060350000}"/>
    <cellStyle name="Akzent6 98_est. MEAT" xfId="23520" xr:uid="{00000000-0005-0000-0000-000061350000}"/>
    <cellStyle name="Akzent6 99" xfId="7235" xr:uid="{00000000-0005-0000-0000-000062350000}"/>
    <cellStyle name="Akzent6 99 2" xfId="16653" xr:uid="{00000000-0005-0000-0000-000063350000}"/>
    <cellStyle name="Akzent6 99_est. MEAT" xfId="23521" xr:uid="{00000000-0005-0000-0000-000064350000}"/>
    <cellStyle name="Akzent6_2012-2019" xfId="12377" xr:uid="{00000000-0005-0000-0000-000065350000}"/>
    <cellStyle name="Ausgabe" xfId="7236" xr:uid="{00000000-0005-0000-0000-000066350000}"/>
    <cellStyle name="Ausgabe 10" xfId="7237" xr:uid="{00000000-0005-0000-0000-000067350000}"/>
    <cellStyle name="Ausgabe 10 2" xfId="7238" xr:uid="{00000000-0005-0000-0000-000068350000}"/>
    <cellStyle name="Ausgabe 10 2 2" xfId="16656" xr:uid="{00000000-0005-0000-0000-000069350000}"/>
    <cellStyle name="Ausgabe 10 2_est. MEAT" xfId="23522" xr:uid="{00000000-0005-0000-0000-00006A350000}"/>
    <cellStyle name="Ausgabe 10 3" xfId="16655" xr:uid="{00000000-0005-0000-0000-00006B350000}"/>
    <cellStyle name="Ausgabe 10_2012-2019" xfId="12392" xr:uid="{00000000-0005-0000-0000-00006C350000}"/>
    <cellStyle name="Ausgabe 100" xfId="7239" xr:uid="{00000000-0005-0000-0000-00006D350000}"/>
    <cellStyle name="Ausgabe 100 2" xfId="16657" xr:uid="{00000000-0005-0000-0000-00006E350000}"/>
    <cellStyle name="Ausgabe 100_est. MEAT" xfId="23523" xr:uid="{00000000-0005-0000-0000-00006F350000}"/>
    <cellStyle name="Ausgabe 101" xfId="7240" xr:uid="{00000000-0005-0000-0000-000070350000}"/>
    <cellStyle name="Ausgabe 101 2" xfId="16658" xr:uid="{00000000-0005-0000-0000-000071350000}"/>
    <cellStyle name="Ausgabe 101_est. MEAT" xfId="23524" xr:uid="{00000000-0005-0000-0000-000072350000}"/>
    <cellStyle name="Ausgabe 102" xfId="7241" xr:uid="{00000000-0005-0000-0000-000073350000}"/>
    <cellStyle name="Ausgabe 102 2" xfId="16659" xr:uid="{00000000-0005-0000-0000-000074350000}"/>
    <cellStyle name="Ausgabe 102_est. MEAT" xfId="23525" xr:uid="{00000000-0005-0000-0000-000075350000}"/>
    <cellStyle name="Ausgabe 103" xfId="7242" xr:uid="{00000000-0005-0000-0000-000076350000}"/>
    <cellStyle name="Ausgabe 103 2" xfId="16660" xr:uid="{00000000-0005-0000-0000-000077350000}"/>
    <cellStyle name="Ausgabe 103_est. MEAT" xfId="23526" xr:uid="{00000000-0005-0000-0000-000078350000}"/>
    <cellStyle name="Ausgabe 104" xfId="7243" xr:uid="{00000000-0005-0000-0000-000079350000}"/>
    <cellStyle name="Ausgabe 104 2" xfId="16661" xr:uid="{00000000-0005-0000-0000-00007A350000}"/>
    <cellStyle name="Ausgabe 104_est. MEAT" xfId="23527" xr:uid="{00000000-0005-0000-0000-00007B350000}"/>
    <cellStyle name="Ausgabe 105" xfId="7244" xr:uid="{00000000-0005-0000-0000-00007C350000}"/>
    <cellStyle name="Ausgabe 105 2" xfId="16662" xr:uid="{00000000-0005-0000-0000-00007D350000}"/>
    <cellStyle name="Ausgabe 105_est. MEAT" xfId="23528" xr:uid="{00000000-0005-0000-0000-00007E350000}"/>
    <cellStyle name="Ausgabe 106" xfId="7245" xr:uid="{00000000-0005-0000-0000-00007F350000}"/>
    <cellStyle name="Ausgabe 106 2" xfId="16663" xr:uid="{00000000-0005-0000-0000-000080350000}"/>
    <cellStyle name="Ausgabe 106_est. MEAT" xfId="23529" xr:uid="{00000000-0005-0000-0000-000081350000}"/>
    <cellStyle name="Ausgabe 107" xfId="7246" xr:uid="{00000000-0005-0000-0000-000082350000}"/>
    <cellStyle name="Ausgabe 107 2" xfId="16664" xr:uid="{00000000-0005-0000-0000-000083350000}"/>
    <cellStyle name="Ausgabe 107_est. MEAT" xfId="23530" xr:uid="{00000000-0005-0000-0000-000084350000}"/>
    <cellStyle name="Ausgabe 108" xfId="7247" xr:uid="{00000000-0005-0000-0000-000085350000}"/>
    <cellStyle name="Ausgabe 108 2" xfId="16665" xr:uid="{00000000-0005-0000-0000-000086350000}"/>
    <cellStyle name="Ausgabe 108_est. MEAT" xfId="23531" xr:uid="{00000000-0005-0000-0000-000087350000}"/>
    <cellStyle name="Ausgabe 109" xfId="7248" xr:uid="{00000000-0005-0000-0000-000088350000}"/>
    <cellStyle name="Ausgabe 109 2" xfId="16666" xr:uid="{00000000-0005-0000-0000-000089350000}"/>
    <cellStyle name="Ausgabe 109_est. MEAT" xfId="23532" xr:uid="{00000000-0005-0000-0000-00008A350000}"/>
    <cellStyle name="Ausgabe 11" xfId="7249" xr:uid="{00000000-0005-0000-0000-00008B350000}"/>
    <cellStyle name="Ausgabe 11 2" xfId="7250" xr:uid="{00000000-0005-0000-0000-00008C350000}"/>
    <cellStyle name="Ausgabe 11 2 2" xfId="16668" xr:uid="{00000000-0005-0000-0000-00008D350000}"/>
    <cellStyle name="Ausgabe 11 2_est. MEAT" xfId="23533" xr:uid="{00000000-0005-0000-0000-00008E350000}"/>
    <cellStyle name="Ausgabe 11 3" xfId="16667" xr:uid="{00000000-0005-0000-0000-00008F350000}"/>
    <cellStyle name="Ausgabe 11_2012-2019" xfId="12393" xr:uid="{00000000-0005-0000-0000-000090350000}"/>
    <cellStyle name="Ausgabe 110" xfId="7251" xr:uid="{00000000-0005-0000-0000-000091350000}"/>
    <cellStyle name="Ausgabe 110 2" xfId="16669" xr:uid="{00000000-0005-0000-0000-000092350000}"/>
    <cellStyle name="Ausgabe 110_est. MEAT" xfId="23534" xr:uid="{00000000-0005-0000-0000-000093350000}"/>
    <cellStyle name="Ausgabe 111" xfId="7252" xr:uid="{00000000-0005-0000-0000-000094350000}"/>
    <cellStyle name="Ausgabe 111 2" xfId="16670" xr:uid="{00000000-0005-0000-0000-000095350000}"/>
    <cellStyle name="Ausgabe 111_est. MEAT" xfId="23535" xr:uid="{00000000-0005-0000-0000-000096350000}"/>
    <cellStyle name="Ausgabe 112" xfId="7253" xr:uid="{00000000-0005-0000-0000-000097350000}"/>
    <cellStyle name="Ausgabe 112 2" xfId="16671" xr:uid="{00000000-0005-0000-0000-000098350000}"/>
    <cellStyle name="Ausgabe 112_est. MEAT" xfId="23536" xr:uid="{00000000-0005-0000-0000-000099350000}"/>
    <cellStyle name="Ausgabe 113" xfId="7254" xr:uid="{00000000-0005-0000-0000-00009A350000}"/>
    <cellStyle name="Ausgabe 113 2" xfId="16672" xr:uid="{00000000-0005-0000-0000-00009B350000}"/>
    <cellStyle name="Ausgabe 113_est. MEAT" xfId="23537" xr:uid="{00000000-0005-0000-0000-00009C350000}"/>
    <cellStyle name="Ausgabe 114" xfId="7255" xr:uid="{00000000-0005-0000-0000-00009D350000}"/>
    <cellStyle name="Ausgabe 114 2" xfId="16673" xr:uid="{00000000-0005-0000-0000-00009E350000}"/>
    <cellStyle name="Ausgabe 114_est. MEAT" xfId="23538" xr:uid="{00000000-0005-0000-0000-00009F350000}"/>
    <cellStyle name="Ausgabe 115" xfId="7256" xr:uid="{00000000-0005-0000-0000-0000A0350000}"/>
    <cellStyle name="Ausgabe 115 2" xfId="16674" xr:uid="{00000000-0005-0000-0000-0000A1350000}"/>
    <cellStyle name="Ausgabe 115_est. MEAT" xfId="23539" xr:uid="{00000000-0005-0000-0000-0000A2350000}"/>
    <cellStyle name="Ausgabe 116" xfId="7257" xr:uid="{00000000-0005-0000-0000-0000A3350000}"/>
    <cellStyle name="Ausgabe 116 2" xfId="16675" xr:uid="{00000000-0005-0000-0000-0000A4350000}"/>
    <cellStyle name="Ausgabe 116_est. MEAT" xfId="23540" xr:uid="{00000000-0005-0000-0000-0000A5350000}"/>
    <cellStyle name="Ausgabe 117" xfId="7258" xr:uid="{00000000-0005-0000-0000-0000A6350000}"/>
    <cellStyle name="Ausgabe 117 2" xfId="16676" xr:uid="{00000000-0005-0000-0000-0000A7350000}"/>
    <cellStyle name="Ausgabe 117_est. MEAT" xfId="23541" xr:uid="{00000000-0005-0000-0000-0000A8350000}"/>
    <cellStyle name="Ausgabe 118" xfId="7259" xr:uid="{00000000-0005-0000-0000-0000A9350000}"/>
    <cellStyle name="Ausgabe 118 2" xfId="16677" xr:uid="{00000000-0005-0000-0000-0000AA350000}"/>
    <cellStyle name="Ausgabe 118_est. MEAT" xfId="23542" xr:uid="{00000000-0005-0000-0000-0000AB350000}"/>
    <cellStyle name="Ausgabe 119" xfId="7260" xr:uid="{00000000-0005-0000-0000-0000AC350000}"/>
    <cellStyle name="Ausgabe 119 2" xfId="16678" xr:uid="{00000000-0005-0000-0000-0000AD350000}"/>
    <cellStyle name="Ausgabe 119_est. MEAT" xfId="23543" xr:uid="{00000000-0005-0000-0000-0000AE350000}"/>
    <cellStyle name="Ausgabe 12" xfId="7261" xr:uid="{00000000-0005-0000-0000-0000AF350000}"/>
    <cellStyle name="Ausgabe 12 2" xfId="7262" xr:uid="{00000000-0005-0000-0000-0000B0350000}"/>
    <cellStyle name="Ausgabe 12 2 2" xfId="16680" xr:uid="{00000000-0005-0000-0000-0000B1350000}"/>
    <cellStyle name="Ausgabe 12 2_est. MEAT" xfId="23544" xr:uid="{00000000-0005-0000-0000-0000B2350000}"/>
    <cellStyle name="Ausgabe 12 3" xfId="16679" xr:uid="{00000000-0005-0000-0000-0000B3350000}"/>
    <cellStyle name="Ausgabe 12_2012-2019" xfId="12394" xr:uid="{00000000-0005-0000-0000-0000B4350000}"/>
    <cellStyle name="Ausgabe 120" xfId="7263" xr:uid="{00000000-0005-0000-0000-0000B5350000}"/>
    <cellStyle name="Ausgabe 120 2" xfId="16681" xr:uid="{00000000-0005-0000-0000-0000B6350000}"/>
    <cellStyle name="Ausgabe 120_est. MEAT" xfId="23545" xr:uid="{00000000-0005-0000-0000-0000B7350000}"/>
    <cellStyle name="Ausgabe 121" xfId="7264" xr:uid="{00000000-0005-0000-0000-0000B8350000}"/>
    <cellStyle name="Ausgabe 121 2" xfId="16682" xr:uid="{00000000-0005-0000-0000-0000B9350000}"/>
    <cellStyle name="Ausgabe 121_est. MEAT" xfId="23546" xr:uid="{00000000-0005-0000-0000-0000BA350000}"/>
    <cellStyle name="Ausgabe 122" xfId="7265" xr:uid="{00000000-0005-0000-0000-0000BB350000}"/>
    <cellStyle name="Ausgabe 122 2" xfId="16683" xr:uid="{00000000-0005-0000-0000-0000BC350000}"/>
    <cellStyle name="Ausgabe 122_est. MEAT" xfId="23547" xr:uid="{00000000-0005-0000-0000-0000BD350000}"/>
    <cellStyle name="Ausgabe 123" xfId="7266" xr:uid="{00000000-0005-0000-0000-0000BE350000}"/>
    <cellStyle name="Ausgabe 123 2" xfId="16684" xr:uid="{00000000-0005-0000-0000-0000BF350000}"/>
    <cellStyle name="Ausgabe 123_est. MEAT" xfId="23548" xr:uid="{00000000-0005-0000-0000-0000C0350000}"/>
    <cellStyle name="Ausgabe 124" xfId="7267" xr:uid="{00000000-0005-0000-0000-0000C1350000}"/>
    <cellStyle name="Ausgabe 124 2" xfId="16685" xr:uid="{00000000-0005-0000-0000-0000C2350000}"/>
    <cellStyle name="Ausgabe 124_est. MEAT" xfId="23549" xr:uid="{00000000-0005-0000-0000-0000C3350000}"/>
    <cellStyle name="Ausgabe 125" xfId="7268" xr:uid="{00000000-0005-0000-0000-0000C4350000}"/>
    <cellStyle name="Ausgabe 125 2" xfId="16686" xr:uid="{00000000-0005-0000-0000-0000C5350000}"/>
    <cellStyle name="Ausgabe 125_est. MEAT" xfId="23550" xr:uid="{00000000-0005-0000-0000-0000C6350000}"/>
    <cellStyle name="Ausgabe 126" xfId="7269" xr:uid="{00000000-0005-0000-0000-0000C7350000}"/>
    <cellStyle name="Ausgabe 126 2" xfId="16687" xr:uid="{00000000-0005-0000-0000-0000C8350000}"/>
    <cellStyle name="Ausgabe 126_est. MEAT" xfId="23551" xr:uid="{00000000-0005-0000-0000-0000C9350000}"/>
    <cellStyle name="Ausgabe 127" xfId="7270" xr:uid="{00000000-0005-0000-0000-0000CA350000}"/>
    <cellStyle name="Ausgabe 127 2" xfId="16688" xr:uid="{00000000-0005-0000-0000-0000CB350000}"/>
    <cellStyle name="Ausgabe 127_est. MEAT" xfId="23552" xr:uid="{00000000-0005-0000-0000-0000CC350000}"/>
    <cellStyle name="Ausgabe 128" xfId="7271" xr:uid="{00000000-0005-0000-0000-0000CD350000}"/>
    <cellStyle name="Ausgabe 128 2" xfId="16689" xr:uid="{00000000-0005-0000-0000-0000CE350000}"/>
    <cellStyle name="Ausgabe 128_est. MEAT" xfId="23553" xr:uid="{00000000-0005-0000-0000-0000CF350000}"/>
    <cellStyle name="Ausgabe 129" xfId="7272" xr:uid="{00000000-0005-0000-0000-0000D0350000}"/>
    <cellStyle name="Ausgabe 129 2" xfId="16690" xr:uid="{00000000-0005-0000-0000-0000D1350000}"/>
    <cellStyle name="Ausgabe 129_est. MEAT" xfId="23554" xr:uid="{00000000-0005-0000-0000-0000D2350000}"/>
    <cellStyle name="Ausgabe 13" xfId="7273" xr:uid="{00000000-0005-0000-0000-0000D3350000}"/>
    <cellStyle name="Ausgabe 13 2" xfId="7274" xr:uid="{00000000-0005-0000-0000-0000D4350000}"/>
    <cellStyle name="Ausgabe 13 2 2" xfId="16692" xr:uid="{00000000-0005-0000-0000-0000D5350000}"/>
    <cellStyle name="Ausgabe 13 2_est. MEAT" xfId="23555" xr:uid="{00000000-0005-0000-0000-0000D6350000}"/>
    <cellStyle name="Ausgabe 13 3" xfId="16691" xr:uid="{00000000-0005-0000-0000-0000D7350000}"/>
    <cellStyle name="Ausgabe 13_2012-2019" xfId="12395" xr:uid="{00000000-0005-0000-0000-0000D8350000}"/>
    <cellStyle name="Ausgabe 130" xfId="7275" xr:uid="{00000000-0005-0000-0000-0000D9350000}"/>
    <cellStyle name="Ausgabe 130 2" xfId="16693" xr:uid="{00000000-0005-0000-0000-0000DA350000}"/>
    <cellStyle name="Ausgabe 130_est. MEAT" xfId="23556" xr:uid="{00000000-0005-0000-0000-0000DB350000}"/>
    <cellStyle name="Ausgabe 131" xfId="7276" xr:uid="{00000000-0005-0000-0000-0000DC350000}"/>
    <cellStyle name="Ausgabe 131 2" xfId="16694" xr:uid="{00000000-0005-0000-0000-0000DD350000}"/>
    <cellStyle name="Ausgabe 131_est. MEAT" xfId="23557" xr:uid="{00000000-0005-0000-0000-0000DE350000}"/>
    <cellStyle name="Ausgabe 132" xfId="7277" xr:uid="{00000000-0005-0000-0000-0000DF350000}"/>
    <cellStyle name="Ausgabe 132 2" xfId="16695" xr:uid="{00000000-0005-0000-0000-0000E0350000}"/>
    <cellStyle name="Ausgabe 132_est. MEAT" xfId="23558" xr:uid="{00000000-0005-0000-0000-0000E1350000}"/>
    <cellStyle name="Ausgabe 133" xfId="7278" xr:uid="{00000000-0005-0000-0000-0000E2350000}"/>
    <cellStyle name="Ausgabe 133 2" xfId="16696" xr:uid="{00000000-0005-0000-0000-0000E3350000}"/>
    <cellStyle name="Ausgabe 133_est. MEAT" xfId="23559" xr:uid="{00000000-0005-0000-0000-0000E4350000}"/>
    <cellStyle name="Ausgabe 134" xfId="7279" xr:uid="{00000000-0005-0000-0000-0000E5350000}"/>
    <cellStyle name="Ausgabe 134 2" xfId="16697" xr:uid="{00000000-0005-0000-0000-0000E6350000}"/>
    <cellStyle name="Ausgabe 134_est. MEAT" xfId="23560" xr:uid="{00000000-0005-0000-0000-0000E7350000}"/>
    <cellStyle name="Ausgabe 135" xfId="7280" xr:uid="{00000000-0005-0000-0000-0000E8350000}"/>
    <cellStyle name="Ausgabe 135 2" xfId="16698" xr:uid="{00000000-0005-0000-0000-0000E9350000}"/>
    <cellStyle name="Ausgabe 135_est. MEAT" xfId="23561" xr:uid="{00000000-0005-0000-0000-0000EA350000}"/>
    <cellStyle name="Ausgabe 136" xfId="7281" xr:uid="{00000000-0005-0000-0000-0000EB350000}"/>
    <cellStyle name="Ausgabe 136 2" xfId="16699" xr:uid="{00000000-0005-0000-0000-0000EC350000}"/>
    <cellStyle name="Ausgabe 136_est. MEAT" xfId="23562" xr:uid="{00000000-0005-0000-0000-0000ED350000}"/>
    <cellStyle name="Ausgabe 137" xfId="7282" xr:uid="{00000000-0005-0000-0000-0000EE350000}"/>
    <cellStyle name="Ausgabe 137 2" xfId="16700" xr:uid="{00000000-0005-0000-0000-0000EF350000}"/>
    <cellStyle name="Ausgabe 137_est. MEAT" xfId="23563" xr:uid="{00000000-0005-0000-0000-0000F0350000}"/>
    <cellStyle name="Ausgabe 138" xfId="7283" xr:uid="{00000000-0005-0000-0000-0000F1350000}"/>
    <cellStyle name="Ausgabe 138 2" xfId="16701" xr:uid="{00000000-0005-0000-0000-0000F2350000}"/>
    <cellStyle name="Ausgabe 138_est. MEAT" xfId="23564" xr:uid="{00000000-0005-0000-0000-0000F3350000}"/>
    <cellStyle name="Ausgabe 139" xfId="7284" xr:uid="{00000000-0005-0000-0000-0000F4350000}"/>
    <cellStyle name="Ausgabe 139 2" xfId="16702" xr:uid="{00000000-0005-0000-0000-0000F5350000}"/>
    <cellStyle name="Ausgabe 139_est. MEAT" xfId="23565" xr:uid="{00000000-0005-0000-0000-0000F6350000}"/>
    <cellStyle name="Ausgabe 14" xfId="7285" xr:uid="{00000000-0005-0000-0000-0000F7350000}"/>
    <cellStyle name="Ausgabe 14 2" xfId="7286" xr:uid="{00000000-0005-0000-0000-0000F8350000}"/>
    <cellStyle name="Ausgabe 14 2 2" xfId="16704" xr:uid="{00000000-0005-0000-0000-0000F9350000}"/>
    <cellStyle name="Ausgabe 14 2_est. MEAT" xfId="23566" xr:uid="{00000000-0005-0000-0000-0000FA350000}"/>
    <cellStyle name="Ausgabe 14 3" xfId="16703" xr:uid="{00000000-0005-0000-0000-0000FB350000}"/>
    <cellStyle name="Ausgabe 14_2012-2019" xfId="12396" xr:uid="{00000000-0005-0000-0000-0000FC350000}"/>
    <cellStyle name="Ausgabe 140" xfId="7287" xr:uid="{00000000-0005-0000-0000-0000FD350000}"/>
    <cellStyle name="Ausgabe 140 2" xfId="16705" xr:uid="{00000000-0005-0000-0000-0000FE350000}"/>
    <cellStyle name="Ausgabe 140_est. MEAT" xfId="23567" xr:uid="{00000000-0005-0000-0000-0000FF350000}"/>
    <cellStyle name="Ausgabe 141" xfId="7288" xr:uid="{00000000-0005-0000-0000-000000360000}"/>
    <cellStyle name="Ausgabe 141 2" xfId="16706" xr:uid="{00000000-0005-0000-0000-000001360000}"/>
    <cellStyle name="Ausgabe 141_est. MEAT" xfId="23568" xr:uid="{00000000-0005-0000-0000-000002360000}"/>
    <cellStyle name="Ausgabe 142" xfId="7289" xr:uid="{00000000-0005-0000-0000-000003360000}"/>
    <cellStyle name="Ausgabe 142 2" xfId="16707" xr:uid="{00000000-0005-0000-0000-000004360000}"/>
    <cellStyle name="Ausgabe 142_est. MEAT" xfId="23569" xr:uid="{00000000-0005-0000-0000-000005360000}"/>
    <cellStyle name="Ausgabe 143" xfId="7290" xr:uid="{00000000-0005-0000-0000-000006360000}"/>
    <cellStyle name="Ausgabe 143 2" xfId="16708" xr:uid="{00000000-0005-0000-0000-000007360000}"/>
    <cellStyle name="Ausgabe 143_est. MEAT" xfId="23570" xr:uid="{00000000-0005-0000-0000-000008360000}"/>
    <cellStyle name="Ausgabe 144" xfId="7291" xr:uid="{00000000-0005-0000-0000-000009360000}"/>
    <cellStyle name="Ausgabe 144 2" xfId="16709" xr:uid="{00000000-0005-0000-0000-00000A360000}"/>
    <cellStyle name="Ausgabe 144_est. MEAT" xfId="23571" xr:uid="{00000000-0005-0000-0000-00000B360000}"/>
    <cellStyle name="Ausgabe 145" xfId="7292" xr:uid="{00000000-0005-0000-0000-00000C360000}"/>
    <cellStyle name="Ausgabe 145 2" xfId="16710" xr:uid="{00000000-0005-0000-0000-00000D360000}"/>
    <cellStyle name="Ausgabe 145_est. MEAT" xfId="23572" xr:uid="{00000000-0005-0000-0000-00000E360000}"/>
    <cellStyle name="Ausgabe 146" xfId="7293" xr:uid="{00000000-0005-0000-0000-00000F360000}"/>
    <cellStyle name="Ausgabe 146 2" xfId="16711" xr:uid="{00000000-0005-0000-0000-000010360000}"/>
    <cellStyle name="Ausgabe 146_est. MEAT" xfId="23573" xr:uid="{00000000-0005-0000-0000-000011360000}"/>
    <cellStyle name="Ausgabe 147" xfId="7294" xr:uid="{00000000-0005-0000-0000-000012360000}"/>
    <cellStyle name="Ausgabe 147 2" xfId="16712" xr:uid="{00000000-0005-0000-0000-000013360000}"/>
    <cellStyle name="Ausgabe 147_est. MEAT" xfId="23574" xr:uid="{00000000-0005-0000-0000-000014360000}"/>
    <cellStyle name="Ausgabe 148" xfId="7295" xr:uid="{00000000-0005-0000-0000-000015360000}"/>
    <cellStyle name="Ausgabe 148 2" xfId="16713" xr:uid="{00000000-0005-0000-0000-000016360000}"/>
    <cellStyle name="Ausgabe 148_est. MEAT" xfId="23575" xr:uid="{00000000-0005-0000-0000-000017360000}"/>
    <cellStyle name="Ausgabe 149" xfId="7296" xr:uid="{00000000-0005-0000-0000-000018360000}"/>
    <cellStyle name="Ausgabe 149 2" xfId="16714" xr:uid="{00000000-0005-0000-0000-000019360000}"/>
    <cellStyle name="Ausgabe 149_est. MEAT" xfId="23576" xr:uid="{00000000-0005-0000-0000-00001A360000}"/>
    <cellStyle name="Ausgabe 15" xfId="7297" xr:uid="{00000000-0005-0000-0000-00001B360000}"/>
    <cellStyle name="Ausgabe 15 2" xfId="16715" xr:uid="{00000000-0005-0000-0000-00001C360000}"/>
    <cellStyle name="Ausgabe 15_est. MEAT" xfId="23577" xr:uid="{00000000-0005-0000-0000-00001D360000}"/>
    <cellStyle name="Ausgabe 150" xfId="7298" xr:uid="{00000000-0005-0000-0000-00001E360000}"/>
    <cellStyle name="Ausgabe 150 2" xfId="16716" xr:uid="{00000000-0005-0000-0000-00001F360000}"/>
    <cellStyle name="Ausgabe 150_est. MEAT" xfId="23578" xr:uid="{00000000-0005-0000-0000-000020360000}"/>
    <cellStyle name="Ausgabe 151" xfId="7299" xr:uid="{00000000-0005-0000-0000-000021360000}"/>
    <cellStyle name="Ausgabe 151 2" xfId="16717" xr:uid="{00000000-0005-0000-0000-000022360000}"/>
    <cellStyle name="Ausgabe 151_est. MEAT" xfId="23579" xr:uid="{00000000-0005-0000-0000-000023360000}"/>
    <cellStyle name="Ausgabe 152" xfId="16654" xr:uid="{00000000-0005-0000-0000-000024360000}"/>
    <cellStyle name="Ausgabe 16" xfId="7300" xr:uid="{00000000-0005-0000-0000-000025360000}"/>
    <cellStyle name="Ausgabe 16 2" xfId="16718" xr:uid="{00000000-0005-0000-0000-000026360000}"/>
    <cellStyle name="Ausgabe 16_est. MEAT" xfId="23580" xr:uid="{00000000-0005-0000-0000-000027360000}"/>
    <cellStyle name="Ausgabe 17" xfId="7301" xr:uid="{00000000-0005-0000-0000-000028360000}"/>
    <cellStyle name="Ausgabe 17 2" xfId="16719" xr:uid="{00000000-0005-0000-0000-000029360000}"/>
    <cellStyle name="Ausgabe 17_est. MEAT" xfId="23581" xr:uid="{00000000-0005-0000-0000-00002A360000}"/>
    <cellStyle name="Ausgabe 18" xfId="7302" xr:uid="{00000000-0005-0000-0000-00002B360000}"/>
    <cellStyle name="Ausgabe 18 2" xfId="16720" xr:uid="{00000000-0005-0000-0000-00002C360000}"/>
    <cellStyle name="Ausgabe 18_est. MEAT" xfId="23582" xr:uid="{00000000-0005-0000-0000-00002D360000}"/>
    <cellStyle name="Ausgabe 19" xfId="7303" xr:uid="{00000000-0005-0000-0000-00002E360000}"/>
    <cellStyle name="Ausgabe 19 2" xfId="16721" xr:uid="{00000000-0005-0000-0000-00002F360000}"/>
    <cellStyle name="Ausgabe 19_est. MEAT" xfId="23583" xr:uid="{00000000-0005-0000-0000-000030360000}"/>
    <cellStyle name="Ausgabe 2" xfId="7304" xr:uid="{00000000-0005-0000-0000-000031360000}"/>
    <cellStyle name="Ausgabe 2 2" xfId="7305" xr:uid="{00000000-0005-0000-0000-000032360000}"/>
    <cellStyle name="Ausgabe 2 2 2" xfId="16723" xr:uid="{00000000-0005-0000-0000-000033360000}"/>
    <cellStyle name="Ausgabe 2 2_est. MEAT" xfId="23584" xr:uid="{00000000-0005-0000-0000-000034360000}"/>
    <cellStyle name="Ausgabe 2 3" xfId="16722" xr:uid="{00000000-0005-0000-0000-000035360000}"/>
    <cellStyle name="Ausgabe 2_2012-2019" xfId="12397" xr:uid="{00000000-0005-0000-0000-000036360000}"/>
    <cellStyle name="Ausgabe 20" xfId="7306" xr:uid="{00000000-0005-0000-0000-000037360000}"/>
    <cellStyle name="Ausgabe 20 2" xfId="16724" xr:uid="{00000000-0005-0000-0000-000038360000}"/>
    <cellStyle name="Ausgabe 20_est. MEAT" xfId="23585" xr:uid="{00000000-0005-0000-0000-000039360000}"/>
    <cellStyle name="Ausgabe 21" xfId="7307" xr:uid="{00000000-0005-0000-0000-00003A360000}"/>
    <cellStyle name="Ausgabe 21 2" xfId="16725" xr:uid="{00000000-0005-0000-0000-00003B360000}"/>
    <cellStyle name="Ausgabe 21_est. MEAT" xfId="23586" xr:uid="{00000000-0005-0000-0000-00003C360000}"/>
    <cellStyle name="Ausgabe 22" xfId="7308" xr:uid="{00000000-0005-0000-0000-00003D360000}"/>
    <cellStyle name="Ausgabe 22 2" xfId="16726" xr:uid="{00000000-0005-0000-0000-00003E360000}"/>
    <cellStyle name="Ausgabe 22_est. MEAT" xfId="23587" xr:uid="{00000000-0005-0000-0000-00003F360000}"/>
    <cellStyle name="Ausgabe 23" xfId="7309" xr:uid="{00000000-0005-0000-0000-000040360000}"/>
    <cellStyle name="Ausgabe 23 2" xfId="16727" xr:uid="{00000000-0005-0000-0000-000041360000}"/>
    <cellStyle name="Ausgabe 23_est. MEAT" xfId="23588" xr:uid="{00000000-0005-0000-0000-000042360000}"/>
    <cellStyle name="Ausgabe 24" xfId="7310" xr:uid="{00000000-0005-0000-0000-000043360000}"/>
    <cellStyle name="Ausgabe 24 2" xfId="16728" xr:uid="{00000000-0005-0000-0000-000044360000}"/>
    <cellStyle name="Ausgabe 24_est. MEAT" xfId="23589" xr:uid="{00000000-0005-0000-0000-000045360000}"/>
    <cellStyle name="Ausgabe 25" xfId="7311" xr:uid="{00000000-0005-0000-0000-000046360000}"/>
    <cellStyle name="Ausgabe 25 2" xfId="16729" xr:uid="{00000000-0005-0000-0000-000047360000}"/>
    <cellStyle name="Ausgabe 25_est. MEAT" xfId="23590" xr:uid="{00000000-0005-0000-0000-000048360000}"/>
    <cellStyle name="Ausgabe 26" xfId="7312" xr:uid="{00000000-0005-0000-0000-000049360000}"/>
    <cellStyle name="Ausgabe 26 2" xfId="16730" xr:uid="{00000000-0005-0000-0000-00004A360000}"/>
    <cellStyle name="Ausgabe 26_est. MEAT" xfId="23591" xr:uid="{00000000-0005-0000-0000-00004B360000}"/>
    <cellStyle name="Ausgabe 27" xfId="7313" xr:uid="{00000000-0005-0000-0000-00004C360000}"/>
    <cellStyle name="Ausgabe 27 2" xfId="16731" xr:uid="{00000000-0005-0000-0000-00004D360000}"/>
    <cellStyle name="Ausgabe 27_est. MEAT" xfId="23592" xr:uid="{00000000-0005-0000-0000-00004E360000}"/>
    <cellStyle name="Ausgabe 28" xfId="7314" xr:uid="{00000000-0005-0000-0000-00004F360000}"/>
    <cellStyle name="Ausgabe 28 2" xfId="16732" xr:uid="{00000000-0005-0000-0000-000050360000}"/>
    <cellStyle name="Ausgabe 28_est. MEAT" xfId="23593" xr:uid="{00000000-0005-0000-0000-000051360000}"/>
    <cellStyle name="Ausgabe 29" xfId="7315" xr:uid="{00000000-0005-0000-0000-000052360000}"/>
    <cellStyle name="Ausgabe 29 2" xfId="16733" xr:uid="{00000000-0005-0000-0000-000053360000}"/>
    <cellStyle name="Ausgabe 29_est. MEAT" xfId="23594" xr:uid="{00000000-0005-0000-0000-000054360000}"/>
    <cellStyle name="Ausgabe 3" xfId="7316" xr:uid="{00000000-0005-0000-0000-000055360000}"/>
    <cellStyle name="Ausgabe 3 2" xfId="7317" xr:uid="{00000000-0005-0000-0000-000056360000}"/>
    <cellStyle name="Ausgabe 3 2 2" xfId="16735" xr:uid="{00000000-0005-0000-0000-000057360000}"/>
    <cellStyle name="Ausgabe 3 2_est. MEAT" xfId="23595" xr:uid="{00000000-0005-0000-0000-000058360000}"/>
    <cellStyle name="Ausgabe 3 3" xfId="16734" xr:uid="{00000000-0005-0000-0000-000059360000}"/>
    <cellStyle name="Ausgabe 3_2012-2019" xfId="12398" xr:uid="{00000000-0005-0000-0000-00005A360000}"/>
    <cellStyle name="Ausgabe 30" xfId="7318" xr:uid="{00000000-0005-0000-0000-00005B360000}"/>
    <cellStyle name="Ausgabe 30 2" xfId="16736" xr:uid="{00000000-0005-0000-0000-00005C360000}"/>
    <cellStyle name="Ausgabe 30_est. MEAT" xfId="23596" xr:uid="{00000000-0005-0000-0000-00005D360000}"/>
    <cellStyle name="Ausgabe 31" xfId="7319" xr:uid="{00000000-0005-0000-0000-00005E360000}"/>
    <cellStyle name="Ausgabe 31 2" xfId="16737" xr:uid="{00000000-0005-0000-0000-00005F360000}"/>
    <cellStyle name="Ausgabe 31_est. MEAT" xfId="23597" xr:uid="{00000000-0005-0000-0000-000060360000}"/>
    <cellStyle name="Ausgabe 32" xfId="7320" xr:uid="{00000000-0005-0000-0000-000061360000}"/>
    <cellStyle name="Ausgabe 32 2" xfId="16738" xr:uid="{00000000-0005-0000-0000-000062360000}"/>
    <cellStyle name="Ausgabe 32_est. MEAT" xfId="23598" xr:uid="{00000000-0005-0000-0000-000063360000}"/>
    <cellStyle name="Ausgabe 33" xfId="7321" xr:uid="{00000000-0005-0000-0000-000064360000}"/>
    <cellStyle name="Ausgabe 33 2" xfId="16739" xr:uid="{00000000-0005-0000-0000-000065360000}"/>
    <cellStyle name="Ausgabe 33_est. MEAT" xfId="23599" xr:uid="{00000000-0005-0000-0000-000066360000}"/>
    <cellStyle name="Ausgabe 34" xfId="7322" xr:uid="{00000000-0005-0000-0000-000067360000}"/>
    <cellStyle name="Ausgabe 34 2" xfId="16740" xr:uid="{00000000-0005-0000-0000-000068360000}"/>
    <cellStyle name="Ausgabe 34_est. MEAT" xfId="23600" xr:uid="{00000000-0005-0000-0000-000069360000}"/>
    <cellStyle name="Ausgabe 35" xfId="7323" xr:uid="{00000000-0005-0000-0000-00006A360000}"/>
    <cellStyle name="Ausgabe 35 2" xfId="16741" xr:uid="{00000000-0005-0000-0000-00006B360000}"/>
    <cellStyle name="Ausgabe 35_est. MEAT" xfId="23601" xr:uid="{00000000-0005-0000-0000-00006C360000}"/>
    <cellStyle name="Ausgabe 36" xfId="7324" xr:uid="{00000000-0005-0000-0000-00006D360000}"/>
    <cellStyle name="Ausgabe 36 2" xfId="16742" xr:uid="{00000000-0005-0000-0000-00006E360000}"/>
    <cellStyle name="Ausgabe 36_est. MEAT" xfId="23602" xr:uid="{00000000-0005-0000-0000-00006F360000}"/>
    <cellStyle name="Ausgabe 37" xfId="7325" xr:uid="{00000000-0005-0000-0000-000070360000}"/>
    <cellStyle name="Ausgabe 37 2" xfId="16743" xr:uid="{00000000-0005-0000-0000-000071360000}"/>
    <cellStyle name="Ausgabe 37_est. MEAT" xfId="23603" xr:uid="{00000000-0005-0000-0000-000072360000}"/>
    <cellStyle name="Ausgabe 38" xfId="7326" xr:uid="{00000000-0005-0000-0000-000073360000}"/>
    <cellStyle name="Ausgabe 38 2" xfId="16744" xr:uid="{00000000-0005-0000-0000-000074360000}"/>
    <cellStyle name="Ausgabe 38_est. MEAT" xfId="23604" xr:uid="{00000000-0005-0000-0000-000075360000}"/>
    <cellStyle name="Ausgabe 39" xfId="7327" xr:uid="{00000000-0005-0000-0000-000076360000}"/>
    <cellStyle name="Ausgabe 39 2" xfId="16745" xr:uid="{00000000-0005-0000-0000-000077360000}"/>
    <cellStyle name="Ausgabe 39_est. MEAT" xfId="23605" xr:uid="{00000000-0005-0000-0000-000078360000}"/>
    <cellStyle name="Ausgabe 4" xfId="7328" xr:uid="{00000000-0005-0000-0000-000079360000}"/>
    <cellStyle name="Ausgabe 4 2" xfId="7329" xr:uid="{00000000-0005-0000-0000-00007A360000}"/>
    <cellStyle name="Ausgabe 4 2 2" xfId="16747" xr:uid="{00000000-0005-0000-0000-00007B360000}"/>
    <cellStyle name="Ausgabe 4 2_est. MEAT" xfId="23606" xr:uid="{00000000-0005-0000-0000-00007C360000}"/>
    <cellStyle name="Ausgabe 4 3" xfId="16746" xr:uid="{00000000-0005-0000-0000-00007D360000}"/>
    <cellStyle name="Ausgabe 4_2012-2019" xfId="12399" xr:uid="{00000000-0005-0000-0000-00007E360000}"/>
    <cellStyle name="Ausgabe 40" xfId="7330" xr:uid="{00000000-0005-0000-0000-00007F360000}"/>
    <cellStyle name="Ausgabe 40 2" xfId="16748" xr:uid="{00000000-0005-0000-0000-000080360000}"/>
    <cellStyle name="Ausgabe 40_est. MEAT" xfId="23607" xr:uid="{00000000-0005-0000-0000-000081360000}"/>
    <cellStyle name="Ausgabe 41" xfId="7331" xr:uid="{00000000-0005-0000-0000-000082360000}"/>
    <cellStyle name="Ausgabe 41 2" xfId="16749" xr:uid="{00000000-0005-0000-0000-000083360000}"/>
    <cellStyle name="Ausgabe 41_est. MEAT" xfId="23608" xr:uid="{00000000-0005-0000-0000-000084360000}"/>
    <cellStyle name="Ausgabe 42" xfId="7332" xr:uid="{00000000-0005-0000-0000-000085360000}"/>
    <cellStyle name="Ausgabe 42 2" xfId="16750" xr:uid="{00000000-0005-0000-0000-000086360000}"/>
    <cellStyle name="Ausgabe 42_est. MEAT" xfId="23609" xr:uid="{00000000-0005-0000-0000-000087360000}"/>
    <cellStyle name="Ausgabe 43" xfId="7333" xr:uid="{00000000-0005-0000-0000-000088360000}"/>
    <cellStyle name="Ausgabe 43 2" xfId="16751" xr:uid="{00000000-0005-0000-0000-000089360000}"/>
    <cellStyle name="Ausgabe 43_est. MEAT" xfId="23610" xr:uid="{00000000-0005-0000-0000-00008A360000}"/>
    <cellStyle name="Ausgabe 44" xfId="7334" xr:uid="{00000000-0005-0000-0000-00008B360000}"/>
    <cellStyle name="Ausgabe 44 2" xfId="16752" xr:uid="{00000000-0005-0000-0000-00008C360000}"/>
    <cellStyle name="Ausgabe 44_est. MEAT" xfId="23611" xr:uid="{00000000-0005-0000-0000-00008D360000}"/>
    <cellStyle name="Ausgabe 45" xfId="7335" xr:uid="{00000000-0005-0000-0000-00008E360000}"/>
    <cellStyle name="Ausgabe 45 2" xfId="16753" xr:uid="{00000000-0005-0000-0000-00008F360000}"/>
    <cellStyle name="Ausgabe 45_est. MEAT" xfId="23612" xr:uid="{00000000-0005-0000-0000-000090360000}"/>
    <cellStyle name="Ausgabe 46" xfId="7336" xr:uid="{00000000-0005-0000-0000-000091360000}"/>
    <cellStyle name="Ausgabe 46 2" xfId="16754" xr:uid="{00000000-0005-0000-0000-000092360000}"/>
    <cellStyle name="Ausgabe 46_est. MEAT" xfId="23613" xr:uid="{00000000-0005-0000-0000-000093360000}"/>
    <cellStyle name="Ausgabe 47" xfId="7337" xr:uid="{00000000-0005-0000-0000-000094360000}"/>
    <cellStyle name="Ausgabe 47 2" xfId="16755" xr:uid="{00000000-0005-0000-0000-000095360000}"/>
    <cellStyle name="Ausgabe 47_est. MEAT" xfId="23614" xr:uid="{00000000-0005-0000-0000-000096360000}"/>
    <cellStyle name="Ausgabe 48" xfId="7338" xr:uid="{00000000-0005-0000-0000-000097360000}"/>
    <cellStyle name="Ausgabe 48 2" xfId="16756" xr:uid="{00000000-0005-0000-0000-000098360000}"/>
    <cellStyle name="Ausgabe 48_est. MEAT" xfId="23615" xr:uid="{00000000-0005-0000-0000-000099360000}"/>
    <cellStyle name="Ausgabe 49" xfId="7339" xr:uid="{00000000-0005-0000-0000-00009A360000}"/>
    <cellStyle name="Ausgabe 49 2" xfId="16757" xr:uid="{00000000-0005-0000-0000-00009B360000}"/>
    <cellStyle name="Ausgabe 49_est. MEAT" xfId="23616" xr:uid="{00000000-0005-0000-0000-00009C360000}"/>
    <cellStyle name="Ausgabe 5" xfId="7340" xr:uid="{00000000-0005-0000-0000-00009D360000}"/>
    <cellStyle name="Ausgabe 5 2" xfId="7341" xr:uid="{00000000-0005-0000-0000-00009E360000}"/>
    <cellStyle name="Ausgabe 5 2 2" xfId="16759" xr:uid="{00000000-0005-0000-0000-00009F360000}"/>
    <cellStyle name="Ausgabe 5 2_est. MEAT" xfId="23617" xr:uid="{00000000-0005-0000-0000-0000A0360000}"/>
    <cellStyle name="Ausgabe 5 3" xfId="16758" xr:uid="{00000000-0005-0000-0000-0000A1360000}"/>
    <cellStyle name="Ausgabe 5_2012-2019" xfId="12400" xr:uid="{00000000-0005-0000-0000-0000A2360000}"/>
    <cellStyle name="Ausgabe 50" xfId="7342" xr:uid="{00000000-0005-0000-0000-0000A3360000}"/>
    <cellStyle name="Ausgabe 50 2" xfId="16760" xr:uid="{00000000-0005-0000-0000-0000A4360000}"/>
    <cellStyle name="Ausgabe 50_est. MEAT" xfId="23618" xr:uid="{00000000-0005-0000-0000-0000A5360000}"/>
    <cellStyle name="Ausgabe 51" xfId="7343" xr:uid="{00000000-0005-0000-0000-0000A6360000}"/>
    <cellStyle name="Ausgabe 51 2" xfId="16761" xr:uid="{00000000-0005-0000-0000-0000A7360000}"/>
    <cellStyle name="Ausgabe 51_est. MEAT" xfId="23619" xr:uid="{00000000-0005-0000-0000-0000A8360000}"/>
    <cellStyle name="Ausgabe 52" xfId="7344" xr:uid="{00000000-0005-0000-0000-0000A9360000}"/>
    <cellStyle name="Ausgabe 52 2" xfId="16762" xr:uid="{00000000-0005-0000-0000-0000AA360000}"/>
    <cellStyle name="Ausgabe 52_est. MEAT" xfId="23620" xr:uid="{00000000-0005-0000-0000-0000AB360000}"/>
    <cellStyle name="Ausgabe 53" xfId="7345" xr:uid="{00000000-0005-0000-0000-0000AC360000}"/>
    <cellStyle name="Ausgabe 53 2" xfId="16763" xr:uid="{00000000-0005-0000-0000-0000AD360000}"/>
    <cellStyle name="Ausgabe 53_est. MEAT" xfId="23621" xr:uid="{00000000-0005-0000-0000-0000AE360000}"/>
    <cellStyle name="Ausgabe 54" xfId="7346" xr:uid="{00000000-0005-0000-0000-0000AF360000}"/>
    <cellStyle name="Ausgabe 54 2" xfId="16764" xr:uid="{00000000-0005-0000-0000-0000B0360000}"/>
    <cellStyle name="Ausgabe 54_est. MEAT" xfId="23622" xr:uid="{00000000-0005-0000-0000-0000B1360000}"/>
    <cellStyle name="Ausgabe 55" xfId="7347" xr:uid="{00000000-0005-0000-0000-0000B2360000}"/>
    <cellStyle name="Ausgabe 55 2" xfId="16765" xr:uid="{00000000-0005-0000-0000-0000B3360000}"/>
    <cellStyle name="Ausgabe 55_est. MEAT" xfId="23623" xr:uid="{00000000-0005-0000-0000-0000B4360000}"/>
    <cellStyle name="Ausgabe 56" xfId="7348" xr:uid="{00000000-0005-0000-0000-0000B5360000}"/>
    <cellStyle name="Ausgabe 56 2" xfId="16766" xr:uid="{00000000-0005-0000-0000-0000B6360000}"/>
    <cellStyle name="Ausgabe 56_est. MEAT" xfId="23624" xr:uid="{00000000-0005-0000-0000-0000B7360000}"/>
    <cellStyle name="Ausgabe 57" xfId="7349" xr:uid="{00000000-0005-0000-0000-0000B8360000}"/>
    <cellStyle name="Ausgabe 57 2" xfId="16767" xr:uid="{00000000-0005-0000-0000-0000B9360000}"/>
    <cellStyle name="Ausgabe 57_est. MEAT" xfId="23625" xr:uid="{00000000-0005-0000-0000-0000BA360000}"/>
    <cellStyle name="Ausgabe 58" xfId="7350" xr:uid="{00000000-0005-0000-0000-0000BB360000}"/>
    <cellStyle name="Ausgabe 58 2" xfId="16768" xr:uid="{00000000-0005-0000-0000-0000BC360000}"/>
    <cellStyle name="Ausgabe 58_est. MEAT" xfId="23626" xr:uid="{00000000-0005-0000-0000-0000BD360000}"/>
    <cellStyle name="Ausgabe 59" xfId="7351" xr:uid="{00000000-0005-0000-0000-0000BE360000}"/>
    <cellStyle name="Ausgabe 59 2" xfId="16769" xr:uid="{00000000-0005-0000-0000-0000BF360000}"/>
    <cellStyle name="Ausgabe 59_est. MEAT" xfId="23627" xr:uid="{00000000-0005-0000-0000-0000C0360000}"/>
    <cellStyle name="Ausgabe 6" xfId="7352" xr:uid="{00000000-0005-0000-0000-0000C1360000}"/>
    <cellStyle name="Ausgabe 6 2" xfId="7353" xr:uid="{00000000-0005-0000-0000-0000C2360000}"/>
    <cellStyle name="Ausgabe 6 2 2" xfId="16771" xr:uid="{00000000-0005-0000-0000-0000C3360000}"/>
    <cellStyle name="Ausgabe 6 2_est. MEAT" xfId="23628" xr:uid="{00000000-0005-0000-0000-0000C4360000}"/>
    <cellStyle name="Ausgabe 6 3" xfId="16770" xr:uid="{00000000-0005-0000-0000-0000C5360000}"/>
    <cellStyle name="Ausgabe 6_2012-2019" xfId="12401" xr:uid="{00000000-0005-0000-0000-0000C6360000}"/>
    <cellStyle name="Ausgabe 60" xfId="7354" xr:uid="{00000000-0005-0000-0000-0000C7360000}"/>
    <cellStyle name="Ausgabe 60 2" xfId="16772" xr:uid="{00000000-0005-0000-0000-0000C8360000}"/>
    <cellStyle name="Ausgabe 60_est. MEAT" xfId="23629" xr:uid="{00000000-0005-0000-0000-0000C9360000}"/>
    <cellStyle name="Ausgabe 61" xfId="7355" xr:uid="{00000000-0005-0000-0000-0000CA360000}"/>
    <cellStyle name="Ausgabe 61 2" xfId="16773" xr:uid="{00000000-0005-0000-0000-0000CB360000}"/>
    <cellStyle name="Ausgabe 61_est. MEAT" xfId="23630" xr:uid="{00000000-0005-0000-0000-0000CC360000}"/>
    <cellStyle name="Ausgabe 62" xfId="7356" xr:uid="{00000000-0005-0000-0000-0000CD360000}"/>
    <cellStyle name="Ausgabe 62 2" xfId="16774" xr:uid="{00000000-0005-0000-0000-0000CE360000}"/>
    <cellStyle name="Ausgabe 62_est. MEAT" xfId="23631" xr:uid="{00000000-0005-0000-0000-0000CF360000}"/>
    <cellStyle name="Ausgabe 63" xfId="7357" xr:uid="{00000000-0005-0000-0000-0000D0360000}"/>
    <cellStyle name="Ausgabe 63 2" xfId="16775" xr:uid="{00000000-0005-0000-0000-0000D1360000}"/>
    <cellStyle name="Ausgabe 63_est. MEAT" xfId="23632" xr:uid="{00000000-0005-0000-0000-0000D2360000}"/>
    <cellStyle name="Ausgabe 64" xfId="7358" xr:uid="{00000000-0005-0000-0000-0000D3360000}"/>
    <cellStyle name="Ausgabe 64 2" xfId="16776" xr:uid="{00000000-0005-0000-0000-0000D4360000}"/>
    <cellStyle name="Ausgabe 64_est. MEAT" xfId="23633" xr:uid="{00000000-0005-0000-0000-0000D5360000}"/>
    <cellStyle name="Ausgabe 65" xfId="7359" xr:uid="{00000000-0005-0000-0000-0000D6360000}"/>
    <cellStyle name="Ausgabe 65 2" xfId="16777" xr:uid="{00000000-0005-0000-0000-0000D7360000}"/>
    <cellStyle name="Ausgabe 65_est. MEAT" xfId="23634" xr:uid="{00000000-0005-0000-0000-0000D8360000}"/>
    <cellStyle name="Ausgabe 66" xfId="7360" xr:uid="{00000000-0005-0000-0000-0000D9360000}"/>
    <cellStyle name="Ausgabe 66 2" xfId="16778" xr:uid="{00000000-0005-0000-0000-0000DA360000}"/>
    <cellStyle name="Ausgabe 66_est. MEAT" xfId="23635" xr:uid="{00000000-0005-0000-0000-0000DB360000}"/>
    <cellStyle name="Ausgabe 67" xfId="7361" xr:uid="{00000000-0005-0000-0000-0000DC360000}"/>
    <cellStyle name="Ausgabe 67 2" xfId="16779" xr:uid="{00000000-0005-0000-0000-0000DD360000}"/>
    <cellStyle name="Ausgabe 67_est. MEAT" xfId="23636" xr:uid="{00000000-0005-0000-0000-0000DE360000}"/>
    <cellStyle name="Ausgabe 68" xfId="7362" xr:uid="{00000000-0005-0000-0000-0000DF360000}"/>
    <cellStyle name="Ausgabe 68 2" xfId="16780" xr:uid="{00000000-0005-0000-0000-0000E0360000}"/>
    <cellStyle name="Ausgabe 68_est. MEAT" xfId="23637" xr:uid="{00000000-0005-0000-0000-0000E1360000}"/>
    <cellStyle name="Ausgabe 69" xfId="7363" xr:uid="{00000000-0005-0000-0000-0000E2360000}"/>
    <cellStyle name="Ausgabe 69 2" xfId="16781" xr:uid="{00000000-0005-0000-0000-0000E3360000}"/>
    <cellStyle name="Ausgabe 69_est. MEAT" xfId="23638" xr:uid="{00000000-0005-0000-0000-0000E4360000}"/>
    <cellStyle name="Ausgabe 7" xfId="7364" xr:uid="{00000000-0005-0000-0000-0000E5360000}"/>
    <cellStyle name="Ausgabe 7 2" xfId="7365" xr:uid="{00000000-0005-0000-0000-0000E6360000}"/>
    <cellStyle name="Ausgabe 7 2 2" xfId="16783" xr:uid="{00000000-0005-0000-0000-0000E7360000}"/>
    <cellStyle name="Ausgabe 7 2_est. MEAT" xfId="23639" xr:uid="{00000000-0005-0000-0000-0000E8360000}"/>
    <cellStyle name="Ausgabe 7 3" xfId="16782" xr:uid="{00000000-0005-0000-0000-0000E9360000}"/>
    <cellStyle name="Ausgabe 7_2012-2019" xfId="12402" xr:uid="{00000000-0005-0000-0000-0000EA360000}"/>
    <cellStyle name="Ausgabe 70" xfId="7366" xr:uid="{00000000-0005-0000-0000-0000EB360000}"/>
    <cellStyle name="Ausgabe 70 2" xfId="16784" xr:uid="{00000000-0005-0000-0000-0000EC360000}"/>
    <cellStyle name="Ausgabe 70_est. MEAT" xfId="23640" xr:uid="{00000000-0005-0000-0000-0000ED360000}"/>
    <cellStyle name="Ausgabe 71" xfId="7367" xr:uid="{00000000-0005-0000-0000-0000EE360000}"/>
    <cellStyle name="Ausgabe 71 2" xfId="16785" xr:uid="{00000000-0005-0000-0000-0000EF360000}"/>
    <cellStyle name="Ausgabe 71_est. MEAT" xfId="23641" xr:uid="{00000000-0005-0000-0000-0000F0360000}"/>
    <cellStyle name="Ausgabe 72" xfId="7368" xr:uid="{00000000-0005-0000-0000-0000F1360000}"/>
    <cellStyle name="Ausgabe 72 2" xfId="16786" xr:uid="{00000000-0005-0000-0000-0000F2360000}"/>
    <cellStyle name="Ausgabe 72_est. MEAT" xfId="23642" xr:uid="{00000000-0005-0000-0000-0000F3360000}"/>
    <cellStyle name="Ausgabe 73" xfId="7369" xr:uid="{00000000-0005-0000-0000-0000F4360000}"/>
    <cellStyle name="Ausgabe 73 2" xfId="16787" xr:uid="{00000000-0005-0000-0000-0000F5360000}"/>
    <cellStyle name="Ausgabe 73_est. MEAT" xfId="23643" xr:uid="{00000000-0005-0000-0000-0000F6360000}"/>
    <cellStyle name="Ausgabe 74" xfId="7370" xr:uid="{00000000-0005-0000-0000-0000F7360000}"/>
    <cellStyle name="Ausgabe 74 2" xfId="16788" xr:uid="{00000000-0005-0000-0000-0000F8360000}"/>
    <cellStyle name="Ausgabe 74_est. MEAT" xfId="23644" xr:uid="{00000000-0005-0000-0000-0000F9360000}"/>
    <cellStyle name="Ausgabe 75" xfId="7371" xr:uid="{00000000-0005-0000-0000-0000FA360000}"/>
    <cellStyle name="Ausgabe 75 2" xfId="16789" xr:uid="{00000000-0005-0000-0000-0000FB360000}"/>
    <cellStyle name="Ausgabe 75_est. MEAT" xfId="23645" xr:uid="{00000000-0005-0000-0000-0000FC360000}"/>
    <cellStyle name="Ausgabe 76" xfId="7372" xr:uid="{00000000-0005-0000-0000-0000FD360000}"/>
    <cellStyle name="Ausgabe 76 2" xfId="16790" xr:uid="{00000000-0005-0000-0000-0000FE360000}"/>
    <cellStyle name="Ausgabe 76_est. MEAT" xfId="23646" xr:uid="{00000000-0005-0000-0000-0000FF360000}"/>
    <cellStyle name="Ausgabe 77" xfId="7373" xr:uid="{00000000-0005-0000-0000-000000370000}"/>
    <cellStyle name="Ausgabe 77 2" xfId="16791" xr:uid="{00000000-0005-0000-0000-000001370000}"/>
    <cellStyle name="Ausgabe 77_est. MEAT" xfId="23647" xr:uid="{00000000-0005-0000-0000-000002370000}"/>
    <cellStyle name="Ausgabe 78" xfId="7374" xr:uid="{00000000-0005-0000-0000-000003370000}"/>
    <cellStyle name="Ausgabe 78 2" xfId="16792" xr:uid="{00000000-0005-0000-0000-000004370000}"/>
    <cellStyle name="Ausgabe 78_est. MEAT" xfId="23648" xr:uid="{00000000-0005-0000-0000-000005370000}"/>
    <cellStyle name="Ausgabe 79" xfId="7375" xr:uid="{00000000-0005-0000-0000-000006370000}"/>
    <cellStyle name="Ausgabe 79 2" xfId="16793" xr:uid="{00000000-0005-0000-0000-000007370000}"/>
    <cellStyle name="Ausgabe 79_est. MEAT" xfId="23649" xr:uid="{00000000-0005-0000-0000-000008370000}"/>
    <cellStyle name="Ausgabe 8" xfId="7376" xr:uid="{00000000-0005-0000-0000-000009370000}"/>
    <cellStyle name="Ausgabe 8 2" xfId="7377" xr:uid="{00000000-0005-0000-0000-00000A370000}"/>
    <cellStyle name="Ausgabe 8 2 2" xfId="16795" xr:uid="{00000000-0005-0000-0000-00000B370000}"/>
    <cellStyle name="Ausgabe 8 2_est. MEAT" xfId="23650" xr:uid="{00000000-0005-0000-0000-00000C370000}"/>
    <cellStyle name="Ausgabe 8 3" xfId="16794" xr:uid="{00000000-0005-0000-0000-00000D370000}"/>
    <cellStyle name="Ausgabe 8_2012-2019" xfId="12403" xr:uid="{00000000-0005-0000-0000-00000E370000}"/>
    <cellStyle name="Ausgabe 80" xfId="7378" xr:uid="{00000000-0005-0000-0000-00000F370000}"/>
    <cellStyle name="Ausgabe 80 2" xfId="16796" xr:uid="{00000000-0005-0000-0000-000010370000}"/>
    <cellStyle name="Ausgabe 80_est. MEAT" xfId="23651" xr:uid="{00000000-0005-0000-0000-000011370000}"/>
    <cellStyle name="Ausgabe 81" xfId="7379" xr:uid="{00000000-0005-0000-0000-000012370000}"/>
    <cellStyle name="Ausgabe 81 2" xfId="16797" xr:uid="{00000000-0005-0000-0000-000013370000}"/>
    <cellStyle name="Ausgabe 81_est. MEAT" xfId="23652" xr:uid="{00000000-0005-0000-0000-000014370000}"/>
    <cellStyle name="Ausgabe 82" xfId="7380" xr:uid="{00000000-0005-0000-0000-000015370000}"/>
    <cellStyle name="Ausgabe 82 2" xfId="16798" xr:uid="{00000000-0005-0000-0000-000016370000}"/>
    <cellStyle name="Ausgabe 82_est. MEAT" xfId="23653" xr:uid="{00000000-0005-0000-0000-000017370000}"/>
    <cellStyle name="Ausgabe 83" xfId="7381" xr:uid="{00000000-0005-0000-0000-000018370000}"/>
    <cellStyle name="Ausgabe 83 2" xfId="16799" xr:uid="{00000000-0005-0000-0000-000019370000}"/>
    <cellStyle name="Ausgabe 83_est. MEAT" xfId="23654" xr:uid="{00000000-0005-0000-0000-00001A370000}"/>
    <cellStyle name="Ausgabe 84" xfId="7382" xr:uid="{00000000-0005-0000-0000-00001B370000}"/>
    <cellStyle name="Ausgabe 84 2" xfId="16800" xr:uid="{00000000-0005-0000-0000-00001C370000}"/>
    <cellStyle name="Ausgabe 84_est. MEAT" xfId="23655" xr:uid="{00000000-0005-0000-0000-00001D370000}"/>
    <cellStyle name="Ausgabe 85" xfId="7383" xr:uid="{00000000-0005-0000-0000-00001E370000}"/>
    <cellStyle name="Ausgabe 85 2" xfId="16801" xr:uid="{00000000-0005-0000-0000-00001F370000}"/>
    <cellStyle name="Ausgabe 85_est. MEAT" xfId="23656" xr:uid="{00000000-0005-0000-0000-000020370000}"/>
    <cellStyle name="Ausgabe 86" xfId="7384" xr:uid="{00000000-0005-0000-0000-000021370000}"/>
    <cellStyle name="Ausgabe 86 2" xfId="16802" xr:uid="{00000000-0005-0000-0000-000022370000}"/>
    <cellStyle name="Ausgabe 86_est. MEAT" xfId="23657" xr:uid="{00000000-0005-0000-0000-000023370000}"/>
    <cellStyle name="Ausgabe 87" xfId="7385" xr:uid="{00000000-0005-0000-0000-000024370000}"/>
    <cellStyle name="Ausgabe 87 2" xfId="16803" xr:uid="{00000000-0005-0000-0000-000025370000}"/>
    <cellStyle name="Ausgabe 87_est. MEAT" xfId="23658" xr:uid="{00000000-0005-0000-0000-000026370000}"/>
    <cellStyle name="Ausgabe 88" xfId="7386" xr:uid="{00000000-0005-0000-0000-000027370000}"/>
    <cellStyle name="Ausgabe 88 2" xfId="16804" xr:uid="{00000000-0005-0000-0000-000028370000}"/>
    <cellStyle name="Ausgabe 88_est. MEAT" xfId="23659" xr:uid="{00000000-0005-0000-0000-000029370000}"/>
    <cellStyle name="Ausgabe 89" xfId="7387" xr:uid="{00000000-0005-0000-0000-00002A370000}"/>
    <cellStyle name="Ausgabe 89 2" xfId="16805" xr:uid="{00000000-0005-0000-0000-00002B370000}"/>
    <cellStyle name="Ausgabe 89_est. MEAT" xfId="23660" xr:uid="{00000000-0005-0000-0000-00002C370000}"/>
    <cellStyle name="Ausgabe 9" xfId="7388" xr:uid="{00000000-0005-0000-0000-00002D370000}"/>
    <cellStyle name="Ausgabe 9 2" xfId="7389" xr:uid="{00000000-0005-0000-0000-00002E370000}"/>
    <cellStyle name="Ausgabe 9 2 2" xfId="16807" xr:uid="{00000000-0005-0000-0000-00002F370000}"/>
    <cellStyle name="Ausgabe 9 2_est. MEAT" xfId="23661" xr:uid="{00000000-0005-0000-0000-000030370000}"/>
    <cellStyle name="Ausgabe 9 3" xfId="16806" xr:uid="{00000000-0005-0000-0000-000031370000}"/>
    <cellStyle name="Ausgabe 9_2012-2019" xfId="12404" xr:uid="{00000000-0005-0000-0000-000032370000}"/>
    <cellStyle name="Ausgabe 90" xfId="7390" xr:uid="{00000000-0005-0000-0000-000033370000}"/>
    <cellStyle name="Ausgabe 90 2" xfId="16808" xr:uid="{00000000-0005-0000-0000-000034370000}"/>
    <cellStyle name="Ausgabe 90_est. MEAT" xfId="23662" xr:uid="{00000000-0005-0000-0000-000035370000}"/>
    <cellStyle name="Ausgabe 91" xfId="7391" xr:uid="{00000000-0005-0000-0000-000036370000}"/>
    <cellStyle name="Ausgabe 91 2" xfId="16809" xr:uid="{00000000-0005-0000-0000-000037370000}"/>
    <cellStyle name="Ausgabe 91_est. MEAT" xfId="23663" xr:uid="{00000000-0005-0000-0000-000038370000}"/>
    <cellStyle name="Ausgabe 92" xfId="7392" xr:uid="{00000000-0005-0000-0000-000039370000}"/>
    <cellStyle name="Ausgabe 92 2" xfId="16810" xr:uid="{00000000-0005-0000-0000-00003A370000}"/>
    <cellStyle name="Ausgabe 92_est. MEAT" xfId="23664" xr:uid="{00000000-0005-0000-0000-00003B370000}"/>
    <cellStyle name="Ausgabe 93" xfId="7393" xr:uid="{00000000-0005-0000-0000-00003C370000}"/>
    <cellStyle name="Ausgabe 93 2" xfId="16811" xr:uid="{00000000-0005-0000-0000-00003D370000}"/>
    <cellStyle name="Ausgabe 93_est. MEAT" xfId="23665" xr:uid="{00000000-0005-0000-0000-00003E370000}"/>
    <cellStyle name="Ausgabe 94" xfId="7394" xr:uid="{00000000-0005-0000-0000-00003F370000}"/>
    <cellStyle name="Ausgabe 94 2" xfId="16812" xr:uid="{00000000-0005-0000-0000-000040370000}"/>
    <cellStyle name="Ausgabe 94_est. MEAT" xfId="23666" xr:uid="{00000000-0005-0000-0000-000041370000}"/>
    <cellStyle name="Ausgabe 95" xfId="7395" xr:uid="{00000000-0005-0000-0000-000042370000}"/>
    <cellStyle name="Ausgabe 95 2" xfId="16813" xr:uid="{00000000-0005-0000-0000-000043370000}"/>
    <cellStyle name="Ausgabe 95_est. MEAT" xfId="23667" xr:uid="{00000000-0005-0000-0000-000044370000}"/>
    <cellStyle name="Ausgabe 96" xfId="7396" xr:uid="{00000000-0005-0000-0000-000045370000}"/>
    <cellStyle name="Ausgabe 96 2" xfId="16814" xr:uid="{00000000-0005-0000-0000-000046370000}"/>
    <cellStyle name="Ausgabe 96_est. MEAT" xfId="23668" xr:uid="{00000000-0005-0000-0000-000047370000}"/>
    <cellStyle name="Ausgabe 97" xfId="7397" xr:uid="{00000000-0005-0000-0000-000048370000}"/>
    <cellStyle name="Ausgabe 97 2" xfId="16815" xr:uid="{00000000-0005-0000-0000-000049370000}"/>
    <cellStyle name="Ausgabe 97_est. MEAT" xfId="23669" xr:uid="{00000000-0005-0000-0000-00004A370000}"/>
    <cellStyle name="Ausgabe 98" xfId="7398" xr:uid="{00000000-0005-0000-0000-00004B370000}"/>
    <cellStyle name="Ausgabe 98 2" xfId="16816" xr:uid="{00000000-0005-0000-0000-00004C370000}"/>
    <cellStyle name="Ausgabe 98_est. MEAT" xfId="23670" xr:uid="{00000000-0005-0000-0000-00004D370000}"/>
    <cellStyle name="Ausgabe 99" xfId="7399" xr:uid="{00000000-0005-0000-0000-00004E370000}"/>
    <cellStyle name="Ausgabe 99 2" xfId="16817" xr:uid="{00000000-0005-0000-0000-00004F370000}"/>
    <cellStyle name="Ausgabe 99_est. MEAT" xfId="23671" xr:uid="{00000000-0005-0000-0000-000050370000}"/>
    <cellStyle name="Ausgabe_2012-2019" xfId="12391" xr:uid="{00000000-0005-0000-0000-000051370000}"/>
    <cellStyle name="Bad" xfId="23672" xr:uid="{00000000-0005-0000-0000-000052370000}"/>
    <cellStyle name="Bad 2" xfId="7400" xr:uid="{00000000-0005-0000-0000-000053370000}"/>
    <cellStyle name="Bad 2 2" xfId="16818" xr:uid="{00000000-0005-0000-0000-000054370000}"/>
    <cellStyle name="Bad 2_est. MEAT" xfId="23673" xr:uid="{00000000-0005-0000-0000-000055370000}"/>
    <cellStyle name="Bad_AE_FC_QuoteMaster" xfId="23674" xr:uid="{00000000-0005-0000-0000-000056370000}"/>
    <cellStyle name="Berechnung" xfId="7401" xr:uid="{00000000-0005-0000-0000-000057370000}"/>
    <cellStyle name="Berechnung 10" xfId="7402" xr:uid="{00000000-0005-0000-0000-000058370000}"/>
    <cellStyle name="Berechnung 10 2" xfId="7403" xr:uid="{00000000-0005-0000-0000-000059370000}"/>
    <cellStyle name="Berechnung 10 2 2" xfId="16821" xr:uid="{00000000-0005-0000-0000-00005A370000}"/>
    <cellStyle name="Berechnung 10 2_est. MEAT" xfId="23675" xr:uid="{00000000-0005-0000-0000-00005B370000}"/>
    <cellStyle name="Berechnung 10 3" xfId="16820" xr:uid="{00000000-0005-0000-0000-00005C370000}"/>
    <cellStyle name="Berechnung 10_2012-2019" xfId="12406" xr:uid="{00000000-0005-0000-0000-00005D370000}"/>
    <cellStyle name="Berechnung 100" xfId="7404" xr:uid="{00000000-0005-0000-0000-00005E370000}"/>
    <cellStyle name="Berechnung 100 2" xfId="16822" xr:uid="{00000000-0005-0000-0000-00005F370000}"/>
    <cellStyle name="Berechnung 100_est. MEAT" xfId="23676" xr:uid="{00000000-0005-0000-0000-000060370000}"/>
    <cellStyle name="Berechnung 101" xfId="7405" xr:uid="{00000000-0005-0000-0000-000061370000}"/>
    <cellStyle name="Berechnung 101 2" xfId="16823" xr:uid="{00000000-0005-0000-0000-000062370000}"/>
    <cellStyle name="Berechnung 101_est. MEAT" xfId="23677" xr:uid="{00000000-0005-0000-0000-000063370000}"/>
    <cellStyle name="Berechnung 102" xfId="7406" xr:uid="{00000000-0005-0000-0000-000064370000}"/>
    <cellStyle name="Berechnung 102 2" xfId="16824" xr:uid="{00000000-0005-0000-0000-000065370000}"/>
    <cellStyle name="Berechnung 102_est. MEAT" xfId="23678" xr:uid="{00000000-0005-0000-0000-000066370000}"/>
    <cellStyle name="Berechnung 103" xfId="7407" xr:uid="{00000000-0005-0000-0000-000067370000}"/>
    <cellStyle name="Berechnung 103 2" xfId="16825" xr:uid="{00000000-0005-0000-0000-000068370000}"/>
    <cellStyle name="Berechnung 103_est. MEAT" xfId="23679" xr:uid="{00000000-0005-0000-0000-000069370000}"/>
    <cellStyle name="Berechnung 104" xfId="7408" xr:uid="{00000000-0005-0000-0000-00006A370000}"/>
    <cellStyle name="Berechnung 104 2" xfId="16826" xr:uid="{00000000-0005-0000-0000-00006B370000}"/>
    <cellStyle name="Berechnung 104_est. MEAT" xfId="23680" xr:uid="{00000000-0005-0000-0000-00006C370000}"/>
    <cellStyle name="Berechnung 105" xfId="7409" xr:uid="{00000000-0005-0000-0000-00006D370000}"/>
    <cellStyle name="Berechnung 105 2" xfId="16827" xr:uid="{00000000-0005-0000-0000-00006E370000}"/>
    <cellStyle name="Berechnung 105_est. MEAT" xfId="23681" xr:uid="{00000000-0005-0000-0000-00006F370000}"/>
    <cellStyle name="Berechnung 106" xfId="7410" xr:uid="{00000000-0005-0000-0000-000070370000}"/>
    <cellStyle name="Berechnung 106 2" xfId="16828" xr:uid="{00000000-0005-0000-0000-000071370000}"/>
    <cellStyle name="Berechnung 106_est. MEAT" xfId="23682" xr:uid="{00000000-0005-0000-0000-000072370000}"/>
    <cellStyle name="Berechnung 107" xfId="7411" xr:uid="{00000000-0005-0000-0000-000073370000}"/>
    <cellStyle name="Berechnung 107 2" xfId="16829" xr:uid="{00000000-0005-0000-0000-000074370000}"/>
    <cellStyle name="Berechnung 107_est. MEAT" xfId="23683" xr:uid="{00000000-0005-0000-0000-000075370000}"/>
    <cellStyle name="Berechnung 108" xfId="7412" xr:uid="{00000000-0005-0000-0000-000076370000}"/>
    <cellStyle name="Berechnung 108 2" xfId="16830" xr:uid="{00000000-0005-0000-0000-000077370000}"/>
    <cellStyle name="Berechnung 108_est. MEAT" xfId="23684" xr:uid="{00000000-0005-0000-0000-000078370000}"/>
    <cellStyle name="Berechnung 109" xfId="7413" xr:uid="{00000000-0005-0000-0000-000079370000}"/>
    <cellStyle name="Berechnung 109 2" xfId="16831" xr:uid="{00000000-0005-0000-0000-00007A370000}"/>
    <cellStyle name="Berechnung 109_est. MEAT" xfId="23685" xr:uid="{00000000-0005-0000-0000-00007B370000}"/>
    <cellStyle name="Berechnung 11" xfId="7414" xr:uid="{00000000-0005-0000-0000-00007C370000}"/>
    <cellStyle name="Berechnung 11 2" xfId="7415" xr:uid="{00000000-0005-0000-0000-00007D370000}"/>
    <cellStyle name="Berechnung 11 2 2" xfId="16833" xr:uid="{00000000-0005-0000-0000-00007E370000}"/>
    <cellStyle name="Berechnung 11 2_est. MEAT" xfId="23686" xr:uid="{00000000-0005-0000-0000-00007F370000}"/>
    <cellStyle name="Berechnung 11 3" xfId="16832" xr:uid="{00000000-0005-0000-0000-000080370000}"/>
    <cellStyle name="Berechnung 11_2012-2019" xfId="12407" xr:uid="{00000000-0005-0000-0000-000081370000}"/>
    <cellStyle name="Berechnung 110" xfId="7416" xr:uid="{00000000-0005-0000-0000-000082370000}"/>
    <cellStyle name="Berechnung 110 2" xfId="16834" xr:uid="{00000000-0005-0000-0000-000083370000}"/>
    <cellStyle name="Berechnung 110_est. MEAT" xfId="23687" xr:uid="{00000000-0005-0000-0000-000084370000}"/>
    <cellStyle name="Berechnung 111" xfId="7417" xr:uid="{00000000-0005-0000-0000-000085370000}"/>
    <cellStyle name="Berechnung 111 2" xfId="16835" xr:uid="{00000000-0005-0000-0000-000086370000}"/>
    <cellStyle name="Berechnung 111_est. MEAT" xfId="23688" xr:uid="{00000000-0005-0000-0000-000087370000}"/>
    <cellStyle name="Berechnung 112" xfId="7418" xr:uid="{00000000-0005-0000-0000-000088370000}"/>
    <cellStyle name="Berechnung 112 2" xfId="16836" xr:uid="{00000000-0005-0000-0000-000089370000}"/>
    <cellStyle name="Berechnung 112_est. MEAT" xfId="23689" xr:uid="{00000000-0005-0000-0000-00008A370000}"/>
    <cellStyle name="Berechnung 113" xfId="7419" xr:uid="{00000000-0005-0000-0000-00008B370000}"/>
    <cellStyle name="Berechnung 113 2" xfId="16837" xr:uid="{00000000-0005-0000-0000-00008C370000}"/>
    <cellStyle name="Berechnung 113_est. MEAT" xfId="23690" xr:uid="{00000000-0005-0000-0000-00008D370000}"/>
    <cellStyle name="Berechnung 114" xfId="7420" xr:uid="{00000000-0005-0000-0000-00008E370000}"/>
    <cellStyle name="Berechnung 114 2" xfId="16838" xr:uid="{00000000-0005-0000-0000-00008F370000}"/>
    <cellStyle name="Berechnung 114_est. MEAT" xfId="23691" xr:uid="{00000000-0005-0000-0000-000090370000}"/>
    <cellStyle name="Berechnung 115" xfId="7421" xr:uid="{00000000-0005-0000-0000-000091370000}"/>
    <cellStyle name="Berechnung 115 2" xfId="16839" xr:uid="{00000000-0005-0000-0000-000092370000}"/>
    <cellStyle name="Berechnung 115_est. MEAT" xfId="23692" xr:uid="{00000000-0005-0000-0000-000093370000}"/>
    <cellStyle name="Berechnung 116" xfId="7422" xr:uid="{00000000-0005-0000-0000-000094370000}"/>
    <cellStyle name="Berechnung 116 2" xfId="16840" xr:uid="{00000000-0005-0000-0000-000095370000}"/>
    <cellStyle name="Berechnung 116_est. MEAT" xfId="23693" xr:uid="{00000000-0005-0000-0000-000096370000}"/>
    <cellStyle name="Berechnung 117" xfId="7423" xr:uid="{00000000-0005-0000-0000-000097370000}"/>
    <cellStyle name="Berechnung 117 2" xfId="16841" xr:uid="{00000000-0005-0000-0000-000098370000}"/>
    <cellStyle name="Berechnung 117_est. MEAT" xfId="23694" xr:uid="{00000000-0005-0000-0000-000099370000}"/>
    <cellStyle name="Berechnung 118" xfId="7424" xr:uid="{00000000-0005-0000-0000-00009A370000}"/>
    <cellStyle name="Berechnung 118 2" xfId="16842" xr:uid="{00000000-0005-0000-0000-00009B370000}"/>
    <cellStyle name="Berechnung 118_est. MEAT" xfId="23695" xr:uid="{00000000-0005-0000-0000-00009C370000}"/>
    <cellStyle name="Berechnung 119" xfId="7425" xr:uid="{00000000-0005-0000-0000-00009D370000}"/>
    <cellStyle name="Berechnung 119 2" xfId="16843" xr:uid="{00000000-0005-0000-0000-00009E370000}"/>
    <cellStyle name="Berechnung 119_est. MEAT" xfId="23696" xr:uid="{00000000-0005-0000-0000-00009F370000}"/>
    <cellStyle name="Berechnung 12" xfId="7426" xr:uid="{00000000-0005-0000-0000-0000A0370000}"/>
    <cellStyle name="Berechnung 12 2" xfId="7427" xr:uid="{00000000-0005-0000-0000-0000A1370000}"/>
    <cellStyle name="Berechnung 12 2 2" xfId="16845" xr:uid="{00000000-0005-0000-0000-0000A2370000}"/>
    <cellStyle name="Berechnung 12 2_est. MEAT" xfId="23697" xr:uid="{00000000-0005-0000-0000-0000A3370000}"/>
    <cellStyle name="Berechnung 12 3" xfId="16844" xr:uid="{00000000-0005-0000-0000-0000A4370000}"/>
    <cellStyle name="Berechnung 12_2012-2019" xfId="12408" xr:uid="{00000000-0005-0000-0000-0000A5370000}"/>
    <cellStyle name="Berechnung 120" xfId="7428" xr:uid="{00000000-0005-0000-0000-0000A6370000}"/>
    <cellStyle name="Berechnung 120 2" xfId="16846" xr:uid="{00000000-0005-0000-0000-0000A7370000}"/>
    <cellStyle name="Berechnung 120_est. MEAT" xfId="23698" xr:uid="{00000000-0005-0000-0000-0000A8370000}"/>
    <cellStyle name="Berechnung 121" xfId="7429" xr:uid="{00000000-0005-0000-0000-0000A9370000}"/>
    <cellStyle name="Berechnung 121 2" xfId="16847" xr:uid="{00000000-0005-0000-0000-0000AA370000}"/>
    <cellStyle name="Berechnung 121_est. MEAT" xfId="23699" xr:uid="{00000000-0005-0000-0000-0000AB370000}"/>
    <cellStyle name="Berechnung 122" xfId="7430" xr:uid="{00000000-0005-0000-0000-0000AC370000}"/>
    <cellStyle name="Berechnung 122 2" xfId="16848" xr:uid="{00000000-0005-0000-0000-0000AD370000}"/>
    <cellStyle name="Berechnung 122_est. MEAT" xfId="23700" xr:uid="{00000000-0005-0000-0000-0000AE370000}"/>
    <cellStyle name="Berechnung 123" xfId="7431" xr:uid="{00000000-0005-0000-0000-0000AF370000}"/>
    <cellStyle name="Berechnung 123 2" xfId="16849" xr:uid="{00000000-0005-0000-0000-0000B0370000}"/>
    <cellStyle name="Berechnung 123_est. MEAT" xfId="23701" xr:uid="{00000000-0005-0000-0000-0000B1370000}"/>
    <cellStyle name="Berechnung 124" xfId="7432" xr:uid="{00000000-0005-0000-0000-0000B2370000}"/>
    <cellStyle name="Berechnung 124 2" xfId="16850" xr:uid="{00000000-0005-0000-0000-0000B3370000}"/>
    <cellStyle name="Berechnung 124_est. MEAT" xfId="23702" xr:uid="{00000000-0005-0000-0000-0000B4370000}"/>
    <cellStyle name="Berechnung 125" xfId="7433" xr:uid="{00000000-0005-0000-0000-0000B5370000}"/>
    <cellStyle name="Berechnung 125 2" xfId="16851" xr:uid="{00000000-0005-0000-0000-0000B6370000}"/>
    <cellStyle name="Berechnung 125_est. MEAT" xfId="23703" xr:uid="{00000000-0005-0000-0000-0000B7370000}"/>
    <cellStyle name="Berechnung 126" xfId="7434" xr:uid="{00000000-0005-0000-0000-0000B8370000}"/>
    <cellStyle name="Berechnung 126 2" xfId="16852" xr:uid="{00000000-0005-0000-0000-0000B9370000}"/>
    <cellStyle name="Berechnung 126_est. MEAT" xfId="23704" xr:uid="{00000000-0005-0000-0000-0000BA370000}"/>
    <cellStyle name="Berechnung 127" xfId="7435" xr:uid="{00000000-0005-0000-0000-0000BB370000}"/>
    <cellStyle name="Berechnung 127 2" xfId="16853" xr:uid="{00000000-0005-0000-0000-0000BC370000}"/>
    <cellStyle name="Berechnung 127_est. MEAT" xfId="23705" xr:uid="{00000000-0005-0000-0000-0000BD370000}"/>
    <cellStyle name="Berechnung 128" xfId="7436" xr:uid="{00000000-0005-0000-0000-0000BE370000}"/>
    <cellStyle name="Berechnung 128 2" xfId="16854" xr:uid="{00000000-0005-0000-0000-0000BF370000}"/>
    <cellStyle name="Berechnung 128_est. MEAT" xfId="23706" xr:uid="{00000000-0005-0000-0000-0000C0370000}"/>
    <cellStyle name="Berechnung 129" xfId="7437" xr:uid="{00000000-0005-0000-0000-0000C1370000}"/>
    <cellStyle name="Berechnung 129 2" xfId="16855" xr:uid="{00000000-0005-0000-0000-0000C2370000}"/>
    <cellStyle name="Berechnung 129_est. MEAT" xfId="23707" xr:uid="{00000000-0005-0000-0000-0000C3370000}"/>
    <cellStyle name="Berechnung 13" xfId="7438" xr:uid="{00000000-0005-0000-0000-0000C4370000}"/>
    <cellStyle name="Berechnung 13 2" xfId="7439" xr:uid="{00000000-0005-0000-0000-0000C5370000}"/>
    <cellStyle name="Berechnung 13 2 2" xfId="16857" xr:uid="{00000000-0005-0000-0000-0000C6370000}"/>
    <cellStyle name="Berechnung 13 2_est. MEAT" xfId="23708" xr:uid="{00000000-0005-0000-0000-0000C7370000}"/>
    <cellStyle name="Berechnung 13 3" xfId="16856" xr:uid="{00000000-0005-0000-0000-0000C8370000}"/>
    <cellStyle name="Berechnung 13_2012-2019" xfId="12409" xr:uid="{00000000-0005-0000-0000-0000C9370000}"/>
    <cellStyle name="Berechnung 130" xfId="7440" xr:uid="{00000000-0005-0000-0000-0000CA370000}"/>
    <cellStyle name="Berechnung 130 2" xfId="16858" xr:uid="{00000000-0005-0000-0000-0000CB370000}"/>
    <cellStyle name="Berechnung 130_est. MEAT" xfId="23709" xr:uid="{00000000-0005-0000-0000-0000CC370000}"/>
    <cellStyle name="Berechnung 131" xfId="7441" xr:uid="{00000000-0005-0000-0000-0000CD370000}"/>
    <cellStyle name="Berechnung 131 2" xfId="16859" xr:uid="{00000000-0005-0000-0000-0000CE370000}"/>
    <cellStyle name="Berechnung 131_est. MEAT" xfId="23710" xr:uid="{00000000-0005-0000-0000-0000CF370000}"/>
    <cellStyle name="Berechnung 132" xfId="7442" xr:uid="{00000000-0005-0000-0000-0000D0370000}"/>
    <cellStyle name="Berechnung 132 2" xfId="16860" xr:uid="{00000000-0005-0000-0000-0000D1370000}"/>
    <cellStyle name="Berechnung 132_est. MEAT" xfId="23711" xr:uid="{00000000-0005-0000-0000-0000D2370000}"/>
    <cellStyle name="Berechnung 133" xfId="7443" xr:uid="{00000000-0005-0000-0000-0000D3370000}"/>
    <cellStyle name="Berechnung 133 2" xfId="16861" xr:uid="{00000000-0005-0000-0000-0000D4370000}"/>
    <cellStyle name="Berechnung 133_est. MEAT" xfId="23712" xr:uid="{00000000-0005-0000-0000-0000D5370000}"/>
    <cellStyle name="Berechnung 134" xfId="7444" xr:uid="{00000000-0005-0000-0000-0000D6370000}"/>
    <cellStyle name="Berechnung 134 2" xfId="16862" xr:uid="{00000000-0005-0000-0000-0000D7370000}"/>
    <cellStyle name="Berechnung 134_est. MEAT" xfId="23713" xr:uid="{00000000-0005-0000-0000-0000D8370000}"/>
    <cellStyle name="Berechnung 135" xfId="7445" xr:uid="{00000000-0005-0000-0000-0000D9370000}"/>
    <cellStyle name="Berechnung 135 2" xfId="16863" xr:uid="{00000000-0005-0000-0000-0000DA370000}"/>
    <cellStyle name="Berechnung 135_est. MEAT" xfId="23714" xr:uid="{00000000-0005-0000-0000-0000DB370000}"/>
    <cellStyle name="Berechnung 136" xfId="7446" xr:uid="{00000000-0005-0000-0000-0000DC370000}"/>
    <cellStyle name="Berechnung 136 2" xfId="16864" xr:uid="{00000000-0005-0000-0000-0000DD370000}"/>
    <cellStyle name="Berechnung 136_est. MEAT" xfId="23715" xr:uid="{00000000-0005-0000-0000-0000DE370000}"/>
    <cellStyle name="Berechnung 137" xfId="7447" xr:uid="{00000000-0005-0000-0000-0000DF370000}"/>
    <cellStyle name="Berechnung 137 2" xfId="16865" xr:uid="{00000000-0005-0000-0000-0000E0370000}"/>
    <cellStyle name="Berechnung 137_est. MEAT" xfId="23716" xr:uid="{00000000-0005-0000-0000-0000E1370000}"/>
    <cellStyle name="Berechnung 138" xfId="7448" xr:uid="{00000000-0005-0000-0000-0000E2370000}"/>
    <cellStyle name="Berechnung 138 2" xfId="16866" xr:uid="{00000000-0005-0000-0000-0000E3370000}"/>
    <cellStyle name="Berechnung 138_est. MEAT" xfId="23717" xr:uid="{00000000-0005-0000-0000-0000E4370000}"/>
    <cellStyle name="Berechnung 139" xfId="7449" xr:uid="{00000000-0005-0000-0000-0000E5370000}"/>
    <cellStyle name="Berechnung 139 2" xfId="16867" xr:uid="{00000000-0005-0000-0000-0000E6370000}"/>
    <cellStyle name="Berechnung 139_est. MEAT" xfId="23718" xr:uid="{00000000-0005-0000-0000-0000E7370000}"/>
    <cellStyle name="Berechnung 14" xfId="7450" xr:uid="{00000000-0005-0000-0000-0000E8370000}"/>
    <cellStyle name="Berechnung 14 2" xfId="7451" xr:uid="{00000000-0005-0000-0000-0000E9370000}"/>
    <cellStyle name="Berechnung 14 2 2" xfId="16869" xr:uid="{00000000-0005-0000-0000-0000EA370000}"/>
    <cellStyle name="Berechnung 14 2_est. MEAT" xfId="23719" xr:uid="{00000000-0005-0000-0000-0000EB370000}"/>
    <cellStyle name="Berechnung 14 3" xfId="16868" xr:uid="{00000000-0005-0000-0000-0000EC370000}"/>
    <cellStyle name="Berechnung 14_2012-2019" xfId="12410" xr:uid="{00000000-0005-0000-0000-0000ED370000}"/>
    <cellStyle name="Berechnung 140" xfId="7452" xr:uid="{00000000-0005-0000-0000-0000EE370000}"/>
    <cellStyle name="Berechnung 140 2" xfId="16870" xr:uid="{00000000-0005-0000-0000-0000EF370000}"/>
    <cellStyle name="Berechnung 140_est. MEAT" xfId="23720" xr:uid="{00000000-0005-0000-0000-0000F0370000}"/>
    <cellStyle name="Berechnung 141" xfId="7453" xr:uid="{00000000-0005-0000-0000-0000F1370000}"/>
    <cellStyle name="Berechnung 141 2" xfId="16871" xr:uid="{00000000-0005-0000-0000-0000F2370000}"/>
    <cellStyle name="Berechnung 141_est. MEAT" xfId="23721" xr:uid="{00000000-0005-0000-0000-0000F3370000}"/>
    <cellStyle name="Berechnung 142" xfId="7454" xr:uid="{00000000-0005-0000-0000-0000F4370000}"/>
    <cellStyle name="Berechnung 142 2" xfId="16872" xr:uid="{00000000-0005-0000-0000-0000F5370000}"/>
    <cellStyle name="Berechnung 142_est. MEAT" xfId="23722" xr:uid="{00000000-0005-0000-0000-0000F6370000}"/>
    <cellStyle name="Berechnung 143" xfId="7455" xr:uid="{00000000-0005-0000-0000-0000F7370000}"/>
    <cellStyle name="Berechnung 143 2" xfId="16873" xr:uid="{00000000-0005-0000-0000-0000F8370000}"/>
    <cellStyle name="Berechnung 143_est. MEAT" xfId="23723" xr:uid="{00000000-0005-0000-0000-0000F9370000}"/>
    <cellStyle name="Berechnung 144" xfId="7456" xr:uid="{00000000-0005-0000-0000-0000FA370000}"/>
    <cellStyle name="Berechnung 144 2" xfId="16874" xr:uid="{00000000-0005-0000-0000-0000FB370000}"/>
    <cellStyle name="Berechnung 144_est. MEAT" xfId="23724" xr:uid="{00000000-0005-0000-0000-0000FC370000}"/>
    <cellStyle name="Berechnung 145" xfId="7457" xr:uid="{00000000-0005-0000-0000-0000FD370000}"/>
    <cellStyle name="Berechnung 145 2" xfId="16875" xr:uid="{00000000-0005-0000-0000-0000FE370000}"/>
    <cellStyle name="Berechnung 145_est. MEAT" xfId="23725" xr:uid="{00000000-0005-0000-0000-0000FF370000}"/>
    <cellStyle name="Berechnung 146" xfId="7458" xr:uid="{00000000-0005-0000-0000-000000380000}"/>
    <cellStyle name="Berechnung 146 2" xfId="16876" xr:uid="{00000000-0005-0000-0000-000001380000}"/>
    <cellStyle name="Berechnung 146_est. MEAT" xfId="23726" xr:uid="{00000000-0005-0000-0000-000002380000}"/>
    <cellStyle name="Berechnung 147" xfId="7459" xr:uid="{00000000-0005-0000-0000-000003380000}"/>
    <cellStyle name="Berechnung 147 2" xfId="16877" xr:uid="{00000000-0005-0000-0000-000004380000}"/>
    <cellStyle name="Berechnung 147_est. MEAT" xfId="23727" xr:uid="{00000000-0005-0000-0000-000005380000}"/>
    <cellStyle name="Berechnung 148" xfId="7460" xr:uid="{00000000-0005-0000-0000-000006380000}"/>
    <cellStyle name="Berechnung 148 2" xfId="16878" xr:uid="{00000000-0005-0000-0000-000007380000}"/>
    <cellStyle name="Berechnung 148_est. MEAT" xfId="23728" xr:uid="{00000000-0005-0000-0000-000008380000}"/>
    <cellStyle name="Berechnung 149" xfId="7461" xr:uid="{00000000-0005-0000-0000-000009380000}"/>
    <cellStyle name="Berechnung 149 2" xfId="16879" xr:uid="{00000000-0005-0000-0000-00000A380000}"/>
    <cellStyle name="Berechnung 149_est. MEAT" xfId="23729" xr:uid="{00000000-0005-0000-0000-00000B380000}"/>
    <cellStyle name="Berechnung 15" xfId="7462" xr:uid="{00000000-0005-0000-0000-00000C380000}"/>
    <cellStyle name="Berechnung 15 2" xfId="16880" xr:uid="{00000000-0005-0000-0000-00000D380000}"/>
    <cellStyle name="Berechnung 15_est. MEAT" xfId="23730" xr:uid="{00000000-0005-0000-0000-00000E380000}"/>
    <cellStyle name="Berechnung 150" xfId="7463" xr:uid="{00000000-0005-0000-0000-00000F380000}"/>
    <cellStyle name="Berechnung 150 2" xfId="16881" xr:uid="{00000000-0005-0000-0000-000010380000}"/>
    <cellStyle name="Berechnung 150_est. MEAT" xfId="23731" xr:uid="{00000000-0005-0000-0000-000011380000}"/>
    <cellStyle name="Berechnung 151" xfId="7464" xr:uid="{00000000-0005-0000-0000-000012380000}"/>
    <cellStyle name="Berechnung 151 2" xfId="16882" xr:uid="{00000000-0005-0000-0000-000013380000}"/>
    <cellStyle name="Berechnung 151_est. MEAT" xfId="23732" xr:uid="{00000000-0005-0000-0000-000014380000}"/>
    <cellStyle name="Berechnung 152" xfId="16819" xr:uid="{00000000-0005-0000-0000-000015380000}"/>
    <cellStyle name="Berechnung 16" xfId="7465" xr:uid="{00000000-0005-0000-0000-000016380000}"/>
    <cellStyle name="Berechnung 16 2" xfId="16883" xr:uid="{00000000-0005-0000-0000-000017380000}"/>
    <cellStyle name="Berechnung 16_est. MEAT" xfId="23733" xr:uid="{00000000-0005-0000-0000-000018380000}"/>
    <cellStyle name="Berechnung 17" xfId="7466" xr:uid="{00000000-0005-0000-0000-000019380000}"/>
    <cellStyle name="Berechnung 17 2" xfId="16884" xr:uid="{00000000-0005-0000-0000-00001A380000}"/>
    <cellStyle name="Berechnung 17_est. MEAT" xfId="23734" xr:uid="{00000000-0005-0000-0000-00001B380000}"/>
    <cellStyle name="Berechnung 18" xfId="7467" xr:uid="{00000000-0005-0000-0000-00001C380000}"/>
    <cellStyle name="Berechnung 18 2" xfId="16885" xr:uid="{00000000-0005-0000-0000-00001D380000}"/>
    <cellStyle name="Berechnung 18_est. MEAT" xfId="23735" xr:uid="{00000000-0005-0000-0000-00001E380000}"/>
    <cellStyle name="Berechnung 19" xfId="7468" xr:uid="{00000000-0005-0000-0000-00001F380000}"/>
    <cellStyle name="Berechnung 19 2" xfId="16886" xr:uid="{00000000-0005-0000-0000-000020380000}"/>
    <cellStyle name="Berechnung 19_est. MEAT" xfId="23736" xr:uid="{00000000-0005-0000-0000-000021380000}"/>
    <cellStyle name="Berechnung 2" xfId="7469" xr:uid="{00000000-0005-0000-0000-000022380000}"/>
    <cellStyle name="Berechnung 2 2" xfId="7470" xr:uid="{00000000-0005-0000-0000-000023380000}"/>
    <cellStyle name="Berechnung 2 2 2" xfId="16888" xr:uid="{00000000-0005-0000-0000-000024380000}"/>
    <cellStyle name="Berechnung 2 2_est. MEAT" xfId="23737" xr:uid="{00000000-0005-0000-0000-000025380000}"/>
    <cellStyle name="Berechnung 2 3" xfId="16887" xr:uid="{00000000-0005-0000-0000-000026380000}"/>
    <cellStyle name="Berechnung 2_2012-2019" xfId="12411" xr:uid="{00000000-0005-0000-0000-000027380000}"/>
    <cellStyle name="Berechnung 20" xfId="7471" xr:uid="{00000000-0005-0000-0000-000028380000}"/>
    <cellStyle name="Berechnung 20 2" xfId="16889" xr:uid="{00000000-0005-0000-0000-000029380000}"/>
    <cellStyle name="Berechnung 20_est. MEAT" xfId="23738" xr:uid="{00000000-0005-0000-0000-00002A380000}"/>
    <cellStyle name="Berechnung 21" xfId="7472" xr:uid="{00000000-0005-0000-0000-00002B380000}"/>
    <cellStyle name="Berechnung 21 2" xfId="16890" xr:uid="{00000000-0005-0000-0000-00002C380000}"/>
    <cellStyle name="Berechnung 21_est. MEAT" xfId="23739" xr:uid="{00000000-0005-0000-0000-00002D380000}"/>
    <cellStyle name="Berechnung 22" xfId="7473" xr:uid="{00000000-0005-0000-0000-00002E380000}"/>
    <cellStyle name="Berechnung 22 2" xfId="16891" xr:uid="{00000000-0005-0000-0000-00002F380000}"/>
    <cellStyle name="Berechnung 22_est. MEAT" xfId="23740" xr:uid="{00000000-0005-0000-0000-000030380000}"/>
    <cellStyle name="Berechnung 23" xfId="7474" xr:uid="{00000000-0005-0000-0000-000031380000}"/>
    <cellStyle name="Berechnung 23 2" xfId="16892" xr:uid="{00000000-0005-0000-0000-000032380000}"/>
    <cellStyle name="Berechnung 23_est. MEAT" xfId="23741" xr:uid="{00000000-0005-0000-0000-000033380000}"/>
    <cellStyle name="Berechnung 24" xfId="7475" xr:uid="{00000000-0005-0000-0000-000034380000}"/>
    <cellStyle name="Berechnung 24 2" xfId="16893" xr:uid="{00000000-0005-0000-0000-000035380000}"/>
    <cellStyle name="Berechnung 24_est. MEAT" xfId="23742" xr:uid="{00000000-0005-0000-0000-000036380000}"/>
    <cellStyle name="Berechnung 25" xfId="7476" xr:uid="{00000000-0005-0000-0000-000037380000}"/>
    <cellStyle name="Berechnung 25 2" xfId="16894" xr:uid="{00000000-0005-0000-0000-000038380000}"/>
    <cellStyle name="Berechnung 25_est. MEAT" xfId="23743" xr:uid="{00000000-0005-0000-0000-000039380000}"/>
    <cellStyle name="Berechnung 26" xfId="7477" xr:uid="{00000000-0005-0000-0000-00003A380000}"/>
    <cellStyle name="Berechnung 26 2" xfId="16895" xr:uid="{00000000-0005-0000-0000-00003B380000}"/>
    <cellStyle name="Berechnung 26_est. MEAT" xfId="23744" xr:uid="{00000000-0005-0000-0000-00003C380000}"/>
    <cellStyle name="Berechnung 27" xfId="7478" xr:uid="{00000000-0005-0000-0000-00003D380000}"/>
    <cellStyle name="Berechnung 27 2" xfId="16896" xr:uid="{00000000-0005-0000-0000-00003E380000}"/>
    <cellStyle name="Berechnung 27_est. MEAT" xfId="23745" xr:uid="{00000000-0005-0000-0000-00003F380000}"/>
    <cellStyle name="Berechnung 28" xfId="7479" xr:uid="{00000000-0005-0000-0000-000040380000}"/>
    <cellStyle name="Berechnung 28 2" xfId="16897" xr:uid="{00000000-0005-0000-0000-000041380000}"/>
    <cellStyle name="Berechnung 28_est. MEAT" xfId="23746" xr:uid="{00000000-0005-0000-0000-000042380000}"/>
    <cellStyle name="Berechnung 29" xfId="7480" xr:uid="{00000000-0005-0000-0000-000043380000}"/>
    <cellStyle name="Berechnung 29 2" xfId="16898" xr:uid="{00000000-0005-0000-0000-000044380000}"/>
    <cellStyle name="Berechnung 29_est. MEAT" xfId="23747" xr:uid="{00000000-0005-0000-0000-000045380000}"/>
    <cellStyle name="Berechnung 3" xfId="7481" xr:uid="{00000000-0005-0000-0000-000046380000}"/>
    <cellStyle name="Berechnung 3 2" xfId="7482" xr:uid="{00000000-0005-0000-0000-000047380000}"/>
    <cellStyle name="Berechnung 3 2 2" xfId="16900" xr:uid="{00000000-0005-0000-0000-000048380000}"/>
    <cellStyle name="Berechnung 3 2_est. MEAT" xfId="23748" xr:uid="{00000000-0005-0000-0000-000049380000}"/>
    <cellStyle name="Berechnung 3 3" xfId="16899" xr:uid="{00000000-0005-0000-0000-00004A380000}"/>
    <cellStyle name="Berechnung 3_2012-2019" xfId="12412" xr:uid="{00000000-0005-0000-0000-00004B380000}"/>
    <cellStyle name="Berechnung 30" xfId="7483" xr:uid="{00000000-0005-0000-0000-00004C380000}"/>
    <cellStyle name="Berechnung 30 2" xfId="16901" xr:uid="{00000000-0005-0000-0000-00004D380000}"/>
    <cellStyle name="Berechnung 30_est. MEAT" xfId="23749" xr:uid="{00000000-0005-0000-0000-00004E380000}"/>
    <cellStyle name="Berechnung 31" xfId="7484" xr:uid="{00000000-0005-0000-0000-00004F380000}"/>
    <cellStyle name="Berechnung 31 2" xfId="16902" xr:uid="{00000000-0005-0000-0000-000050380000}"/>
    <cellStyle name="Berechnung 31_est. MEAT" xfId="23750" xr:uid="{00000000-0005-0000-0000-000051380000}"/>
    <cellStyle name="Berechnung 32" xfId="7485" xr:uid="{00000000-0005-0000-0000-000052380000}"/>
    <cellStyle name="Berechnung 32 2" xfId="16903" xr:uid="{00000000-0005-0000-0000-000053380000}"/>
    <cellStyle name="Berechnung 32_est. MEAT" xfId="23751" xr:uid="{00000000-0005-0000-0000-000054380000}"/>
    <cellStyle name="Berechnung 33" xfId="7486" xr:uid="{00000000-0005-0000-0000-000055380000}"/>
    <cellStyle name="Berechnung 33 2" xfId="16904" xr:uid="{00000000-0005-0000-0000-000056380000}"/>
    <cellStyle name="Berechnung 33_est. MEAT" xfId="23752" xr:uid="{00000000-0005-0000-0000-000057380000}"/>
    <cellStyle name="Berechnung 34" xfId="7487" xr:uid="{00000000-0005-0000-0000-000058380000}"/>
    <cellStyle name="Berechnung 34 2" xfId="16905" xr:uid="{00000000-0005-0000-0000-000059380000}"/>
    <cellStyle name="Berechnung 34_est. MEAT" xfId="23753" xr:uid="{00000000-0005-0000-0000-00005A380000}"/>
    <cellStyle name="Berechnung 35" xfId="7488" xr:uid="{00000000-0005-0000-0000-00005B380000}"/>
    <cellStyle name="Berechnung 35 2" xfId="16906" xr:uid="{00000000-0005-0000-0000-00005C380000}"/>
    <cellStyle name="Berechnung 35_est. MEAT" xfId="23754" xr:uid="{00000000-0005-0000-0000-00005D380000}"/>
    <cellStyle name="Berechnung 36" xfId="7489" xr:uid="{00000000-0005-0000-0000-00005E380000}"/>
    <cellStyle name="Berechnung 36 2" xfId="16907" xr:uid="{00000000-0005-0000-0000-00005F380000}"/>
    <cellStyle name="Berechnung 36_est. MEAT" xfId="23755" xr:uid="{00000000-0005-0000-0000-000060380000}"/>
    <cellStyle name="Berechnung 37" xfId="7490" xr:uid="{00000000-0005-0000-0000-000061380000}"/>
    <cellStyle name="Berechnung 37 2" xfId="16908" xr:uid="{00000000-0005-0000-0000-000062380000}"/>
    <cellStyle name="Berechnung 37_est. MEAT" xfId="23756" xr:uid="{00000000-0005-0000-0000-000063380000}"/>
    <cellStyle name="Berechnung 38" xfId="7491" xr:uid="{00000000-0005-0000-0000-000064380000}"/>
    <cellStyle name="Berechnung 38 2" xfId="16909" xr:uid="{00000000-0005-0000-0000-000065380000}"/>
    <cellStyle name="Berechnung 38_est. MEAT" xfId="23757" xr:uid="{00000000-0005-0000-0000-000066380000}"/>
    <cellStyle name="Berechnung 39" xfId="7492" xr:uid="{00000000-0005-0000-0000-000067380000}"/>
    <cellStyle name="Berechnung 39 2" xfId="16910" xr:uid="{00000000-0005-0000-0000-000068380000}"/>
    <cellStyle name="Berechnung 39_est. MEAT" xfId="23758" xr:uid="{00000000-0005-0000-0000-000069380000}"/>
    <cellStyle name="Berechnung 4" xfId="7493" xr:uid="{00000000-0005-0000-0000-00006A380000}"/>
    <cellStyle name="Berechnung 4 2" xfId="7494" xr:uid="{00000000-0005-0000-0000-00006B380000}"/>
    <cellStyle name="Berechnung 4 2 2" xfId="16912" xr:uid="{00000000-0005-0000-0000-00006C380000}"/>
    <cellStyle name="Berechnung 4 2_est. MEAT" xfId="23759" xr:uid="{00000000-0005-0000-0000-00006D380000}"/>
    <cellStyle name="Berechnung 4 3" xfId="16911" xr:uid="{00000000-0005-0000-0000-00006E380000}"/>
    <cellStyle name="Berechnung 4_2012-2019" xfId="12413" xr:uid="{00000000-0005-0000-0000-00006F380000}"/>
    <cellStyle name="Berechnung 40" xfId="7495" xr:uid="{00000000-0005-0000-0000-000070380000}"/>
    <cellStyle name="Berechnung 40 2" xfId="16913" xr:uid="{00000000-0005-0000-0000-000071380000}"/>
    <cellStyle name="Berechnung 40_est. MEAT" xfId="23760" xr:uid="{00000000-0005-0000-0000-000072380000}"/>
    <cellStyle name="Berechnung 41" xfId="7496" xr:uid="{00000000-0005-0000-0000-000073380000}"/>
    <cellStyle name="Berechnung 41 2" xfId="16914" xr:uid="{00000000-0005-0000-0000-000074380000}"/>
    <cellStyle name="Berechnung 41_est. MEAT" xfId="23761" xr:uid="{00000000-0005-0000-0000-000075380000}"/>
    <cellStyle name="Berechnung 42" xfId="7497" xr:uid="{00000000-0005-0000-0000-000076380000}"/>
    <cellStyle name="Berechnung 42 2" xfId="16915" xr:uid="{00000000-0005-0000-0000-000077380000}"/>
    <cellStyle name="Berechnung 42_est. MEAT" xfId="23762" xr:uid="{00000000-0005-0000-0000-000078380000}"/>
    <cellStyle name="Berechnung 43" xfId="7498" xr:uid="{00000000-0005-0000-0000-000079380000}"/>
    <cellStyle name="Berechnung 43 2" xfId="16916" xr:uid="{00000000-0005-0000-0000-00007A380000}"/>
    <cellStyle name="Berechnung 43_est. MEAT" xfId="23763" xr:uid="{00000000-0005-0000-0000-00007B380000}"/>
    <cellStyle name="Berechnung 44" xfId="7499" xr:uid="{00000000-0005-0000-0000-00007C380000}"/>
    <cellStyle name="Berechnung 44 2" xfId="16917" xr:uid="{00000000-0005-0000-0000-00007D380000}"/>
    <cellStyle name="Berechnung 44_est. MEAT" xfId="23764" xr:uid="{00000000-0005-0000-0000-00007E380000}"/>
    <cellStyle name="Berechnung 45" xfId="7500" xr:uid="{00000000-0005-0000-0000-00007F380000}"/>
    <cellStyle name="Berechnung 45 2" xfId="16918" xr:uid="{00000000-0005-0000-0000-000080380000}"/>
    <cellStyle name="Berechnung 45_est. MEAT" xfId="23765" xr:uid="{00000000-0005-0000-0000-000081380000}"/>
    <cellStyle name="Berechnung 46" xfId="7501" xr:uid="{00000000-0005-0000-0000-000082380000}"/>
    <cellStyle name="Berechnung 46 2" xfId="16919" xr:uid="{00000000-0005-0000-0000-000083380000}"/>
    <cellStyle name="Berechnung 46_est. MEAT" xfId="23766" xr:uid="{00000000-0005-0000-0000-000084380000}"/>
    <cellStyle name="Berechnung 47" xfId="7502" xr:uid="{00000000-0005-0000-0000-000085380000}"/>
    <cellStyle name="Berechnung 47 2" xfId="16920" xr:uid="{00000000-0005-0000-0000-000086380000}"/>
    <cellStyle name="Berechnung 47_est. MEAT" xfId="23767" xr:uid="{00000000-0005-0000-0000-000087380000}"/>
    <cellStyle name="Berechnung 48" xfId="7503" xr:uid="{00000000-0005-0000-0000-000088380000}"/>
    <cellStyle name="Berechnung 48 2" xfId="16921" xr:uid="{00000000-0005-0000-0000-000089380000}"/>
    <cellStyle name="Berechnung 48_est. MEAT" xfId="23768" xr:uid="{00000000-0005-0000-0000-00008A380000}"/>
    <cellStyle name="Berechnung 49" xfId="7504" xr:uid="{00000000-0005-0000-0000-00008B380000}"/>
    <cellStyle name="Berechnung 49 2" xfId="16922" xr:uid="{00000000-0005-0000-0000-00008C380000}"/>
    <cellStyle name="Berechnung 49_est. MEAT" xfId="23769" xr:uid="{00000000-0005-0000-0000-00008D380000}"/>
    <cellStyle name="Berechnung 5" xfId="7505" xr:uid="{00000000-0005-0000-0000-00008E380000}"/>
    <cellStyle name="Berechnung 5 2" xfId="7506" xr:uid="{00000000-0005-0000-0000-00008F380000}"/>
    <cellStyle name="Berechnung 5 2 2" xfId="16924" xr:uid="{00000000-0005-0000-0000-000090380000}"/>
    <cellStyle name="Berechnung 5 2_est. MEAT" xfId="23770" xr:uid="{00000000-0005-0000-0000-000091380000}"/>
    <cellStyle name="Berechnung 5 3" xfId="16923" xr:uid="{00000000-0005-0000-0000-000092380000}"/>
    <cellStyle name="Berechnung 5_2012-2019" xfId="12414" xr:uid="{00000000-0005-0000-0000-000093380000}"/>
    <cellStyle name="Berechnung 50" xfId="7507" xr:uid="{00000000-0005-0000-0000-000094380000}"/>
    <cellStyle name="Berechnung 50 2" xfId="16925" xr:uid="{00000000-0005-0000-0000-000095380000}"/>
    <cellStyle name="Berechnung 50_est. MEAT" xfId="23771" xr:uid="{00000000-0005-0000-0000-000096380000}"/>
    <cellStyle name="Berechnung 51" xfId="7508" xr:uid="{00000000-0005-0000-0000-000097380000}"/>
    <cellStyle name="Berechnung 51 2" xfId="16926" xr:uid="{00000000-0005-0000-0000-000098380000}"/>
    <cellStyle name="Berechnung 51_est. MEAT" xfId="23772" xr:uid="{00000000-0005-0000-0000-000099380000}"/>
    <cellStyle name="Berechnung 52" xfId="7509" xr:uid="{00000000-0005-0000-0000-00009A380000}"/>
    <cellStyle name="Berechnung 52 2" xfId="16927" xr:uid="{00000000-0005-0000-0000-00009B380000}"/>
    <cellStyle name="Berechnung 52_est. MEAT" xfId="23773" xr:uid="{00000000-0005-0000-0000-00009C380000}"/>
    <cellStyle name="Berechnung 53" xfId="7510" xr:uid="{00000000-0005-0000-0000-00009D380000}"/>
    <cellStyle name="Berechnung 53 2" xfId="16928" xr:uid="{00000000-0005-0000-0000-00009E380000}"/>
    <cellStyle name="Berechnung 53_est. MEAT" xfId="23774" xr:uid="{00000000-0005-0000-0000-00009F380000}"/>
    <cellStyle name="Berechnung 54" xfId="7511" xr:uid="{00000000-0005-0000-0000-0000A0380000}"/>
    <cellStyle name="Berechnung 54 2" xfId="16929" xr:uid="{00000000-0005-0000-0000-0000A1380000}"/>
    <cellStyle name="Berechnung 54_est. MEAT" xfId="23775" xr:uid="{00000000-0005-0000-0000-0000A2380000}"/>
    <cellStyle name="Berechnung 55" xfId="7512" xr:uid="{00000000-0005-0000-0000-0000A3380000}"/>
    <cellStyle name="Berechnung 55 2" xfId="16930" xr:uid="{00000000-0005-0000-0000-0000A4380000}"/>
    <cellStyle name="Berechnung 55_est. MEAT" xfId="23776" xr:uid="{00000000-0005-0000-0000-0000A5380000}"/>
    <cellStyle name="Berechnung 56" xfId="7513" xr:uid="{00000000-0005-0000-0000-0000A6380000}"/>
    <cellStyle name="Berechnung 56 2" xfId="16931" xr:uid="{00000000-0005-0000-0000-0000A7380000}"/>
    <cellStyle name="Berechnung 56_est. MEAT" xfId="23777" xr:uid="{00000000-0005-0000-0000-0000A8380000}"/>
    <cellStyle name="Berechnung 57" xfId="7514" xr:uid="{00000000-0005-0000-0000-0000A9380000}"/>
    <cellStyle name="Berechnung 57 2" xfId="16932" xr:uid="{00000000-0005-0000-0000-0000AA380000}"/>
    <cellStyle name="Berechnung 57_est. MEAT" xfId="23778" xr:uid="{00000000-0005-0000-0000-0000AB380000}"/>
    <cellStyle name="Berechnung 58" xfId="7515" xr:uid="{00000000-0005-0000-0000-0000AC380000}"/>
    <cellStyle name="Berechnung 58 2" xfId="16933" xr:uid="{00000000-0005-0000-0000-0000AD380000}"/>
    <cellStyle name="Berechnung 58_est. MEAT" xfId="23779" xr:uid="{00000000-0005-0000-0000-0000AE380000}"/>
    <cellStyle name="Berechnung 59" xfId="7516" xr:uid="{00000000-0005-0000-0000-0000AF380000}"/>
    <cellStyle name="Berechnung 59 2" xfId="16934" xr:uid="{00000000-0005-0000-0000-0000B0380000}"/>
    <cellStyle name="Berechnung 59_est. MEAT" xfId="23780" xr:uid="{00000000-0005-0000-0000-0000B1380000}"/>
    <cellStyle name="Berechnung 6" xfId="7517" xr:uid="{00000000-0005-0000-0000-0000B2380000}"/>
    <cellStyle name="Berechnung 6 2" xfId="7518" xr:uid="{00000000-0005-0000-0000-0000B3380000}"/>
    <cellStyle name="Berechnung 6 2 2" xfId="16936" xr:uid="{00000000-0005-0000-0000-0000B4380000}"/>
    <cellStyle name="Berechnung 6 2_est. MEAT" xfId="23781" xr:uid="{00000000-0005-0000-0000-0000B5380000}"/>
    <cellStyle name="Berechnung 6 3" xfId="16935" xr:uid="{00000000-0005-0000-0000-0000B6380000}"/>
    <cellStyle name="Berechnung 6_2012-2019" xfId="12415" xr:uid="{00000000-0005-0000-0000-0000B7380000}"/>
    <cellStyle name="Berechnung 60" xfId="7519" xr:uid="{00000000-0005-0000-0000-0000B8380000}"/>
    <cellStyle name="Berechnung 60 2" xfId="16937" xr:uid="{00000000-0005-0000-0000-0000B9380000}"/>
    <cellStyle name="Berechnung 60_est. MEAT" xfId="23782" xr:uid="{00000000-0005-0000-0000-0000BA380000}"/>
    <cellStyle name="Berechnung 61" xfId="7520" xr:uid="{00000000-0005-0000-0000-0000BB380000}"/>
    <cellStyle name="Berechnung 61 2" xfId="16938" xr:uid="{00000000-0005-0000-0000-0000BC380000}"/>
    <cellStyle name="Berechnung 61_est. MEAT" xfId="23783" xr:uid="{00000000-0005-0000-0000-0000BD380000}"/>
    <cellStyle name="Berechnung 62" xfId="7521" xr:uid="{00000000-0005-0000-0000-0000BE380000}"/>
    <cellStyle name="Berechnung 62 2" xfId="16939" xr:uid="{00000000-0005-0000-0000-0000BF380000}"/>
    <cellStyle name="Berechnung 62_est. MEAT" xfId="23784" xr:uid="{00000000-0005-0000-0000-0000C0380000}"/>
    <cellStyle name="Berechnung 63" xfId="7522" xr:uid="{00000000-0005-0000-0000-0000C1380000}"/>
    <cellStyle name="Berechnung 63 2" xfId="16940" xr:uid="{00000000-0005-0000-0000-0000C2380000}"/>
    <cellStyle name="Berechnung 63_est. MEAT" xfId="23785" xr:uid="{00000000-0005-0000-0000-0000C3380000}"/>
    <cellStyle name="Berechnung 64" xfId="7523" xr:uid="{00000000-0005-0000-0000-0000C4380000}"/>
    <cellStyle name="Berechnung 64 2" xfId="16941" xr:uid="{00000000-0005-0000-0000-0000C5380000}"/>
    <cellStyle name="Berechnung 64_est. MEAT" xfId="23786" xr:uid="{00000000-0005-0000-0000-0000C6380000}"/>
    <cellStyle name="Berechnung 65" xfId="7524" xr:uid="{00000000-0005-0000-0000-0000C7380000}"/>
    <cellStyle name="Berechnung 65 2" xfId="16942" xr:uid="{00000000-0005-0000-0000-0000C8380000}"/>
    <cellStyle name="Berechnung 65_est. MEAT" xfId="23787" xr:uid="{00000000-0005-0000-0000-0000C9380000}"/>
    <cellStyle name="Berechnung 66" xfId="7525" xr:uid="{00000000-0005-0000-0000-0000CA380000}"/>
    <cellStyle name="Berechnung 66 2" xfId="16943" xr:uid="{00000000-0005-0000-0000-0000CB380000}"/>
    <cellStyle name="Berechnung 66_est. MEAT" xfId="23788" xr:uid="{00000000-0005-0000-0000-0000CC380000}"/>
    <cellStyle name="Berechnung 67" xfId="7526" xr:uid="{00000000-0005-0000-0000-0000CD380000}"/>
    <cellStyle name="Berechnung 67 2" xfId="16944" xr:uid="{00000000-0005-0000-0000-0000CE380000}"/>
    <cellStyle name="Berechnung 67_est. MEAT" xfId="23789" xr:uid="{00000000-0005-0000-0000-0000CF380000}"/>
    <cellStyle name="Berechnung 68" xfId="7527" xr:uid="{00000000-0005-0000-0000-0000D0380000}"/>
    <cellStyle name="Berechnung 68 2" xfId="16945" xr:uid="{00000000-0005-0000-0000-0000D1380000}"/>
    <cellStyle name="Berechnung 68_est. MEAT" xfId="23790" xr:uid="{00000000-0005-0000-0000-0000D2380000}"/>
    <cellStyle name="Berechnung 69" xfId="7528" xr:uid="{00000000-0005-0000-0000-0000D3380000}"/>
    <cellStyle name="Berechnung 69 2" xfId="16946" xr:uid="{00000000-0005-0000-0000-0000D4380000}"/>
    <cellStyle name="Berechnung 69_est. MEAT" xfId="23791" xr:uid="{00000000-0005-0000-0000-0000D5380000}"/>
    <cellStyle name="Berechnung 7" xfId="7529" xr:uid="{00000000-0005-0000-0000-0000D6380000}"/>
    <cellStyle name="Berechnung 7 2" xfId="7530" xr:uid="{00000000-0005-0000-0000-0000D7380000}"/>
    <cellStyle name="Berechnung 7 2 2" xfId="16948" xr:uid="{00000000-0005-0000-0000-0000D8380000}"/>
    <cellStyle name="Berechnung 7 2_est. MEAT" xfId="23792" xr:uid="{00000000-0005-0000-0000-0000D9380000}"/>
    <cellStyle name="Berechnung 7 3" xfId="16947" xr:uid="{00000000-0005-0000-0000-0000DA380000}"/>
    <cellStyle name="Berechnung 7_2012-2019" xfId="12416" xr:uid="{00000000-0005-0000-0000-0000DB380000}"/>
    <cellStyle name="Berechnung 70" xfId="7531" xr:uid="{00000000-0005-0000-0000-0000DC380000}"/>
    <cellStyle name="Berechnung 70 2" xfId="16949" xr:uid="{00000000-0005-0000-0000-0000DD380000}"/>
    <cellStyle name="Berechnung 70_est. MEAT" xfId="23793" xr:uid="{00000000-0005-0000-0000-0000DE380000}"/>
    <cellStyle name="Berechnung 71" xfId="7532" xr:uid="{00000000-0005-0000-0000-0000DF380000}"/>
    <cellStyle name="Berechnung 71 2" xfId="16950" xr:uid="{00000000-0005-0000-0000-0000E0380000}"/>
    <cellStyle name="Berechnung 71_est. MEAT" xfId="23794" xr:uid="{00000000-0005-0000-0000-0000E1380000}"/>
    <cellStyle name="Berechnung 72" xfId="7533" xr:uid="{00000000-0005-0000-0000-0000E2380000}"/>
    <cellStyle name="Berechnung 72 2" xfId="16951" xr:uid="{00000000-0005-0000-0000-0000E3380000}"/>
    <cellStyle name="Berechnung 72_est. MEAT" xfId="23795" xr:uid="{00000000-0005-0000-0000-0000E4380000}"/>
    <cellStyle name="Berechnung 73" xfId="7534" xr:uid="{00000000-0005-0000-0000-0000E5380000}"/>
    <cellStyle name="Berechnung 73 2" xfId="16952" xr:uid="{00000000-0005-0000-0000-0000E6380000}"/>
    <cellStyle name="Berechnung 73_est. MEAT" xfId="23796" xr:uid="{00000000-0005-0000-0000-0000E7380000}"/>
    <cellStyle name="Berechnung 74" xfId="7535" xr:uid="{00000000-0005-0000-0000-0000E8380000}"/>
    <cellStyle name="Berechnung 74 2" xfId="16953" xr:uid="{00000000-0005-0000-0000-0000E9380000}"/>
    <cellStyle name="Berechnung 74_est. MEAT" xfId="23797" xr:uid="{00000000-0005-0000-0000-0000EA380000}"/>
    <cellStyle name="Berechnung 75" xfId="7536" xr:uid="{00000000-0005-0000-0000-0000EB380000}"/>
    <cellStyle name="Berechnung 75 2" xfId="16954" xr:uid="{00000000-0005-0000-0000-0000EC380000}"/>
    <cellStyle name="Berechnung 75_est. MEAT" xfId="23798" xr:uid="{00000000-0005-0000-0000-0000ED380000}"/>
    <cellStyle name="Berechnung 76" xfId="7537" xr:uid="{00000000-0005-0000-0000-0000EE380000}"/>
    <cellStyle name="Berechnung 76 2" xfId="16955" xr:uid="{00000000-0005-0000-0000-0000EF380000}"/>
    <cellStyle name="Berechnung 76_est. MEAT" xfId="23799" xr:uid="{00000000-0005-0000-0000-0000F0380000}"/>
    <cellStyle name="Berechnung 77" xfId="7538" xr:uid="{00000000-0005-0000-0000-0000F1380000}"/>
    <cellStyle name="Berechnung 77 2" xfId="16956" xr:uid="{00000000-0005-0000-0000-0000F2380000}"/>
    <cellStyle name="Berechnung 77_est. MEAT" xfId="23800" xr:uid="{00000000-0005-0000-0000-0000F3380000}"/>
    <cellStyle name="Berechnung 78" xfId="7539" xr:uid="{00000000-0005-0000-0000-0000F4380000}"/>
    <cellStyle name="Berechnung 78 2" xfId="16957" xr:uid="{00000000-0005-0000-0000-0000F5380000}"/>
    <cellStyle name="Berechnung 78_est. MEAT" xfId="23801" xr:uid="{00000000-0005-0000-0000-0000F6380000}"/>
    <cellStyle name="Berechnung 79" xfId="7540" xr:uid="{00000000-0005-0000-0000-0000F7380000}"/>
    <cellStyle name="Berechnung 79 2" xfId="16958" xr:uid="{00000000-0005-0000-0000-0000F8380000}"/>
    <cellStyle name="Berechnung 79_est. MEAT" xfId="23802" xr:uid="{00000000-0005-0000-0000-0000F9380000}"/>
    <cellStyle name="Berechnung 8" xfId="7541" xr:uid="{00000000-0005-0000-0000-0000FA380000}"/>
    <cellStyle name="Berechnung 8 2" xfId="7542" xr:uid="{00000000-0005-0000-0000-0000FB380000}"/>
    <cellStyle name="Berechnung 8 2 2" xfId="16960" xr:uid="{00000000-0005-0000-0000-0000FC380000}"/>
    <cellStyle name="Berechnung 8 2_est. MEAT" xfId="23803" xr:uid="{00000000-0005-0000-0000-0000FD380000}"/>
    <cellStyle name="Berechnung 8 3" xfId="16959" xr:uid="{00000000-0005-0000-0000-0000FE380000}"/>
    <cellStyle name="Berechnung 8_2012-2019" xfId="12417" xr:uid="{00000000-0005-0000-0000-0000FF380000}"/>
    <cellStyle name="Berechnung 80" xfId="7543" xr:uid="{00000000-0005-0000-0000-000000390000}"/>
    <cellStyle name="Berechnung 80 2" xfId="16961" xr:uid="{00000000-0005-0000-0000-000001390000}"/>
    <cellStyle name="Berechnung 80_est. MEAT" xfId="23804" xr:uid="{00000000-0005-0000-0000-000002390000}"/>
    <cellStyle name="Berechnung 81" xfId="7544" xr:uid="{00000000-0005-0000-0000-000003390000}"/>
    <cellStyle name="Berechnung 81 2" xfId="16962" xr:uid="{00000000-0005-0000-0000-000004390000}"/>
    <cellStyle name="Berechnung 81_est. MEAT" xfId="23805" xr:uid="{00000000-0005-0000-0000-000005390000}"/>
    <cellStyle name="Berechnung 82" xfId="7545" xr:uid="{00000000-0005-0000-0000-000006390000}"/>
    <cellStyle name="Berechnung 82 2" xfId="16963" xr:uid="{00000000-0005-0000-0000-000007390000}"/>
    <cellStyle name="Berechnung 82_est. MEAT" xfId="23806" xr:uid="{00000000-0005-0000-0000-000008390000}"/>
    <cellStyle name="Berechnung 83" xfId="7546" xr:uid="{00000000-0005-0000-0000-000009390000}"/>
    <cellStyle name="Berechnung 83 2" xfId="16964" xr:uid="{00000000-0005-0000-0000-00000A390000}"/>
    <cellStyle name="Berechnung 83_est. MEAT" xfId="23807" xr:uid="{00000000-0005-0000-0000-00000B390000}"/>
    <cellStyle name="Berechnung 84" xfId="7547" xr:uid="{00000000-0005-0000-0000-00000C390000}"/>
    <cellStyle name="Berechnung 84 2" xfId="16965" xr:uid="{00000000-0005-0000-0000-00000D390000}"/>
    <cellStyle name="Berechnung 84_est. MEAT" xfId="23808" xr:uid="{00000000-0005-0000-0000-00000E390000}"/>
    <cellStyle name="Berechnung 85" xfId="7548" xr:uid="{00000000-0005-0000-0000-00000F390000}"/>
    <cellStyle name="Berechnung 85 2" xfId="16966" xr:uid="{00000000-0005-0000-0000-000010390000}"/>
    <cellStyle name="Berechnung 85_est. MEAT" xfId="23809" xr:uid="{00000000-0005-0000-0000-000011390000}"/>
    <cellStyle name="Berechnung 86" xfId="7549" xr:uid="{00000000-0005-0000-0000-000012390000}"/>
    <cellStyle name="Berechnung 86 2" xfId="16967" xr:uid="{00000000-0005-0000-0000-000013390000}"/>
    <cellStyle name="Berechnung 86_est. MEAT" xfId="23810" xr:uid="{00000000-0005-0000-0000-000014390000}"/>
    <cellStyle name="Berechnung 87" xfId="7550" xr:uid="{00000000-0005-0000-0000-000015390000}"/>
    <cellStyle name="Berechnung 87 2" xfId="16968" xr:uid="{00000000-0005-0000-0000-000016390000}"/>
    <cellStyle name="Berechnung 87_est. MEAT" xfId="23811" xr:uid="{00000000-0005-0000-0000-000017390000}"/>
    <cellStyle name="Berechnung 88" xfId="7551" xr:uid="{00000000-0005-0000-0000-000018390000}"/>
    <cellStyle name="Berechnung 88 2" xfId="16969" xr:uid="{00000000-0005-0000-0000-000019390000}"/>
    <cellStyle name="Berechnung 88_est. MEAT" xfId="23812" xr:uid="{00000000-0005-0000-0000-00001A390000}"/>
    <cellStyle name="Berechnung 89" xfId="7552" xr:uid="{00000000-0005-0000-0000-00001B390000}"/>
    <cellStyle name="Berechnung 89 2" xfId="16970" xr:uid="{00000000-0005-0000-0000-00001C390000}"/>
    <cellStyle name="Berechnung 89_est. MEAT" xfId="23813" xr:uid="{00000000-0005-0000-0000-00001D390000}"/>
    <cellStyle name="Berechnung 9" xfId="7553" xr:uid="{00000000-0005-0000-0000-00001E390000}"/>
    <cellStyle name="Berechnung 9 2" xfId="7554" xr:uid="{00000000-0005-0000-0000-00001F390000}"/>
    <cellStyle name="Berechnung 9 2 2" xfId="16972" xr:uid="{00000000-0005-0000-0000-000020390000}"/>
    <cellStyle name="Berechnung 9 2_est. MEAT" xfId="23814" xr:uid="{00000000-0005-0000-0000-000021390000}"/>
    <cellStyle name="Berechnung 9 3" xfId="16971" xr:uid="{00000000-0005-0000-0000-000022390000}"/>
    <cellStyle name="Berechnung 9_2012-2019" xfId="12418" xr:uid="{00000000-0005-0000-0000-000023390000}"/>
    <cellStyle name="Berechnung 90" xfId="7555" xr:uid="{00000000-0005-0000-0000-000024390000}"/>
    <cellStyle name="Berechnung 90 2" xfId="16973" xr:uid="{00000000-0005-0000-0000-000025390000}"/>
    <cellStyle name="Berechnung 90_est. MEAT" xfId="23815" xr:uid="{00000000-0005-0000-0000-000026390000}"/>
    <cellStyle name="Berechnung 91" xfId="7556" xr:uid="{00000000-0005-0000-0000-000027390000}"/>
    <cellStyle name="Berechnung 91 2" xfId="16974" xr:uid="{00000000-0005-0000-0000-000028390000}"/>
    <cellStyle name="Berechnung 91_est. MEAT" xfId="23816" xr:uid="{00000000-0005-0000-0000-000029390000}"/>
    <cellStyle name="Berechnung 92" xfId="7557" xr:uid="{00000000-0005-0000-0000-00002A390000}"/>
    <cellStyle name="Berechnung 92 2" xfId="16975" xr:uid="{00000000-0005-0000-0000-00002B390000}"/>
    <cellStyle name="Berechnung 92_est. MEAT" xfId="23817" xr:uid="{00000000-0005-0000-0000-00002C390000}"/>
    <cellStyle name="Berechnung 93" xfId="7558" xr:uid="{00000000-0005-0000-0000-00002D390000}"/>
    <cellStyle name="Berechnung 93 2" xfId="16976" xr:uid="{00000000-0005-0000-0000-00002E390000}"/>
    <cellStyle name="Berechnung 93_est. MEAT" xfId="23818" xr:uid="{00000000-0005-0000-0000-00002F390000}"/>
    <cellStyle name="Berechnung 94" xfId="7559" xr:uid="{00000000-0005-0000-0000-000030390000}"/>
    <cellStyle name="Berechnung 94 2" xfId="16977" xr:uid="{00000000-0005-0000-0000-000031390000}"/>
    <cellStyle name="Berechnung 94_est. MEAT" xfId="23819" xr:uid="{00000000-0005-0000-0000-000032390000}"/>
    <cellStyle name="Berechnung 95" xfId="7560" xr:uid="{00000000-0005-0000-0000-000033390000}"/>
    <cellStyle name="Berechnung 95 2" xfId="16978" xr:uid="{00000000-0005-0000-0000-000034390000}"/>
    <cellStyle name="Berechnung 95_est. MEAT" xfId="23820" xr:uid="{00000000-0005-0000-0000-000035390000}"/>
    <cellStyle name="Berechnung 96" xfId="7561" xr:uid="{00000000-0005-0000-0000-000036390000}"/>
    <cellStyle name="Berechnung 96 2" xfId="16979" xr:uid="{00000000-0005-0000-0000-000037390000}"/>
    <cellStyle name="Berechnung 96_est. MEAT" xfId="23821" xr:uid="{00000000-0005-0000-0000-000038390000}"/>
    <cellStyle name="Berechnung 97" xfId="7562" xr:uid="{00000000-0005-0000-0000-000039390000}"/>
    <cellStyle name="Berechnung 97 2" xfId="16980" xr:uid="{00000000-0005-0000-0000-00003A390000}"/>
    <cellStyle name="Berechnung 97_est. MEAT" xfId="23822" xr:uid="{00000000-0005-0000-0000-00003B390000}"/>
    <cellStyle name="Berechnung 98" xfId="7563" xr:uid="{00000000-0005-0000-0000-00003C390000}"/>
    <cellStyle name="Berechnung 98 2" xfId="16981" xr:uid="{00000000-0005-0000-0000-00003D390000}"/>
    <cellStyle name="Berechnung 98_est. MEAT" xfId="23823" xr:uid="{00000000-0005-0000-0000-00003E390000}"/>
    <cellStyle name="Berechnung 99" xfId="7564" xr:uid="{00000000-0005-0000-0000-00003F390000}"/>
    <cellStyle name="Berechnung 99 2" xfId="16982" xr:uid="{00000000-0005-0000-0000-000040390000}"/>
    <cellStyle name="Berechnung 99_est. MEAT" xfId="23824" xr:uid="{00000000-0005-0000-0000-000041390000}"/>
    <cellStyle name="Berechnung_2012-2019" xfId="12405" xr:uid="{00000000-0005-0000-0000-000042390000}"/>
    <cellStyle name="Calculation 2" xfId="7565" xr:uid="{00000000-0005-0000-0000-000043390000}"/>
    <cellStyle name="Calculation 2 2" xfId="16983" xr:uid="{00000000-0005-0000-0000-000044390000}"/>
    <cellStyle name="Calculation 2_est. MEAT" xfId="23825" xr:uid="{00000000-0005-0000-0000-000045390000}"/>
    <cellStyle name="Check Cell" xfId="23826" xr:uid="{00000000-0005-0000-0000-000046390000}"/>
    <cellStyle name="Check Cell 2" xfId="7566" xr:uid="{00000000-0005-0000-0000-000047390000}"/>
    <cellStyle name="Check Cell 2 2" xfId="16984" xr:uid="{00000000-0005-0000-0000-000048390000}"/>
    <cellStyle name="Check Cell 2_est. MEAT" xfId="23827" xr:uid="{00000000-0005-0000-0000-000049390000}"/>
    <cellStyle name="Check Cell_AE_FC_QuoteMaster" xfId="23828" xr:uid="{00000000-0005-0000-0000-00004A390000}"/>
    <cellStyle name="Comma 10" xfId="7567" xr:uid="{00000000-0005-0000-0000-00004B390000}"/>
    <cellStyle name="Comma 10 2" xfId="7568" xr:uid="{00000000-0005-0000-0000-00004C390000}"/>
    <cellStyle name="Comma 10 2 2" xfId="16986" xr:uid="{00000000-0005-0000-0000-00004D390000}"/>
    <cellStyle name="Comma 10 2_est. MEAT" xfId="23829" xr:uid="{00000000-0005-0000-0000-00004E390000}"/>
    <cellStyle name="Comma 10 3" xfId="16985" xr:uid="{00000000-0005-0000-0000-00004F390000}"/>
    <cellStyle name="Comma 10_2012-2019" xfId="12419" xr:uid="{00000000-0005-0000-0000-000050390000}"/>
    <cellStyle name="Comma 2" xfId="7569" xr:uid="{00000000-0005-0000-0000-000051390000}"/>
    <cellStyle name="Comma 2 2" xfId="7570" xr:uid="{00000000-0005-0000-0000-000052390000}"/>
    <cellStyle name="Comma 2 2 2" xfId="7571" xr:uid="{00000000-0005-0000-0000-000053390000}"/>
    <cellStyle name="Comma 2 2 2 2" xfId="7572" xr:uid="{00000000-0005-0000-0000-000054390000}"/>
    <cellStyle name="Comma 2 2 2 2 2" xfId="16990" xr:uid="{00000000-0005-0000-0000-000055390000}"/>
    <cellStyle name="Comma 2 2 2 2_est. MEAT" xfId="23830" xr:uid="{00000000-0005-0000-0000-000056390000}"/>
    <cellStyle name="Comma 2 2 2 3" xfId="16989" xr:uid="{00000000-0005-0000-0000-000057390000}"/>
    <cellStyle name="Comma 2 2 2_2012-2019" xfId="12422" xr:uid="{00000000-0005-0000-0000-000058390000}"/>
    <cellStyle name="Comma 2 2 3" xfId="7573" xr:uid="{00000000-0005-0000-0000-000059390000}"/>
    <cellStyle name="Comma 2 2 3 2" xfId="16991" xr:uid="{00000000-0005-0000-0000-00005A390000}"/>
    <cellStyle name="Comma 2 2 3_est. MEAT" xfId="23831" xr:uid="{00000000-0005-0000-0000-00005B390000}"/>
    <cellStyle name="Comma 2 2 4" xfId="16988" xr:uid="{00000000-0005-0000-0000-00005C390000}"/>
    <cellStyle name="Comma 2 2_2012-2019" xfId="12421" xr:uid="{00000000-0005-0000-0000-00005D390000}"/>
    <cellStyle name="Comma 2 3" xfId="7574" xr:uid="{00000000-0005-0000-0000-00005E390000}"/>
    <cellStyle name="Comma 2 3 2" xfId="7575" xr:uid="{00000000-0005-0000-0000-00005F390000}"/>
    <cellStyle name="Comma 2 3 2 2" xfId="16993" xr:uid="{00000000-0005-0000-0000-000060390000}"/>
    <cellStyle name="Comma 2 3 2_est. MEAT" xfId="23832" xr:uid="{00000000-0005-0000-0000-000061390000}"/>
    <cellStyle name="Comma 2 3 3" xfId="16992" xr:uid="{00000000-0005-0000-0000-000062390000}"/>
    <cellStyle name="Comma 2 3_2012-2019" xfId="12423" xr:uid="{00000000-0005-0000-0000-000063390000}"/>
    <cellStyle name="Comma 2 4" xfId="7576" xr:uid="{00000000-0005-0000-0000-000064390000}"/>
    <cellStyle name="Comma 2 4 2" xfId="16994" xr:uid="{00000000-0005-0000-0000-000065390000}"/>
    <cellStyle name="Comma 2 4_est. MEAT" xfId="23833" xr:uid="{00000000-0005-0000-0000-000066390000}"/>
    <cellStyle name="Comma 2 5" xfId="16987" xr:uid="{00000000-0005-0000-0000-000067390000}"/>
    <cellStyle name="Comma 2_2012-2019" xfId="12420" xr:uid="{00000000-0005-0000-0000-000068390000}"/>
    <cellStyle name="Comma 3" xfId="7577" xr:uid="{00000000-0005-0000-0000-000069390000}"/>
    <cellStyle name="Comma 3 2" xfId="7578" xr:uid="{00000000-0005-0000-0000-00006A390000}"/>
    <cellStyle name="Comma 3 2 2" xfId="7579" xr:uid="{00000000-0005-0000-0000-00006B390000}"/>
    <cellStyle name="Comma 3 2 2 2" xfId="16997" xr:uid="{00000000-0005-0000-0000-00006C390000}"/>
    <cellStyle name="Comma 3 2 2_est. MEAT" xfId="23834" xr:uid="{00000000-0005-0000-0000-00006D390000}"/>
    <cellStyle name="Comma 3 2 3" xfId="16996" xr:uid="{00000000-0005-0000-0000-00006E390000}"/>
    <cellStyle name="Comma 3 2_2012-2019" xfId="12425" xr:uid="{00000000-0005-0000-0000-00006F390000}"/>
    <cellStyle name="Comma 3 3" xfId="7580" xr:uid="{00000000-0005-0000-0000-000070390000}"/>
    <cellStyle name="Comma 3 3 2" xfId="16998" xr:uid="{00000000-0005-0000-0000-000071390000}"/>
    <cellStyle name="Comma 3 3_est. MEAT" xfId="23835" xr:uid="{00000000-0005-0000-0000-000072390000}"/>
    <cellStyle name="Comma 3 4" xfId="16995" xr:uid="{00000000-0005-0000-0000-000073390000}"/>
    <cellStyle name="Comma 3_2012-2019" xfId="12424" xr:uid="{00000000-0005-0000-0000-000074390000}"/>
    <cellStyle name="Comma 4" xfId="7581" xr:uid="{00000000-0005-0000-0000-000075390000}"/>
    <cellStyle name="Comma 4 2" xfId="16999" xr:uid="{00000000-0005-0000-0000-000076390000}"/>
    <cellStyle name="Comma 4_est. MEAT" xfId="23836" xr:uid="{00000000-0005-0000-0000-000077390000}"/>
    <cellStyle name="Comma 5" xfId="7582" xr:uid="{00000000-0005-0000-0000-000078390000}"/>
    <cellStyle name="Comma 5 2" xfId="7583" xr:uid="{00000000-0005-0000-0000-000079390000}"/>
    <cellStyle name="Comma 5 2 2" xfId="17001" xr:uid="{00000000-0005-0000-0000-00007A390000}"/>
    <cellStyle name="Comma 5 2_est. MEAT" xfId="23837" xr:uid="{00000000-0005-0000-0000-00007B390000}"/>
    <cellStyle name="Comma 5 3" xfId="17000" xr:uid="{00000000-0005-0000-0000-00007C390000}"/>
    <cellStyle name="Comma 5_2012-2019" xfId="12426" xr:uid="{00000000-0005-0000-0000-00007D390000}"/>
    <cellStyle name="Comma 53" xfId="7584" xr:uid="{00000000-0005-0000-0000-00007E390000}"/>
    <cellStyle name="Comma 53 2" xfId="7585" xr:uid="{00000000-0005-0000-0000-00007F390000}"/>
    <cellStyle name="Comma 53 2 2" xfId="7586" xr:uid="{00000000-0005-0000-0000-000080390000}"/>
    <cellStyle name="Comma 53 2 2 2" xfId="17004" xr:uid="{00000000-0005-0000-0000-000081390000}"/>
    <cellStyle name="Comma 53 2 2_est. MEAT" xfId="23838" xr:uid="{00000000-0005-0000-0000-000082390000}"/>
    <cellStyle name="Comma 53 2 3" xfId="17003" xr:uid="{00000000-0005-0000-0000-000083390000}"/>
    <cellStyle name="Comma 53 2_2012-2019" xfId="12428" xr:uid="{00000000-0005-0000-0000-000084390000}"/>
    <cellStyle name="Comma 53 3" xfId="7587" xr:uid="{00000000-0005-0000-0000-000085390000}"/>
    <cellStyle name="Comma 53 3 2" xfId="17005" xr:uid="{00000000-0005-0000-0000-000086390000}"/>
    <cellStyle name="Comma 53 3_est. MEAT" xfId="23839" xr:uid="{00000000-0005-0000-0000-000087390000}"/>
    <cellStyle name="Comma 53 4" xfId="17002" xr:uid="{00000000-0005-0000-0000-000088390000}"/>
    <cellStyle name="Comma 53_2012-2019" xfId="12427" xr:uid="{00000000-0005-0000-0000-000089390000}"/>
    <cellStyle name="Comma 59" xfId="7588" xr:uid="{00000000-0005-0000-0000-00008A390000}"/>
    <cellStyle name="Comma 59 2" xfId="7589" xr:uid="{00000000-0005-0000-0000-00008B390000}"/>
    <cellStyle name="Comma 59 2 2" xfId="7590" xr:uid="{00000000-0005-0000-0000-00008C390000}"/>
    <cellStyle name="Comma 59 2 2 2" xfId="17008" xr:uid="{00000000-0005-0000-0000-00008D390000}"/>
    <cellStyle name="Comma 59 2 2_est. MEAT" xfId="23840" xr:uid="{00000000-0005-0000-0000-00008E390000}"/>
    <cellStyle name="Comma 59 2 3" xfId="17007" xr:uid="{00000000-0005-0000-0000-00008F390000}"/>
    <cellStyle name="Comma 59 2_2012-2019" xfId="12430" xr:uid="{00000000-0005-0000-0000-000090390000}"/>
    <cellStyle name="Comma 59 3" xfId="7591" xr:uid="{00000000-0005-0000-0000-000091390000}"/>
    <cellStyle name="Comma 59 3 2" xfId="17009" xr:uid="{00000000-0005-0000-0000-000092390000}"/>
    <cellStyle name="Comma 59 3_est. MEAT" xfId="23841" xr:uid="{00000000-0005-0000-0000-000093390000}"/>
    <cellStyle name="Comma 59 4" xfId="17006" xr:uid="{00000000-0005-0000-0000-000094390000}"/>
    <cellStyle name="Comma 59_2012-2019" xfId="12429" xr:uid="{00000000-0005-0000-0000-000095390000}"/>
    <cellStyle name="Comma 8" xfId="7592" xr:uid="{00000000-0005-0000-0000-000096390000}"/>
    <cellStyle name="Comma 8 2" xfId="7593" xr:uid="{00000000-0005-0000-0000-000097390000}"/>
    <cellStyle name="Comma 8 2 2" xfId="17011" xr:uid="{00000000-0005-0000-0000-000098390000}"/>
    <cellStyle name="Comma 8 2_est. MEAT" xfId="23842" xr:uid="{00000000-0005-0000-0000-000099390000}"/>
    <cellStyle name="Comma 8 3" xfId="17010" xr:uid="{00000000-0005-0000-0000-00009A390000}"/>
    <cellStyle name="Comma 8_2012-2019" xfId="12431" xr:uid="{00000000-0005-0000-0000-00009B390000}"/>
    <cellStyle name="Comma 9" xfId="7594" xr:uid="{00000000-0005-0000-0000-00009C390000}"/>
    <cellStyle name="Comma 9 2" xfId="7595" xr:uid="{00000000-0005-0000-0000-00009D390000}"/>
    <cellStyle name="Comma 9 2 2" xfId="17013" xr:uid="{00000000-0005-0000-0000-00009E390000}"/>
    <cellStyle name="Comma 9 2_est. MEAT" xfId="23843" xr:uid="{00000000-0005-0000-0000-00009F390000}"/>
    <cellStyle name="Comma 9 3" xfId="17012" xr:uid="{00000000-0005-0000-0000-0000A0390000}"/>
    <cellStyle name="Comma 9_2012-2019" xfId="12432" xr:uid="{00000000-0005-0000-0000-0000A1390000}"/>
    <cellStyle name="Currency 2" xfId="7" xr:uid="{00000000-0005-0000-0000-0000A2390000}"/>
    <cellStyle name="Currency 2 2" xfId="13447" xr:uid="{00000000-0005-0000-0000-0000A3390000}"/>
    <cellStyle name="Currency 2 3" xfId="26878" xr:uid="{00000000-0005-0000-0000-0000A4390000}"/>
    <cellStyle name="Currency 3" xfId="11626" xr:uid="{00000000-0005-0000-0000-0000A5390000}"/>
    <cellStyle name="Currency 4" xfId="11628" xr:uid="{00000000-0005-0000-0000-0000A6390000}"/>
    <cellStyle name="Currency 4 2" xfId="21042" xr:uid="{00000000-0005-0000-0000-0000A7390000}"/>
    <cellStyle name="Datum" xfId="7596" xr:uid="{00000000-0005-0000-0000-0000A8390000}"/>
    <cellStyle name="Datum 10" xfId="7597" xr:uid="{00000000-0005-0000-0000-0000A9390000}"/>
    <cellStyle name="Datum 10 2" xfId="17015" xr:uid="{00000000-0005-0000-0000-0000AA390000}"/>
    <cellStyle name="Datum 10_est. MEAT" xfId="23844" xr:uid="{00000000-0005-0000-0000-0000AB390000}"/>
    <cellStyle name="Datum 11" xfId="7598" xr:uid="{00000000-0005-0000-0000-0000AC390000}"/>
    <cellStyle name="Datum 11 2" xfId="17016" xr:uid="{00000000-0005-0000-0000-0000AD390000}"/>
    <cellStyle name="Datum 11_est. MEAT" xfId="23845" xr:uid="{00000000-0005-0000-0000-0000AE390000}"/>
    <cellStyle name="Datum 12" xfId="7599" xr:uid="{00000000-0005-0000-0000-0000AF390000}"/>
    <cellStyle name="Datum 12 2" xfId="17017" xr:uid="{00000000-0005-0000-0000-0000B0390000}"/>
    <cellStyle name="Datum 12_est. MEAT" xfId="23846" xr:uid="{00000000-0005-0000-0000-0000B1390000}"/>
    <cellStyle name="Datum 2" xfId="17014" xr:uid="{00000000-0005-0000-0000-0000B2390000}"/>
    <cellStyle name="Datum 8" xfId="7600" xr:uid="{00000000-0005-0000-0000-0000B3390000}"/>
    <cellStyle name="Datum 8 2" xfId="17018" xr:uid="{00000000-0005-0000-0000-0000B4390000}"/>
    <cellStyle name="Datum 8_est. MEAT" xfId="23847" xr:uid="{00000000-0005-0000-0000-0000B5390000}"/>
    <cellStyle name="Datum 9" xfId="7601" xr:uid="{00000000-0005-0000-0000-0000B6390000}"/>
    <cellStyle name="Datum 9 2" xfId="17019" xr:uid="{00000000-0005-0000-0000-0000B7390000}"/>
    <cellStyle name="Datum 9_est. MEAT" xfId="23848" xr:uid="{00000000-0005-0000-0000-0000B8390000}"/>
    <cellStyle name="Datum_2012-2019" xfId="12433" xr:uid="{00000000-0005-0000-0000-0000B9390000}"/>
    <cellStyle name="Dezimal (0)" xfId="7602" xr:uid="{00000000-0005-0000-0000-0000BA390000}"/>
    <cellStyle name="Dezimal (0) 2" xfId="17020" xr:uid="{00000000-0005-0000-0000-0000BB390000}"/>
    <cellStyle name="Dezimal (0)_est. MEAT" xfId="23849" xr:uid="{00000000-0005-0000-0000-0000BC390000}"/>
    <cellStyle name="Dezimal (0,00)" xfId="7603" xr:uid="{00000000-0005-0000-0000-0000BD390000}"/>
    <cellStyle name="Dezimal (0,00) 2" xfId="17021" xr:uid="{00000000-0005-0000-0000-0000BE390000}"/>
    <cellStyle name="Dezimal (0,00)_est. MEAT" xfId="23850" xr:uid="{00000000-0005-0000-0000-0000BF390000}"/>
    <cellStyle name="Dezimal (0,00__)" xfId="7604" xr:uid="{00000000-0005-0000-0000-0000C0390000}"/>
    <cellStyle name="Dezimal (0__)" xfId="7605" xr:uid="{00000000-0005-0000-0000-0000C1390000}"/>
    <cellStyle name="Dezimal 2" xfId="7606" xr:uid="{00000000-0005-0000-0000-0000C2390000}"/>
    <cellStyle name="Dezimal 2 2" xfId="7607" xr:uid="{00000000-0005-0000-0000-0000C3390000}"/>
    <cellStyle name="Dezimal 2 2 2" xfId="7608" xr:uid="{00000000-0005-0000-0000-0000C4390000}"/>
    <cellStyle name="Dezimal 2 2 2 2" xfId="17024" xr:uid="{00000000-0005-0000-0000-0000C5390000}"/>
    <cellStyle name="Dezimal 2 2 2_est. MEAT" xfId="23851" xr:uid="{00000000-0005-0000-0000-0000C6390000}"/>
    <cellStyle name="Dezimal 2 2 3" xfId="17023" xr:uid="{00000000-0005-0000-0000-0000C7390000}"/>
    <cellStyle name="Dezimal 2 2_2012-2019" xfId="12435" xr:uid="{00000000-0005-0000-0000-0000C8390000}"/>
    <cellStyle name="Dezimal 2 3" xfId="7609" xr:uid="{00000000-0005-0000-0000-0000C9390000}"/>
    <cellStyle name="Dezimal 2 3 2" xfId="17025" xr:uid="{00000000-0005-0000-0000-0000CA390000}"/>
    <cellStyle name="Dezimal 2 3_est. MEAT" xfId="23852" xr:uid="{00000000-0005-0000-0000-0000CB390000}"/>
    <cellStyle name="Dezimal 2 4" xfId="17022" xr:uid="{00000000-0005-0000-0000-0000CC390000}"/>
    <cellStyle name="Dezimal 2_2012-2019" xfId="12434" xr:uid="{00000000-0005-0000-0000-0000CD390000}"/>
    <cellStyle name="Dezimal 3" xfId="7610" xr:uid="{00000000-0005-0000-0000-0000CE390000}"/>
    <cellStyle name="Dezimal 3 2" xfId="7611" xr:uid="{00000000-0005-0000-0000-0000CF390000}"/>
    <cellStyle name="Dezimal 3 2 2" xfId="17027" xr:uid="{00000000-0005-0000-0000-0000D0390000}"/>
    <cellStyle name="Dezimal 3 2_est. MEAT" xfId="23853" xr:uid="{00000000-0005-0000-0000-0000D1390000}"/>
    <cellStyle name="Dezimal 3 3" xfId="7612" xr:uid="{00000000-0005-0000-0000-0000D2390000}"/>
    <cellStyle name="Dezimal 3 3 2" xfId="17028" xr:uid="{00000000-0005-0000-0000-0000D3390000}"/>
    <cellStyle name="Dezimal 3 3_est. MEAT" xfId="23854" xr:uid="{00000000-0005-0000-0000-0000D4390000}"/>
    <cellStyle name="Dezimal 3 4" xfId="17026" xr:uid="{00000000-0005-0000-0000-0000D5390000}"/>
    <cellStyle name="Dezimal 3_2012-2019" xfId="12436" xr:uid="{00000000-0005-0000-0000-0000D6390000}"/>
    <cellStyle name="Dezimal 4" xfId="7613" xr:uid="{00000000-0005-0000-0000-0000D7390000}"/>
    <cellStyle name="Dezimal 4 2" xfId="7614" xr:uid="{00000000-0005-0000-0000-0000D8390000}"/>
    <cellStyle name="Dezimal 4 2 2" xfId="17030" xr:uid="{00000000-0005-0000-0000-0000D9390000}"/>
    <cellStyle name="Dezimal 4 2_est. MEAT" xfId="23855" xr:uid="{00000000-0005-0000-0000-0000DA390000}"/>
    <cellStyle name="Dezimal 4 3" xfId="7615" xr:uid="{00000000-0005-0000-0000-0000DB390000}"/>
    <cellStyle name="Dezimal 4 3 2" xfId="17031" xr:uid="{00000000-0005-0000-0000-0000DC390000}"/>
    <cellStyle name="Dezimal 4 3_est. MEAT" xfId="23856" xr:uid="{00000000-0005-0000-0000-0000DD390000}"/>
    <cellStyle name="Dezimal 4 4" xfId="17029" xr:uid="{00000000-0005-0000-0000-0000DE390000}"/>
    <cellStyle name="Dezimal 4_2012-2019" xfId="12437" xr:uid="{00000000-0005-0000-0000-0000DF390000}"/>
    <cellStyle name="Dezimal 5" xfId="7616" xr:uid="{00000000-0005-0000-0000-0000E0390000}"/>
    <cellStyle name="Dezimal 5 2" xfId="17032" xr:uid="{00000000-0005-0000-0000-0000E1390000}"/>
    <cellStyle name="Dezimal 5_est. MEAT" xfId="23857" xr:uid="{00000000-0005-0000-0000-0000E2390000}"/>
    <cellStyle name="Dezimal 6" xfId="7617" xr:uid="{00000000-0005-0000-0000-0000E3390000}"/>
    <cellStyle name="Dezimal 6 2" xfId="17033" xr:uid="{00000000-0005-0000-0000-0000E4390000}"/>
    <cellStyle name="Dezimal 6_est. MEAT" xfId="23858" xr:uid="{00000000-0005-0000-0000-0000E5390000}"/>
    <cellStyle name="Dollar (0)" xfId="7618" xr:uid="{00000000-0005-0000-0000-0000E6390000}"/>
    <cellStyle name="Dollar (0) 2" xfId="17034" xr:uid="{00000000-0005-0000-0000-0000E7390000}"/>
    <cellStyle name="Dollar (0)_est. MEAT" xfId="23859" xr:uid="{00000000-0005-0000-0000-0000E8390000}"/>
    <cellStyle name="Dollar (0,00)" xfId="7619" xr:uid="{00000000-0005-0000-0000-0000E9390000}"/>
    <cellStyle name="Dollar (0,00) 2" xfId="17035" xr:uid="{00000000-0005-0000-0000-0000EA390000}"/>
    <cellStyle name="Dollar (0,00)_est. MEAT" xfId="23860" xr:uid="{00000000-0005-0000-0000-0000EB390000}"/>
    <cellStyle name="Eingabe" xfId="7620" xr:uid="{00000000-0005-0000-0000-0000EC390000}"/>
    <cellStyle name="Eingabe 10" xfId="7621" xr:uid="{00000000-0005-0000-0000-0000ED390000}"/>
    <cellStyle name="Eingabe 10 2" xfId="7622" xr:uid="{00000000-0005-0000-0000-0000EE390000}"/>
    <cellStyle name="Eingabe 10 2 2" xfId="17038" xr:uid="{00000000-0005-0000-0000-0000EF390000}"/>
    <cellStyle name="Eingabe 10 2_est. MEAT" xfId="23861" xr:uid="{00000000-0005-0000-0000-0000F0390000}"/>
    <cellStyle name="Eingabe 10 3" xfId="17037" xr:uid="{00000000-0005-0000-0000-0000F1390000}"/>
    <cellStyle name="Eingabe 10_2012-2019" xfId="12439" xr:uid="{00000000-0005-0000-0000-0000F2390000}"/>
    <cellStyle name="Eingabe 100" xfId="7623" xr:uid="{00000000-0005-0000-0000-0000F3390000}"/>
    <cellStyle name="Eingabe 100 2" xfId="17039" xr:uid="{00000000-0005-0000-0000-0000F4390000}"/>
    <cellStyle name="Eingabe 100_est. MEAT" xfId="23862" xr:uid="{00000000-0005-0000-0000-0000F5390000}"/>
    <cellStyle name="Eingabe 101" xfId="7624" xr:uid="{00000000-0005-0000-0000-0000F6390000}"/>
    <cellStyle name="Eingabe 101 2" xfId="17040" xr:uid="{00000000-0005-0000-0000-0000F7390000}"/>
    <cellStyle name="Eingabe 101_est. MEAT" xfId="23863" xr:uid="{00000000-0005-0000-0000-0000F8390000}"/>
    <cellStyle name="Eingabe 102" xfId="7625" xr:uid="{00000000-0005-0000-0000-0000F9390000}"/>
    <cellStyle name="Eingabe 102 2" xfId="17041" xr:uid="{00000000-0005-0000-0000-0000FA390000}"/>
    <cellStyle name="Eingabe 102_est. MEAT" xfId="23864" xr:uid="{00000000-0005-0000-0000-0000FB390000}"/>
    <cellStyle name="Eingabe 103" xfId="7626" xr:uid="{00000000-0005-0000-0000-0000FC390000}"/>
    <cellStyle name="Eingabe 103 2" xfId="17042" xr:uid="{00000000-0005-0000-0000-0000FD390000}"/>
    <cellStyle name="Eingabe 103_est. MEAT" xfId="23865" xr:uid="{00000000-0005-0000-0000-0000FE390000}"/>
    <cellStyle name="Eingabe 104" xfId="7627" xr:uid="{00000000-0005-0000-0000-0000FF390000}"/>
    <cellStyle name="Eingabe 104 2" xfId="17043" xr:uid="{00000000-0005-0000-0000-0000003A0000}"/>
    <cellStyle name="Eingabe 104_est. MEAT" xfId="23866" xr:uid="{00000000-0005-0000-0000-0000013A0000}"/>
    <cellStyle name="Eingabe 105" xfId="7628" xr:uid="{00000000-0005-0000-0000-0000023A0000}"/>
    <cellStyle name="Eingabe 105 2" xfId="17044" xr:uid="{00000000-0005-0000-0000-0000033A0000}"/>
    <cellStyle name="Eingabe 105_est. MEAT" xfId="23867" xr:uid="{00000000-0005-0000-0000-0000043A0000}"/>
    <cellStyle name="Eingabe 106" xfId="7629" xr:uid="{00000000-0005-0000-0000-0000053A0000}"/>
    <cellStyle name="Eingabe 106 2" xfId="17045" xr:uid="{00000000-0005-0000-0000-0000063A0000}"/>
    <cellStyle name="Eingabe 106_est. MEAT" xfId="23868" xr:uid="{00000000-0005-0000-0000-0000073A0000}"/>
    <cellStyle name="Eingabe 107" xfId="7630" xr:uid="{00000000-0005-0000-0000-0000083A0000}"/>
    <cellStyle name="Eingabe 107 2" xfId="17046" xr:uid="{00000000-0005-0000-0000-0000093A0000}"/>
    <cellStyle name="Eingabe 107_est. MEAT" xfId="23869" xr:uid="{00000000-0005-0000-0000-00000A3A0000}"/>
    <cellStyle name="Eingabe 108" xfId="7631" xr:uid="{00000000-0005-0000-0000-00000B3A0000}"/>
    <cellStyle name="Eingabe 108 2" xfId="17047" xr:uid="{00000000-0005-0000-0000-00000C3A0000}"/>
    <cellStyle name="Eingabe 108_est. MEAT" xfId="23870" xr:uid="{00000000-0005-0000-0000-00000D3A0000}"/>
    <cellStyle name="Eingabe 109" xfId="7632" xr:uid="{00000000-0005-0000-0000-00000E3A0000}"/>
    <cellStyle name="Eingabe 109 2" xfId="17048" xr:uid="{00000000-0005-0000-0000-00000F3A0000}"/>
    <cellStyle name="Eingabe 109_est. MEAT" xfId="23871" xr:uid="{00000000-0005-0000-0000-0000103A0000}"/>
    <cellStyle name="Eingabe 11" xfId="7633" xr:uid="{00000000-0005-0000-0000-0000113A0000}"/>
    <cellStyle name="Eingabe 11 2" xfId="7634" xr:uid="{00000000-0005-0000-0000-0000123A0000}"/>
    <cellStyle name="Eingabe 11 2 2" xfId="17050" xr:uid="{00000000-0005-0000-0000-0000133A0000}"/>
    <cellStyle name="Eingabe 11 2_est. MEAT" xfId="23872" xr:uid="{00000000-0005-0000-0000-0000143A0000}"/>
    <cellStyle name="Eingabe 11 3" xfId="17049" xr:uid="{00000000-0005-0000-0000-0000153A0000}"/>
    <cellStyle name="Eingabe 11_2012-2019" xfId="12440" xr:uid="{00000000-0005-0000-0000-0000163A0000}"/>
    <cellStyle name="Eingabe 110" xfId="7635" xr:uid="{00000000-0005-0000-0000-0000173A0000}"/>
    <cellStyle name="Eingabe 110 2" xfId="17051" xr:uid="{00000000-0005-0000-0000-0000183A0000}"/>
    <cellStyle name="Eingabe 110_est. MEAT" xfId="23873" xr:uid="{00000000-0005-0000-0000-0000193A0000}"/>
    <cellStyle name="Eingabe 111" xfId="7636" xr:uid="{00000000-0005-0000-0000-00001A3A0000}"/>
    <cellStyle name="Eingabe 111 2" xfId="17052" xr:uid="{00000000-0005-0000-0000-00001B3A0000}"/>
    <cellStyle name="Eingabe 111_est. MEAT" xfId="23874" xr:uid="{00000000-0005-0000-0000-00001C3A0000}"/>
    <cellStyle name="Eingabe 112" xfId="7637" xr:uid="{00000000-0005-0000-0000-00001D3A0000}"/>
    <cellStyle name="Eingabe 112 2" xfId="17053" xr:uid="{00000000-0005-0000-0000-00001E3A0000}"/>
    <cellStyle name="Eingabe 112_est. MEAT" xfId="23875" xr:uid="{00000000-0005-0000-0000-00001F3A0000}"/>
    <cellStyle name="Eingabe 113" xfId="7638" xr:uid="{00000000-0005-0000-0000-0000203A0000}"/>
    <cellStyle name="Eingabe 113 2" xfId="17054" xr:uid="{00000000-0005-0000-0000-0000213A0000}"/>
    <cellStyle name="Eingabe 113_est. MEAT" xfId="23876" xr:uid="{00000000-0005-0000-0000-0000223A0000}"/>
    <cellStyle name="Eingabe 114" xfId="7639" xr:uid="{00000000-0005-0000-0000-0000233A0000}"/>
    <cellStyle name="Eingabe 114 2" xfId="17055" xr:uid="{00000000-0005-0000-0000-0000243A0000}"/>
    <cellStyle name="Eingabe 114_est. MEAT" xfId="23877" xr:uid="{00000000-0005-0000-0000-0000253A0000}"/>
    <cellStyle name="Eingabe 115" xfId="7640" xr:uid="{00000000-0005-0000-0000-0000263A0000}"/>
    <cellStyle name="Eingabe 115 2" xfId="17056" xr:uid="{00000000-0005-0000-0000-0000273A0000}"/>
    <cellStyle name="Eingabe 115_est. MEAT" xfId="23878" xr:uid="{00000000-0005-0000-0000-0000283A0000}"/>
    <cellStyle name="Eingabe 116" xfId="7641" xr:uid="{00000000-0005-0000-0000-0000293A0000}"/>
    <cellStyle name="Eingabe 116 2" xfId="17057" xr:uid="{00000000-0005-0000-0000-00002A3A0000}"/>
    <cellStyle name="Eingabe 116_est. MEAT" xfId="23879" xr:uid="{00000000-0005-0000-0000-00002B3A0000}"/>
    <cellStyle name="Eingabe 117" xfId="7642" xr:uid="{00000000-0005-0000-0000-00002C3A0000}"/>
    <cellStyle name="Eingabe 117 2" xfId="17058" xr:uid="{00000000-0005-0000-0000-00002D3A0000}"/>
    <cellStyle name="Eingabe 117_est. MEAT" xfId="23880" xr:uid="{00000000-0005-0000-0000-00002E3A0000}"/>
    <cellStyle name="Eingabe 118" xfId="7643" xr:uid="{00000000-0005-0000-0000-00002F3A0000}"/>
    <cellStyle name="Eingabe 118 2" xfId="17059" xr:uid="{00000000-0005-0000-0000-0000303A0000}"/>
    <cellStyle name="Eingabe 118_est. MEAT" xfId="23881" xr:uid="{00000000-0005-0000-0000-0000313A0000}"/>
    <cellStyle name="Eingabe 119" xfId="7644" xr:uid="{00000000-0005-0000-0000-0000323A0000}"/>
    <cellStyle name="Eingabe 119 2" xfId="17060" xr:uid="{00000000-0005-0000-0000-0000333A0000}"/>
    <cellStyle name="Eingabe 119_est. MEAT" xfId="23882" xr:uid="{00000000-0005-0000-0000-0000343A0000}"/>
    <cellStyle name="Eingabe 12" xfId="7645" xr:uid="{00000000-0005-0000-0000-0000353A0000}"/>
    <cellStyle name="Eingabe 12 2" xfId="7646" xr:uid="{00000000-0005-0000-0000-0000363A0000}"/>
    <cellStyle name="Eingabe 12 2 2" xfId="17062" xr:uid="{00000000-0005-0000-0000-0000373A0000}"/>
    <cellStyle name="Eingabe 12 2_est. MEAT" xfId="23883" xr:uid="{00000000-0005-0000-0000-0000383A0000}"/>
    <cellStyle name="Eingabe 12 3" xfId="17061" xr:uid="{00000000-0005-0000-0000-0000393A0000}"/>
    <cellStyle name="Eingabe 12_2012-2019" xfId="12441" xr:uid="{00000000-0005-0000-0000-00003A3A0000}"/>
    <cellStyle name="Eingabe 120" xfId="7647" xr:uid="{00000000-0005-0000-0000-00003B3A0000}"/>
    <cellStyle name="Eingabe 120 2" xfId="17063" xr:uid="{00000000-0005-0000-0000-00003C3A0000}"/>
    <cellStyle name="Eingabe 120_est. MEAT" xfId="23884" xr:uid="{00000000-0005-0000-0000-00003D3A0000}"/>
    <cellStyle name="Eingabe 121" xfId="7648" xr:uid="{00000000-0005-0000-0000-00003E3A0000}"/>
    <cellStyle name="Eingabe 121 2" xfId="17064" xr:uid="{00000000-0005-0000-0000-00003F3A0000}"/>
    <cellStyle name="Eingabe 121_est. MEAT" xfId="23885" xr:uid="{00000000-0005-0000-0000-0000403A0000}"/>
    <cellStyle name="Eingabe 122" xfId="7649" xr:uid="{00000000-0005-0000-0000-0000413A0000}"/>
    <cellStyle name="Eingabe 122 2" xfId="17065" xr:uid="{00000000-0005-0000-0000-0000423A0000}"/>
    <cellStyle name="Eingabe 122_est. MEAT" xfId="23886" xr:uid="{00000000-0005-0000-0000-0000433A0000}"/>
    <cellStyle name="Eingabe 123" xfId="7650" xr:uid="{00000000-0005-0000-0000-0000443A0000}"/>
    <cellStyle name="Eingabe 123 2" xfId="17066" xr:uid="{00000000-0005-0000-0000-0000453A0000}"/>
    <cellStyle name="Eingabe 123_est. MEAT" xfId="23887" xr:uid="{00000000-0005-0000-0000-0000463A0000}"/>
    <cellStyle name="Eingabe 124" xfId="7651" xr:uid="{00000000-0005-0000-0000-0000473A0000}"/>
    <cellStyle name="Eingabe 124 2" xfId="17067" xr:uid="{00000000-0005-0000-0000-0000483A0000}"/>
    <cellStyle name="Eingabe 124_est. MEAT" xfId="23888" xr:uid="{00000000-0005-0000-0000-0000493A0000}"/>
    <cellStyle name="Eingabe 125" xfId="7652" xr:uid="{00000000-0005-0000-0000-00004A3A0000}"/>
    <cellStyle name="Eingabe 125 2" xfId="17068" xr:uid="{00000000-0005-0000-0000-00004B3A0000}"/>
    <cellStyle name="Eingabe 125_est. MEAT" xfId="23889" xr:uid="{00000000-0005-0000-0000-00004C3A0000}"/>
    <cellStyle name="Eingabe 126" xfId="7653" xr:uid="{00000000-0005-0000-0000-00004D3A0000}"/>
    <cellStyle name="Eingabe 126 2" xfId="17069" xr:uid="{00000000-0005-0000-0000-00004E3A0000}"/>
    <cellStyle name="Eingabe 126_est. MEAT" xfId="23890" xr:uid="{00000000-0005-0000-0000-00004F3A0000}"/>
    <cellStyle name="Eingabe 127" xfId="7654" xr:uid="{00000000-0005-0000-0000-0000503A0000}"/>
    <cellStyle name="Eingabe 127 2" xfId="17070" xr:uid="{00000000-0005-0000-0000-0000513A0000}"/>
    <cellStyle name="Eingabe 127_est. MEAT" xfId="23891" xr:uid="{00000000-0005-0000-0000-0000523A0000}"/>
    <cellStyle name="Eingabe 128" xfId="7655" xr:uid="{00000000-0005-0000-0000-0000533A0000}"/>
    <cellStyle name="Eingabe 128 2" xfId="17071" xr:uid="{00000000-0005-0000-0000-0000543A0000}"/>
    <cellStyle name="Eingabe 128_est. MEAT" xfId="23892" xr:uid="{00000000-0005-0000-0000-0000553A0000}"/>
    <cellStyle name="Eingabe 129" xfId="7656" xr:uid="{00000000-0005-0000-0000-0000563A0000}"/>
    <cellStyle name="Eingabe 129 2" xfId="17072" xr:uid="{00000000-0005-0000-0000-0000573A0000}"/>
    <cellStyle name="Eingabe 129_est. MEAT" xfId="23893" xr:uid="{00000000-0005-0000-0000-0000583A0000}"/>
    <cellStyle name="Eingabe 13" xfId="7657" xr:uid="{00000000-0005-0000-0000-0000593A0000}"/>
    <cellStyle name="Eingabe 13 2" xfId="7658" xr:uid="{00000000-0005-0000-0000-00005A3A0000}"/>
    <cellStyle name="Eingabe 13 2 2" xfId="17074" xr:uid="{00000000-0005-0000-0000-00005B3A0000}"/>
    <cellStyle name="Eingabe 13 2_est. MEAT" xfId="23894" xr:uid="{00000000-0005-0000-0000-00005C3A0000}"/>
    <cellStyle name="Eingabe 13 3" xfId="17073" xr:uid="{00000000-0005-0000-0000-00005D3A0000}"/>
    <cellStyle name="Eingabe 13_2012-2019" xfId="12442" xr:uid="{00000000-0005-0000-0000-00005E3A0000}"/>
    <cellStyle name="Eingabe 130" xfId="7659" xr:uid="{00000000-0005-0000-0000-00005F3A0000}"/>
    <cellStyle name="Eingabe 130 2" xfId="17075" xr:uid="{00000000-0005-0000-0000-0000603A0000}"/>
    <cellStyle name="Eingabe 130_est. MEAT" xfId="23895" xr:uid="{00000000-0005-0000-0000-0000613A0000}"/>
    <cellStyle name="Eingabe 131" xfId="7660" xr:uid="{00000000-0005-0000-0000-0000623A0000}"/>
    <cellStyle name="Eingabe 131 2" xfId="17076" xr:uid="{00000000-0005-0000-0000-0000633A0000}"/>
    <cellStyle name="Eingabe 131_est. MEAT" xfId="23896" xr:uid="{00000000-0005-0000-0000-0000643A0000}"/>
    <cellStyle name="Eingabe 132" xfId="7661" xr:uid="{00000000-0005-0000-0000-0000653A0000}"/>
    <cellStyle name="Eingabe 132 2" xfId="17077" xr:uid="{00000000-0005-0000-0000-0000663A0000}"/>
    <cellStyle name="Eingabe 132_est. MEAT" xfId="23897" xr:uid="{00000000-0005-0000-0000-0000673A0000}"/>
    <cellStyle name="Eingabe 133" xfId="7662" xr:uid="{00000000-0005-0000-0000-0000683A0000}"/>
    <cellStyle name="Eingabe 133 2" xfId="17078" xr:uid="{00000000-0005-0000-0000-0000693A0000}"/>
    <cellStyle name="Eingabe 133_est. MEAT" xfId="23898" xr:uid="{00000000-0005-0000-0000-00006A3A0000}"/>
    <cellStyle name="Eingabe 134" xfId="7663" xr:uid="{00000000-0005-0000-0000-00006B3A0000}"/>
    <cellStyle name="Eingabe 134 2" xfId="17079" xr:uid="{00000000-0005-0000-0000-00006C3A0000}"/>
    <cellStyle name="Eingabe 134_est. MEAT" xfId="23899" xr:uid="{00000000-0005-0000-0000-00006D3A0000}"/>
    <cellStyle name="Eingabe 135" xfId="7664" xr:uid="{00000000-0005-0000-0000-00006E3A0000}"/>
    <cellStyle name="Eingabe 135 2" xfId="17080" xr:uid="{00000000-0005-0000-0000-00006F3A0000}"/>
    <cellStyle name="Eingabe 135_est. MEAT" xfId="23900" xr:uid="{00000000-0005-0000-0000-0000703A0000}"/>
    <cellStyle name="Eingabe 136" xfId="7665" xr:uid="{00000000-0005-0000-0000-0000713A0000}"/>
    <cellStyle name="Eingabe 136 2" xfId="17081" xr:uid="{00000000-0005-0000-0000-0000723A0000}"/>
    <cellStyle name="Eingabe 136_est. MEAT" xfId="23901" xr:uid="{00000000-0005-0000-0000-0000733A0000}"/>
    <cellStyle name="Eingabe 137" xfId="7666" xr:uid="{00000000-0005-0000-0000-0000743A0000}"/>
    <cellStyle name="Eingabe 137 2" xfId="17082" xr:uid="{00000000-0005-0000-0000-0000753A0000}"/>
    <cellStyle name="Eingabe 137_est. MEAT" xfId="23902" xr:uid="{00000000-0005-0000-0000-0000763A0000}"/>
    <cellStyle name="Eingabe 138" xfId="7667" xr:uid="{00000000-0005-0000-0000-0000773A0000}"/>
    <cellStyle name="Eingabe 138 2" xfId="17083" xr:uid="{00000000-0005-0000-0000-0000783A0000}"/>
    <cellStyle name="Eingabe 138_est. MEAT" xfId="23903" xr:uid="{00000000-0005-0000-0000-0000793A0000}"/>
    <cellStyle name="Eingabe 139" xfId="7668" xr:uid="{00000000-0005-0000-0000-00007A3A0000}"/>
    <cellStyle name="Eingabe 139 2" xfId="17084" xr:uid="{00000000-0005-0000-0000-00007B3A0000}"/>
    <cellStyle name="Eingabe 139_est. MEAT" xfId="23904" xr:uid="{00000000-0005-0000-0000-00007C3A0000}"/>
    <cellStyle name="Eingabe 14" xfId="7669" xr:uid="{00000000-0005-0000-0000-00007D3A0000}"/>
    <cellStyle name="Eingabe 14 2" xfId="7670" xr:uid="{00000000-0005-0000-0000-00007E3A0000}"/>
    <cellStyle name="Eingabe 14 2 2" xfId="17086" xr:uid="{00000000-0005-0000-0000-00007F3A0000}"/>
    <cellStyle name="Eingabe 14 2_est. MEAT" xfId="23905" xr:uid="{00000000-0005-0000-0000-0000803A0000}"/>
    <cellStyle name="Eingabe 14 3" xfId="17085" xr:uid="{00000000-0005-0000-0000-0000813A0000}"/>
    <cellStyle name="Eingabe 14_2012-2019" xfId="12443" xr:uid="{00000000-0005-0000-0000-0000823A0000}"/>
    <cellStyle name="Eingabe 140" xfId="7671" xr:uid="{00000000-0005-0000-0000-0000833A0000}"/>
    <cellStyle name="Eingabe 140 2" xfId="17087" xr:uid="{00000000-0005-0000-0000-0000843A0000}"/>
    <cellStyle name="Eingabe 140_est. MEAT" xfId="23906" xr:uid="{00000000-0005-0000-0000-0000853A0000}"/>
    <cellStyle name="Eingabe 141" xfId="7672" xr:uid="{00000000-0005-0000-0000-0000863A0000}"/>
    <cellStyle name="Eingabe 141 2" xfId="17088" xr:uid="{00000000-0005-0000-0000-0000873A0000}"/>
    <cellStyle name="Eingabe 141_est. MEAT" xfId="23907" xr:uid="{00000000-0005-0000-0000-0000883A0000}"/>
    <cellStyle name="Eingabe 142" xfId="7673" xr:uid="{00000000-0005-0000-0000-0000893A0000}"/>
    <cellStyle name="Eingabe 142 2" xfId="17089" xr:uid="{00000000-0005-0000-0000-00008A3A0000}"/>
    <cellStyle name="Eingabe 142_est. MEAT" xfId="23908" xr:uid="{00000000-0005-0000-0000-00008B3A0000}"/>
    <cellStyle name="Eingabe 143" xfId="7674" xr:uid="{00000000-0005-0000-0000-00008C3A0000}"/>
    <cellStyle name="Eingabe 143 2" xfId="17090" xr:uid="{00000000-0005-0000-0000-00008D3A0000}"/>
    <cellStyle name="Eingabe 143_est. MEAT" xfId="23909" xr:uid="{00000000-0005-0000-0000-00008E3A0000}"/>
    <cellStyle name="Eingabe 144" xfId="7675" xr:uid="{00000000-0005-0000-0000-00008F3A0000}"/>
    <cellStyle name="Eingabe 144 2" xfId="17091" xr:uid="{00000000-0005-0000-0000-0000903A0000}"/>
    <cellStyle name="Eingabe 144_est. MEAT" xfId="23910" xr:uid="{00000000-0005-0000-0000-0000913A0000}"/>
    <cellStyle name="Eingabe 145" xfId="7676" xr:uid="{00000000-0005-0000-0000-0000923A0000}"/>
    <cellStyle name="Eingabe 145 2" xfId="17092" xr:uid="{00000000-0005-0000-0000-0000933A0000}"/>
    <cellStyle name="Eingabe 145_est. MEAT" xfId="23911" xr:uid="{00000000-0005-0000-0000-0000943A0000}"/>
    <cellStyle name="Eingabe 146" xfId="7677" xr:uid="{00000000-0005-0000-0000-0000953A0000}"/>
    <cellStyle name="Eingabe 146 2" xfId="17093" xr:uid="{00000000-0005-0000-0000-0000963A0000}"/>
    <cellStyle name="Eingabe 146_est. MEAT" xfId="23912" xr:uid="{00000000-0005-0000-0000-0000973A0000}"/>
    <cellStyle name="Eingabe 147" xfId="7678" xr:uid="{00000000-0005-0000-0000-0000983A0000}"/>
    <cellStyle name="Eingabe 147 2" xfId="17094" xr:uid="{00000000-0005-0000-0000-0000993A0000}"/>
    <cellStyle name="Eingabe 147_est. MEAT" xfId="23913" xr:uid="{00000000-0005-0000-0000-00009A3A0000}"/>
    <cellStyle name="Eingabe 148" xfId="7679" xr:uid="{00000000-0005-0000-0000-00009B3A0000}"/>
    <cellStyle name="Eingabe 148 2" xfId="17095" xr:uid="{00000000-0005-0000-0000-00009C3A0000}"/>
    <cellStyle name="Eingabe 148_est. MEAT" xfId="23914" xr:uid="{00000000-0005-0000-0000-00009D3A0000}"/>
    <cellStyle name="Eingabe 149" xfId="7680" xr:uid="{00000000-0005-0000-0000-00009E3A0000}"/>
    <cellStyle name="Eingabe 149 2" xfId="17096" xr:uid="{00000000-0005-0000-0000-00009F3A0000}"/>
    <cellStyle name="Eingabe 149_est. MEAT" xfId="23915" xr:uid="{00000000-0005-0000-0000-0000A03A0000}"/>
    <cellStyle name="Eingabe 15" xfId="7681" xr:uid="{00000000-0005-0000-0000-0000A13A0000}"/>
    <cellStyle name="Eingabe 15 2" xfId="17097" xr:uid="{00000000-0005-0000-0000-0000A23A0000}"/>
    <cellStyle name="Eingabe 15_est. MEAT" xfId="23916" xr:uid="{00000000-0005-0000-0000-0000A33A0000}"/>
    <cellStyle name="Eingabe 150" xfId="7682" xr:uid="{00000000-0005-0000-0000-0000A43A0000}"/>
    <cellStyle name="Eingabe 150 2" xfId="17098" xr:uid="{00000000-0005-0000-0000-0000A53A0000}"/>
    <cellStyle name="Eingabe 150_est. MEAT" xfId="23917" xr:uid="{00000000-0005-0000-0000-0000A63A0000}"/>
    <cellStyle name="Eingabe 151" xfId="7683" xr:uid="{00000000-0005-0000-0000-0000A73A0000}"/>
    <cellStyle name="Eingabe 151 2" xfId="17099" xr:uid="{00000000-0005-0000-0000-0000A83A0000}"/>
    <cellStyle name="Eingabe 151_est. MEAT" xfId="23918" xr:uid="{00000000-0005-0000-0000-0000A93A0000}"/>
    <cellStyle name="Eingabe 152" xfId="17036" xr:uid="{00000000-0005-0000-0000-0000AA3A0000}"/>
    <cellStyle name="Eingabe 16" xfId="7684" xr:uid="{00000000-0005-0000-0000-0000AB3A0000}"/>
    <cellStyle name="Eingabe 16 2" xfId="17100" xr:uid="{00000000-0005-0000-0000-0000AC3A0000}"/>
    <cellStyle name="Eingabe 16_est. MEAT" xfId="23919" xr:uid="{00000000-0005-0000-0000-0000AD3A0000}"/>
    <cellStyle name="Eingabe 17" xfId="7685" xr:uid="{00000000-0005-0000-0000-0000AE3A0000}"/>
    <cellStyle name="Eingabe 17 2" xfId="17101" xr:uid="{00000000-0005-0000-0000-0000AF3A0000}"/>
    <cellStyle name="Eingabe 17_est. MEAT" xfId="23920" xr:uid="{00000000-0005-0000-0000-0000B03A0000}"/>
    <cellStyle name="Eingabe 18" xfId="7686" xr:uid="{00000000-0005-0000-0000-0000B13A0000}"/>
    <cellStyle name="Eingabe 18 2" xfId="17102" xr:uid="{00000000-0005-0000-0000-0000B23A0000}"/>
    <cellStyle name="Eingabe 18_est. MEAT" xfId="23921" xr:uid="{00000000-0005-0000-0000-0000B33A0000}"/>
    <cellStyle name="Eingabe 19" xfId="7687" xr:uid="{00000000-0005-0000-0000-0000B43A0000}"/>
    <cellStyle name="Eingabe 19 2" xfId="17103" xr:uid="{00000000-0005-0000-0000-0000B53A0000}"/>
    <cellStyle name="Eingabe 19_est. MEAT" xfId="23922" xr:uid="{00000000-0005-0000-0000-0000B63A0000}"/>
    <cellStyle name="Eingabe 2" xfId="7688" xr:uid="{00000000-0005-0000-0000-0000B73A0000}"/>
    <cellStyle name="Eingabe 2 2" xfId="7689" xr:uid="{00000000-0005-0000-0000-0000B83A0000}"/>
    <cellStyle name="Eingabe 2 2 2" xfId="17105" xr:uid="{00000000-0005-0000-0000-0000B93A0000}"/>
    <cellStyle name="Eingabe 2 2_est. MEAT" xfId="23923" xr:uid="{00000000-0005-0000-0000-0000BA3A0000}"/>
    <cellStyle name="Eingabe 2 3" xfId="17104" xr:uid="{00000000-0005-0000-0000-0000BB3A0000}"/>
    <cellStyle name="Eingabe 2_2012-2019" xfId="12444" xr:uid="{00000000-0005-0000-0000-0000BC3A0000}"/>
    <cellStyle name="Eingabe 20" xfId="7690" xr:uid="{00000000-0005-0000-0000-0000BD3A0000}"/>
    <cellStyle name="Eingabe 20 2" xfId="17106" xr:uid="{00000000-0005-0000-0000-0000BE3A0000}"/>
    <cellStyle name="Eingabe 20_est. MEAT" xfId="23924" xr:uid="{00000000-0005-0000-0000-0000BF3A0000}"/>
    <cellStyle name="Eingabe 21" xfId="7691" xr:uid="{00000000-0005-0000-0000-0000C03A0000}"/>
    <cellStyle name="Eingabe 21 2" xfId="17107" xr:uid="{00000000-0005-0000-0000-0000C13A0000}"/>
    <cellStyle name="Eingabe 21_est. MEAT" xfId="23925" xr:uid="{00000000-0005-0000-0000-0000C23A0000}"/>
    <cellStyle name="Eingabe 22" xfId="7692" xr:uid="{00000000-0005-0000-0000-0000C33A0000}"/>
    <cellStyle name="Eingabe 22 2" xfId="17108" xr:uid="{00000000-0005-0000-0000-0000C43A0000}"/>
    <cellStyle name="Eingabe 22_est. MEAT" xfId="23926" xr:uid="{00000000-0005-0000-0000-0000C53A0000}"/>
    <cellStyle name="Eingabe 23" xfId="7693" xr:uid="{00000000-0005-0000-0000-0000C63A0000}"/>
    <cellStyle name="Eingabe 23 2" xfId="17109" xr:uid="{00000000-0005-0000-0000-0000C73A0000}"/>
    <cellStyle name="Eingabe 23_est. MEAT" xfId="23927" xr:uid="{00000000-0005-0000-0000-0000C83A0000}"/>
    <cellStyle name="Eingabe 24" xfId="7694" xr:uid="{00000000-0005-0000-0000-0000C93A0000}"/>
    <cellStyle name="Eingabe 24 2" xfId="17110" xr:uid="{00000000-0005-0000-0000-0000CA3A0000}"/>
    <cellStyle name="Eingabe 24_est. MEAT" xfId="23928" xr:uid="{00000000-0005-0000-0000-0000CB3A0000}"/>
    <cellStyle name="Eingabe 25" xfId="7695" xr:uid="{00000000-0005-0000-0000-0000CC3A0000}"/>
    <cellStyle name="Eingabe 25 2" xfId="17111" xr:uid="{00000000-0005-0000-0000-0000CD3A0000}"/>
    <cellStyle name="Eingabe 25_est. MEAT" xfId="23929" xr:uid="{00000000-0005-0000-0000-0000CE3A0000}"/>
    <cellStyle name="Eingabe 26" xfId="7696" xr:uid="{00000000-0005-0000-0000-0000CF3A0000}"/>
    <cellStyle name="Eingabe 26 2" xfId="17112" xr:uid="{00000000-0005-0000-0000-0000D03A0000}"/>
    <cellStyle name="Eingabe 26_est. MEAT" xfId="23930" xr:uid="{00000000-0005-0000-0000-0000D13A0000}"/>
    <cellStyle name="Eingabe 27" xfId="7697" xr:uid="{00000000-0005-0000-0000-0000D23A0000}"/>
    <cellStyle name="Eingabe 27 2" xfId="17113" xr:uid="{00000000-0005-0000-0000-0000D33A0000}"/>
    <cellStyle name="Eingabe 27_est. MEAT" xfId="23931" xr:uid="{00000000-0005-0000-0000-0000D43A0000}"/>
    <cellStyle name="Eingabe 28" xfId="7698" xr:uid="{00000000-0005-0000-0000-0000D53A0000}"/>
    <cellStyle name="Eingabe 28 2" xfId="17114" xr:uid="{00000000-0005-0000-0000-0000D63A0000}"/>
    <cellStyle name="Eingabe 28_est. MEAT" xfId="23932" xr:uid="{00000000-0005-0000-0000-0000D73A0000}"/>
    <cellStyle name="Eingabe 29" xfId="7699" xr:uid="{00000000-0005-0000-0000-0000D83A0000}"/>
    <cellStyle name="Eingabe 29 2" xfId="17115" xr:uid="{00000000-0005-0000-0000-0000D93A0000}"/>
    <cellStyle name="Eingabe 29_est. MEAT" xfId="23933" xr:uid="{00000000-0005-0000-0000-0000DA3A0000}"/>
    <cellStyle name="Eingabe 3" xfId="7700" xr:uid="{00000000-0005-0000-0000-0000DB3A0000}"/>
    <cellStyle name="Eingabe 3 2" xfId="7701" xr:uid="{00000000-0005-0000-0000-0000DC3A0000}"/>
    <cellStyle name="Eingabe 3 2 2" xfId="17117" xr:uid="{00000000-0005-0000-0000-0000DD3A0000}"/>
    <cellStyle name="Eingabe 3 2_est. MEAT" xfId="23934" xr:uid="{00000000-0005-0000-0000-0000DE3A0000}"/>
    <cellStyle name="Eingabe 3 3" xfId="17116" xr:uid="{00000000-0005-0000-0000-0000DF3A0000}"/>
    <cellStyle name="Eingabe 3_2012-2019" xfId="12445" xr:uid="{00000000-0005-0000-0000-0000E03A0000}"/>
    <cellStyle name="Eingabe 30" xfId="7702" xr:uid="{00000000-0005-0000-0000-0000E13A0000}"/>
    <cellStyle name="Eingabe 30 2" xfId="17118" xr:uid="{00000000-0005-0000-0000-0000E23A0000}"/>
    <cellStyle name="Eingabe 30_est. MEAT" xfId="23935" xr:uid="{00000000-0005-0000-0000-0000E33A0000}"/>
    <cellStyle name="Eingabe 31" xfId="7703" xr:uid="{00000000-0005-0000-0000-0000E43A0000}"/>
    <cellStyle name="Eingabe 31 2" xfId="17119" xr:uid="{00000000-0005-0000-0000-0000E53A0000}"/>
    <cellStyle name="Eingabe 31_est. MEAT" xfId="23936" xr:uid="{00000000-0005-0000-0000-0000E63A0000}"/>
    <cellStyle name="Eingabe 32" xfId="7704" xr:uid="{00000000-0005-0000-0000-0000E73A0000}"/>
    <cellStyle name="Eingabe 32 2" xfId="17120" xr:uid="{00000000-0005-0000-0000-0000E83A0000}"/>
    <cellStyle name="Eingabe 32_est. MEAT" xfId="23937" xr:uid="{00000000-0005-0000-0000-0000E93A0000}"/>
    <cellStyle name="Eingabe 33" xfId="7705" xr:uid="{00000000-0005-0000-0000-0000EA3A0000}"/>
    <cellStyle name="Eingabe 33 2" xfId="17121" xr:uid="{00000000-0005-0000-0000-0000EB3A0000}"/>
    <cellStyle name="Eingabe 33_est. MEAT" xfId="23938" xr:uid="{00000000-0005-0000-0000-0000EC3A0000}"/>
    <cellStyle name="Eingabe 34" xfId="7706" xr:uid="{00000000-0005-0000-0000-0000ED3A0000}"/>
    <cellStyle name="Eingabe 34 2" xfId="17122" xr:uid="{00000000-0005-0000-0000-0000EE3A0000}"/>
    <cellStyle name="Eingabe 34_est. MEAT" xfId="23939" xr:uid="{00000000-0005-0000-0000-0000EF3A0000}"/>
    <cellStyle name="Eingabe 35" xfId="7707" xr:uid="{00000000-0005-0000-0000-0000F03A0000}"/>
    <cellStyle name="Eingabe 35 2" xfId="17123" xr:uid="{00000000-0005-0000-0000-0000F13A0000}"/>
    <cellStyle name="Eingabe 35_est. MEAT" xfId="23940" xr:uid="{00000000-0005-0000-0000-0000F23A0000}"/>
    <cellStyle name="Eingabe 36" xfId="7708" xr:uid="{00000000-0005-0000-0000-0000F33A0000}"/>
    <cellStyle name="Eingabe 36 2" xfId="17124" xr:uid="{00000000-0005-0000-0000-0000F43A0000}"/>
    <cellStyle name="Eingabe 36_est. MEAT" xfId="23941" xr:uid="{00000000-0005-0000-0000-0000F53A0000}"/>
    <cellStyle name="Eingabe 37" xfId="7709" xr:uid="{00000000-0005-0000-0000-0000F63A0000}"/>
    <cellStyle name="Eingabe 37 2" xfId="17125" xr:uid="{00000000-0005-0000-0000-0000F73A0000}"/>
    <cellStyle name="Eingabe 37_est. MEAT" xfId="23942" xr:uid="{00000000-0005-0000-0000-0000F83A0000}"/>
    <cellStyle name="Eingabe 38" xfId="7710" xr:uid="{00000000-0005-0000-0000-0000F93A0000}"/>
    <cellStyle name="Eingabe 38 2" xfId="17126" xr:uid="{00000000-0005-0000-0000-0000FA3A0000}"/>
    <cellStyle name="Eingabe 38_est. MEAT" xfId="23943" xr:uid="{00000000-0005-0000-0000-0000FB3A0000}"/>
    <cellStyle name="Eingabe 39" xfId="7711" xr:uid="{00000000-0005-0000-0000-0000FC3A0000}"/>
    <cellStyle name="Eingabe 39 2" xfId="17127" xr:uid="{00000000-0005-0000-0000-0000FD3A0000}"/>
    <cellStyle name="Eingabe 39_est. MEAT" xfId="23944" xr:uid="{00000000-0005-0000-0000-0000FE3A0000}"/>
    <cellStyle name="Eingabe 4" xfId="7712" xr:uid="{00000000-0005-0000-0000-0000FF3A0000}"/>
    <cellStyle name="Eingabe 4 2" xfId="7713" xr:uid="{00000000-0005-0000-0000-0000003B0000}"/>
    <cellStyle name="Eingabe 4 2 2" xfId="17129" xr:uid="{00000000-0005-0000-0000-0000013B0000}"/>
    <cellStyle name="Eingabe 4 2_est. MEAT" xfId="23945" xr:uid="{00000000-0005-0000-0000-0000023B0000}"/>
    <cellStyle name="Eingabe 4 3" xfId="17128" xr:uid="{00000000-0005-0000-0000-0000033B0000}"/>
    <cellStyle name="Eingabe 4_2012-2019" xfId="12446" xr:uid="{00000000-0005-0000-0000-0000043B0000}"/>
    <cellStyle name="Eingabe 40" xfId="7714" xr:uid="{00000000-0005-0000-0000-0000053B0000}"/>
    <cellStyle name="Eingabe 40 2" xfId="17130" xr:uid="{00000000-0005-0000-0000-0000063B0000}"/>
    <cellStyle name="Eingabe 40_est. MEAT" xfId="23946" xr:uid="{00000000-0005-0000-0000-0000073B0000}"/>
    <cellStyle name="Eingabe 41" xfId="7715" xr:uid="{00000000-0005-0000-0000-0000083B0000}"/>
    <cellStyle name="Eingabe 41 2" xfId="17131" xr:uid="{00000000-0005-0000-0000-0000093B0000}"/>
    <cellStyle name="Eingabe 41_est. MEAT" xfId="23947" xr:uid="{00000000-0005-0000-0000-00000A3B0000}"/>
    <cellStyle name="Eingabe 42" xfId="7716" xr:uid="{00000000-0005-0000-0000-00000B3B0000}"/>
    <cellStyle name="Eingabe 42 2" xfId="17132" xr:uid="{00000000-0005-0000-0000-00000C3B0000}"/>
    <cellStyle name="Eingabe 42_est. MEAT" xfId="23948" xr:uid="{00000000-0005-0000-0000-00000D3B0000}"/>
    <cellStyle name="Eingabe 43" xfId="7717" xr:uid="{00000000-0005-0000-0000-00000E3B0000}"/>
    <cellStyle name="Eingabe 43 2" xfId="17133" xr:uid="{00000000-0005-0000-0000-00000F3B0000}"/>
    <cellStyle name="Eingabe 43_est. MEAT" xfId="23949" xr:uid="{00000000-0005-0000-0000-0000103B0000}"/>
    <cellStyle name="Eingabe 44" xfId="7718" xr:uid="{00000000-0005-0000-0000-0000113B0000}"/>
    <cellStyle name="Eingabe 44 2" xfId="17134" xr:uid="{00000000-0005-0000-0000-0000123B0000}"/>
    <cellStyle name="Eingabe 44_est. MEAT" xfId="23950" xr:uid="{00000000-0005-0000-0000-0000133B0000}"/>
    <cellStyle name="Eingabe 45" xfId="7719" xr:uid="{00000000-0005-0000-0000-0000143B0000}"/>
    <cellStyle name="Eingabe 45 2" xfId="17135" xr:uid="{00000000-0005-0000-0000-0000153B0000}"/>
    <cellStyle name="Eingabe 45_est. MEAT" xfId="23951" xr:uid="{00000000-0005-0000-0000-0000163B0000}"/>
    <cellStyle name="Eingabe 46" xfId="7720" xr:uid="{00000000-0005-0000-0000-0000173B0000}"/>
    <cellStyle name="Eingabe 46 2" xfId="17136" xr:uid="{00000000-0005-0000-0000-0000183B0000}"/>
    <cellStyle name="Eingabe 46_est. MEAT" xfId="23952" xr:uid="{00000000-0005-0000-0000-0000193B0000}"/>
    <cellStyle name="Eingabe 47" xfId="7721" xr:uid="{00000000-0005-0000-0000-00001A3B0000}"/>
    <cellStyle name="Eingabe 47 2" xfId="17137" xr:uid="{00000000-0005-0000-0000-00001B3B0000}"/>
    <cellStyle name="Eingabe 47_est. MEAT" xfId="23953" xr:uid="{00000000-0005-0000-0000-00001C3B0000}"/>
    <cellStyle name="Eingabe 48" xfId="7722" xr:uid="{00000000-0005-0000-0000-00001D3B0000}"/>
    <cellStyle name="Eingabe 48 2" xfId="17138" xr:uid="{00000000-0005-0000-0000-00001E3B0000}"/>
    <cellStyle name="Eingabe 48_est. MEAT" xfId="23954" xr:uid="{00000000-0005-0000-0000-00001F3B0000}"/>
    <cellStyle name="Eingabe 49" xfId="7723" xr:uid="{00000000-0005-0000-0000-0000203B0000}"/>
    <cellStyle name="Eingabe 49 2" xfId="17139" xr:uid="{00000000-0005-0000-0000-0000213B0000}"/>
    <cellStyle name="Eingabe 49_est. MEAT" xfId="23955" xr:uid="{00000000-0005-0000-0000-0000223B0000}"/>
    <cellStyle name="Eingabe 5" xfId="7724" xr:uid="{00000000-0005-0000-0000-0000233B0000}"/>
    <cellStyle name="Eingabe 5 2" xfId="7725" xr:uid="{00000000-0005-0000-0000-0000243B0000}"/>
    <cellStyle name="Eingabe 5 2 2" xfId="17141" xr:uid="{00000000-0005-0000-0000-0000253B0000}"/>
    <cellStyle name="Eingabe 5 2_est. MEAT" xfId="23956" xr:uid="{00000000-0005-0000-0000-0000263B0000}"/>
    <cellStyle name="Eingabe 5 3" xfId="17140" xr:uid="{00000000-0005-0000-0000-0000273B0000}"/>
    <cellStyle name="Eingabe 5_2012-2019" xfId="12447" xr:uid="{00000000-0005-0000-0000-0000283B0000}"/>
    <cellStyle name="Eingabe 50" xfId="7726" xr:uid="{00000000-0005-0000-0000-0000293B0000}"/>
    <cellStyle name="Eingabe 50 2" xfId="17142" xr:uid="{00000000-0005-0000-0000-00002A3B0000}"/>
    <cellStyle name="Eingabe 50_est. MEAT" xfId="23957" xr:uid="{00000000-0005-0000-0000-00002B3B0000}"/>
    <cellStyle name="Eingabe 51" xfId="7727" xr:uid="{00000000-0005-0000-0000-00002C3B0000}"/>
    <cellStyle name="Eingabe 51 2" xfId="17143" xr:uid="{00000000-0005-0000-0000-00002D3B0000}"/>
    <cellStyle name="Eingabe 51_est. MEAT" xfId="23958" xr:uid="{00000000-0005-0000-0000-00002E3B0000}"/>
    <cellStyle name="Eingabe 52" xfId="7728" xr:uid="{00000000-0005-0000-0000-00002F3B0000}"/>
    <cellStyle name="Eingabe 52 2" xfId="17144" xr:uid="{00000000-0005-0000-0000-0000303B0000}"/>
    <cellStyle name="Eingabe 52_est. MEAT" xfId="23959" xr:uid="{00000000-0005-0000-0000-0000313B0000}"/>
    <cellStyle name="Eingabe 53" xfId="7729" xr:uid="{00000000-0005-0000-0000-0000323B0000}"/>
    <cellStyle name="Eingabe 53 2" xfId="17145" xr:uid="{00000000-0005-0000-0000-0000333B0000}"/>
    <cellStyle name="Eingabe 53_est. MEAT" xfId="23960" xr:uid="{00000000-0005-0000-0000-0000343B0000}"/>
    <cellStyle name="Eingabe 54" xfId="7730" xr:uid="{00000000-0005-0000-0000-0000353B0000}"/>
    <cellStyle name="Eingabe 54 2" xfId="17146" xr:uid="{00000000-0005-0000-0000-0000363B0000}"/>
    <cellStyle name="Eingabe 54_est. MEAT" xfId="23961" xr:uid="{00000000-0005-0000-0000-0000373B0000}"/>
    <cellStyle name="Eingabe 55" xfId="7731" xr:uid="{00000000-0005-0000-0000-0000383B0000}"/>
    <cellStyle name="Eingabe 55 2" xfId="17147" xr:uid="{00000000-0005-0000-0000-0000393B0000}"/>
    <cellStyle name="Eingabe 55_est. MEAT" xfId="23962" xr:uid="{00000000-0005-0000-0000-00003A3B0000}"/>
    <cellStyle name="Eingabe 56" xfId="7732" xr:uid="{00000000-0005-0000-0000-00003B3B0000}"/>
    <cellStyle name="Eingabe 56 2" xfId="17148" xr:uid="{00000000-0005-0000-0000-00003C3B0000}"/>
    <cellStyle name="Eingabe 56_est. MEAT" xfId="23963" xr:uid="{00000000-0005-0000-0000-00003D3B0000}"/>
    <cellStyle name="Eingabe 57" xfId="7733" xr:uid="{00000000-0005-0000-0000-00003E3B0000}"/>
    <cellStyle name="Eingabe 57 2" xfId="17149" xr:uid="{00000000-0005-0000-0000-00003F3B0000}"/>
    <cellStyle name="Eingabe 57_est. MEAT" xfId="23964" xr:uid="{00000000-0005-0000-0000-0000403B0000}"/>
    <cellStyle name="Eingabe 58" xfId="7734" xr:uid="{00000000-0005-0000-0000-0000413B0000}"/>
    <cellStyle name="Eingabe 58 2" xfId="17150" xr:uid="{00000000-0005-0000-0000-0000423B0000}"/>
    <cellStyle name="Eingabe 58_est. MEAT" xfId="23965" xr:uid="{00000000-0005-0000-0000-0000433B0000}"/>
    <cellStyle name="Eingabe 59" xfId="7735" xr:uid="{00000000-0005-0000-0000-0000443B0000}"/>
    <cellStyle name="Eingabe 59 2" xfId="17151" xr:uid="{00000000-0005-0000-0000-0000453B0000}"/>
    <cellStyle name="Eingabe 59_est. MEAT" xfId="23966" xr:uid="{00000000-0005-0000-0000-0000463B0000}"/>
    <cellStyle name="Eingabe 6" xfId="7736" xr:uid="{00000000-0005-0000-0000-0000473B0000}"/>
    <cellStyle name="Eingabe 6 2" xfId="7737" xr:uid="{00000000-0005-0000-0000-0000483B0000}"/>
    <cellStyle name="Eingabe 6 2 2" xfId="17153" xr:uid="{00000000-0005-0000-0000-0000493B0000}"/>
    <cellStyle name="Eingabe 6 2_est. MEAT" xfId="23967" xr:uid="{00000000-0005-0000-0000-00004A3B0000}"/>
    <cellStyle name="Eingabe 6 3" xfId="17152" xr:uid="{00000000-0005-0000-0000-00004B3B0000}"/>
    <cellStyle name="Eingabe 6_2012-2019" xfId="12448" xr:uid="{00000000-0005-0000-0000-00004C3B0000}"/>
    <cellStyle name="Eingabe 60" xfId="7738" xr:uid="{00000000-0005-0000-0000-00004D3B0000}"/>
    <cellStyle name="Eingabe 60 2" xfId="17154" xr:uid="{00000000-0005-0000-0000-00004E3B0000}"/>
    <cellStyle name="Eingabe 60_est. MEAT" xfId="23968" xr:uid="{00000000-0005-0000-0000-00004F3B0000}"/>
    <cellStyle name="Eingabe 61" xfId="7739" xr:uid="{00000000-0005-0000-0000-0000503B0000}"/>
    <cellStyle name="Eingabe 61 2" xfId="17155" xr:uid="{00000000-0005-0000-0000-0000513B0000}"/>
    <cellStyle name="Eingabe 61_est. MEAT" xfId="23969" xr:uid="{00000000-0005-0000-0000-0000523B0000}"/>
    <cellStyle name="Eingabe 62" xfId="7740" xr:uid="{00000000-0005-0000-0000-0000533B0000}"/>
    <cellStyle name="Eingabe 62 2" xfId="17156" xr:uid="{00000000-0005-0000-0000-0000543B0000}"/>
    <cellStyle name="Eingabe 62_est. MEAT" xfId="23970" xr:uid="{00000000-0005-0000-0000-0000553B0000}"/>
    <cellStyle name="Eingabe 63" xfId="7741" xr:uid="{00000000-0005-0000-0000-0000563B0000}"/>
    <cellStyle name="Eingabe 63 2" xfId="17157" xr:uid="{00000000-0005-0000-0000-0000573B0000}"/>
    <cellStyle name="Eingabe 63_est. MEAT" xfId="23971" xr:uid="{00000000-0005-0000-0000-0000583B0000}"/>
    <cellStyle name="Eingabe 64" xfId="7742" xr:uid="{00000000-0005-0000-0000-0000593B0000}"/>
    <cellStyle name="Eingabe 64 2" xfId="17158" xr:uid="{00000000-0005-0000-0000-00005A3B0000}"/>
    <cellStyle name="Eingabe 64_est. MEAT" xfId="23972" xr:uid="{00000000-0005-0000-0000-00005B3B0000}"/>
    <cellStyle name="Eingabe 65" xfId="7743" xr:uid="{00000000-0005-0000-0000-00005C3B0000}"/>
    <cellStyle name="Eingabe 65 2" xfId="17159" xr:uid="{00000000-0005-0000-0000-00005D3B0000}"/>
    <cellStyle name="Eingabe 65_est. MEAT" xfId="23973" xr:uid="{00000000-0005-0000-0000-00005E3B0000}"/>
    <cellStyle name="Eingabe 66" xfId="7744" xr:uid="{00000000-0005-0000-0000-00005F3B0000}"/>
    <cellStyle name="Eingabe 66 2" xfId="17160" xr:uid="{00000000-0005-0000-0000-0000603B0000}"/>
    <cellStyle name="Eingabe 66_est. MEAT" xfId="23974" xr:uid="{00000000-0005-0000-0000-0000613B0000}"/>
    <cellStyle name="Eingabe 67" xfId="7745" xr:uid="{00000000-0005-0000-0000-0000623B0000}"/>
    <cellStyle name="Eingabe 67 2" xfId="17161" xr:uid="{00000000-0005-0000-0000-0000633B0000}"/>
    <cellStyle name="Eingabe 67_est. MEAT" xfId="23975" xr:uid="{00000000-0005-0000-0000-0000643B0000}"/>
    <cellStyle name="Eingabe 68" xfId="7746" xr:uid="{00000000-0005-0000-0000-0000653B0000}"/>
    <cellStyle name="Eingabe 68 2" xfId="17162" xr:uid="{00000000-0005-0000-0000-0000663B0000}"/>
    <cellStyle name="Eingabe 68_est. MEAT" xfId="23976" xr:uid="{00000000-0005-0000-0000-0000673B0000}"/>
    <cellStyle name="Eingabe 69" xfId="7747" xr:uid="{00000000-0005-0000-0000-0000683B0000}"/>
    <cellStyle name="Eingabe 69 2" xfId="17163" xr:uid="{00000000-0005-0000-0000-0000693B0000}"/>
    <cellStyle name="Eingabe 69_est. MEAT" xfId="23977" xr:uid="{00000000-0005-0000-0000-00006A3B0000}"/>
    <cellStyle name="Eingabe 7" xfId="7748" xr:uid="{00000000-0005-0000-0000-00006B3B0000}"/>
    <cellStyle name="Eingabe 7 2" xfId="7749" xr:uid="{00000000-0005-0000-0000-00006C3B0000}"/>
    <cellStyle name="Eingabe 7 2 2" xfId="17165" xr:uid="{00000000-0005-0000-0000-00006D3B0000}"/>
    <cellStyle name="Eingabe 7 2_est. MEAT" xfId="23978" xr:uid="{00000000-0005-0000-0000-00006E3B0000}"/>
    <cellStyle name="Eingabe 7 3" xfId="17164" xr:uid="{00000000-0005-0000-0000-00006F3B0000}"/>
    <cellStyle name="Eingabe 7_2012-2019" xfId="12449" xr:uid="{00000000-0005-0000-0000-0000703B0000}"/>
    <cellStyle name="Eingabe 70" xfId="7750" xr:uid="{00000000-0005-0000-0000-0000713B0000}"/>
    <cellStyle name="Eingabe 70 2" xfId="17166" xr:uid="{00000000-0005-0000-0000-0000723B0000}"/>
    <cellStyle name="Eingabe 70_est. MEAT" xfId="23979" xr:uid="{00000000-0005-0000-0000-0000733B0000}"/>
    <cellStyle name="Eingabe 71" xfId="7751" xr:uid="{00000000-0005-0000-0000-0000743B0000}"/>
    <cellStyle name="Eingabe 71 2" xfId="17167" xr:uid="{00000000-0005-0000-0000-0000753B0000}"/>
    <cellStyle name="Eingabe 71_est. MEAT" xfId="23980" xr:uid="{00000000-0005-0000-0000-0000763B0000}"/>
    <cellStyle name="Eingabe 72" xfId="7752" xr:uid="{00000000-0005-0000-0000-0000773B0000}"/>
    <cellStyle name="Eingabe 72 2" xfId="17168" xr:uid="{00000000-0005-0000-0000-0000783B0000}"/>
    <cellStyle name="Eingabe 72_est. MEAT" xfId="23981" xr:uid="{00000000-0005-0000-0000-0000793B0000}"/>
    <cellStyle name="Eingabe 73" xfId="7753" xr:uid="{00000000-0005-0000-0000-00007A3B0000}"/>
    <cellStyle name="Eingabe 73 2" xfId="17169" xr:uid="{00000000-0005-0000-0000-00007B3B0000}"/>
    <cellStyle name="Eingabe 73_est. MEAT" xfId="23982" xr:uid="{00000000-0005-0000-0000-00007C3B0000}"/>
    <cellStyle name="Eingabe 74" xfId="7754" xr:uid="{00000000-0005-0000-0000-00007D3B0000}"/>
    <cellStyle name="Eingabe 74 2" xfId="17170" xr:uid="{00000000-0005-0000-0000-00007E3B0000}"/>
    <cellStyle name="Eingabe 74_est. MEAT" xfId="23983" xr:uid="{00000000-0005-0000-0000-00007F3B0000}"/>
    <cellStyle name="Eingabe 75" xfId="7755" xr:uid="{00000000-0005-0000-0000-0000803B0000}"/>
    <cellStyle name="Eingabe 75 2" xfId="17171" xr:uid="{00000000-0005-0000-0000-0000813B0000}"/>
    <cellStyle name="Eingabe 75_est. MEAT" xfId="23984" xr:uid="{00000000-0005-0000-0000-0000823B0000}"/>
    <cellStyle name="Eingabe 76" xfId="7756" xr:uid="{00000000-0005-0000-0000-0000833B0000}"/>
    <cellStyle name="Eingabe 76 2" xfId="17172" xr:uid="{00000000-0005-0000-0000-0000843B0000}"/>
    <cellStyle name="Eingabe 76_est. MEAT" xfId="23985" xr:uid="{00000000-0005-0000-0000-0000853B0000}"/>
    <cellStyle name="Eingabe 77" xfId="7757" xr:uid="{00000000-0005-0000-0000-0000863B0000}"/>
    <cellStyle name="Eingabe 77 2" xfId="17173" xr:uid="{00000000-0005-0000-0000-0000873B0000}"/>
    <cellStyle name="Eingabe 77_est. MEAT" xfId="23986" xr:uid="{00000000-0005-0000-0000-0000883B0000}"/>
    <cellStyle name="Eingabe 78" xfId="7758" xr:uid="{00000000-0005-0000-0000-0000893B0000}"/>
    <cellStyle name="Eingabe 78 2" xfId="17174" xr:uid="{00000000-0005-0000-0000-00008A3B0000}"/>
    <cellStyle name="Eingabe 78_est. MEAT" xfId="23987" xr:uid="{00000000-0005-0000-0000-00008B3B0000}"/>
    <cellStyle name="Eingabe 79" xfId="7759" xr:uid="{00000000-0005-0000-0000-00008C3B0000}"/>
    <cellStyle name="Eingabe 79 2" xfId="17175" xr:uid="{00000000-0005-0000-0000-00008D3B0000}"/>
    <cellStyle name="Eingabe 79_est. MEAT" xfId="23988" xr:uid="{00000000-0005-0000-0000-00008E3B0000}"/>
    <cellStyle name="Eingabe 8" xfId="7760" xr:uid="{00000000-0005-0000-0000-00008F3B0000}"/>
    <cellStyle name="Eingabe 8 2" xfId="7761" xr:uid="{00000000-0005-0000-0000-0000903B0000}"/>
    <cellStyle name="Eingabe 8 2 2" xfId="17177" xr:uid="{00000000-0005-0000-0000-0000913B0000}"/>
    <cellStyle name="Eingabe 8 2_est. MEAT" xfId="23989" xr:uid="{00000000-0005-0000-0000-0000923B0000}"/>
    <cellStyle name="Eingabe 8 3" xfId="17176" xr:uid="{00000000-0005-0000-0000-0000933B0000}"/>
    <cellStyle name="Eingabe 8_2012-2019" xfId="12450" xr:uid="{00000000-0005-0000-0000-0000943B0000}"/>
    <cellStyle name="Eingabe 80" xfId="7762" xr:uid="{00000000-0005-0000-0000-0000953B0000}"/>
    <cellStyle name="Eingabe 80 2" xfId="17178" xr:uid="{00000000-0005-0000-0000-0000963B0000}"/>
    <cellStyle name="Eingabe 80_est. MEAT" xfId="23990" xr:uid="{00000000-0005-0000-0000-0000973B0000}"/>
    <cellStyle name="Eingabe 81" xfId="7763" xr:uid="{00000000-0005-0000-0000-0000983B0000}"/>
    <cellStyle name="Eingabe 81 2" xfId="17179" xr:uid="{00000000-0005-0000-0000-0000993B0000}"/>
    <cellStyle name="Eingabe 81_est. MEAT" xfId="23991" xr:uid="{00000000-0005-0000-0000-00009A3B0000}"/>
    <cellStyle name="Eingabe 82" xfId="7764" xr:uid="{00000000-0005-0000-0000-00009B3B0000}"/>
    <cellStyle name="Eingabe 82 2" xfId="17180" xr:uid="{00000000-0005-0000-0000-00009C3B0000}"/>
    <cellStyle name="Eingabe 82_est. MEAT" xfId="23992" xr:uid="{00000000-0005-0000-0000-00009D3B0000}"/>
    <cellStyle name="Eingabe 83" xfId="7765" xr:uid="{00000000-0005-0000-0000-00009E3B0000}"/>
    <cellStyle name="Eingabe 83 2" xfId="17181" xr:uid="{00000000-0005-0000-0000-00009F3B0000}"/>
    <cellStyle name="Eingabe 83_est. MEAT" xfId="23993" xr:uid="{00000000-0005-0000-0000-0000A03B0000}"/>
    <cellStyle name="Eingabe 84" xfId="7766" xr:uid="{00000000-0005-0000-0000-0000A13B0000}"/>
    <cellStyle name="Eingabe 84 2" xfId="17182" xr:uid="{00000000-0005-0000-0000-0000A23B0000}"/>
    <cellStyle name="Eingabe 84_est. MEAT" xfId="23994" xr:uid="{00000000-0005-0000-0000-0000A33B0000}"/>
    <cellStyle name="Eingabe 85" xfId="7767" xr:uid="{00000000-0005-0000-0000-0000A43B0000}"/>
    <cellStyle name="Eingabe 85 2" xfId="17183" xr:uid="{00000000-0005-0000-0000-0000A53B0000}"/>
    <cellStyle name="Eingabe 85_est. MEAT" xfId="23995" xr:uid="{00000000-0005-0000-0000-0000A63B0000}"/>
    <cellStyle name="Eingabe 86" xfId="7768" xr:uid="{00000000-0005-0000-0000-0000A73B0000}"/>
    <cellStyle name="Eingabe 86 2" xfId="17184" xr:uid="{00000000-0005-0000-0000-0000A83B0000}"/>
    <cellStyle name="Eingabe 86_est. MEAT" xfId="23996" xr:uid="{00000000-0005-0000-0000-0000A93B0000}"/>
    <cellStyle name="Eingabe 87" xfId="7769" xr:uid="{00000000-0005-0000-0000-0000AA3B0000}"/>
    <cellStyle name="Eingabe 87 2" xfId="17185" xr:uid="{00000000-0005-0000-0000-0000AB3B0000}"/>
    <cellStyle name="Eingabe 87_est. MEAT" xfId="23997" xr:uid="{00000000-0005-0000-0000-0000AC3B0000}"/>
    <cellStyle name="Eingabe 88" xfId="7770" xr:uid="{00000000-0005-0000-0000-0000AD3B0000}"/>
    <cellStyle name="Eingabe 88 2" xfId="17186" xr:uid="{00000000-0005-0000-0000-0000AE3B0000}"/>
    <cellStyle name="Eingabe 88_est. MEAT" xfId="23998" xr:uid="{00000000-0005-0000-0000-0000AF3B0000}"/>
    <cellStyle name="Eingabe 89" xfId="7771" xr:uid="{00000000-0005-0000-0000-0000B03B0000}"/>
    <cellStyle name="Eingabe 89 2" xfId="17187" xr:uid="{00000000-0005-0000-0000-0000B13B0000}"/>
    <cellStyle name="Eingabe 89_est. MEAT" xfId="23999" xr:uid="{00000000-0005-0000-0000-0000B23B0000}"/>
    <cellStyle name="Eingabe 9" xfId="7772" xr:uid="{00000000-0005-0000-0000-0000B33B0000}"/>
    <cellStyle name="Eingabe 9 2" xfId="7773" xr:uid="{00000000-0005-0000-0000-0000B43B0000}"/>
    <cellStyle name="Eingabe 9 2 2" xfId="17189" xr:uid="{00000000-0005-0000-0000-0000B53B0000}"/>
    <cellStyle name="Eingabe 9 2_est. MEAT" xfId="24000" xr:uid="{00000000-0005-0000-0000-0000B63B0000}"/>
    <cellStyle name="Eingabe 9 3" xfId="17188" xr:uid="{00000000-0005-0000-0000-0000B73B0000}"/>
    <cellStyle name="Eingabe 9_2012-2019" xfId="12451" xr:uid="{00000000-0005-0000-0000-0000B83B0000}"/>
    <cellStyle name="Eingabe 90" xfId="7774" xr:uid="{00000000-0005-0000-0000-0000B93B0000}"/>
    <cellStyle name="Eingabe 90 2" xfId="17190" xr:uid="{00000000-0005-0000-0000-0000BA3B0000}"/>
    <cellStyle name="Eingabe 90_est. MEAT" xfId="24001" xr:uid="{00000000-0005-0000-0000-0000BB3B0000}"/>
    <cellStyle name="Eingabe 91" xfId="7775" xr:uid="{00000000-0005-0000-0000-0000BC3B0000}"/>
    <cellStyle name="Eingabe 91 2" xfId="17191" xr:uid="{00000000-0005-0000-0000-0000BD3B0000}"/>
    <cellStyle name="Eingabe 91_est. MEAT" xfId="24002" xr:uid="{00000000-0005-0000-0000-0000BE3B0000}"/>
    <cellStyle name="Eingabe 92" xfId="7776" xr:uid="{00000000-0005-0000-0000-0000BF3B0000}"/>
    <cellStyle name="Eingabe 92 2" xfId="17192" xr:uid="{00000000-0005-0000-0000-0000C03B0000}"/>
    <cellStyle name="Eingabe 92_est. MEAT" xfId="24003" xr:uid="{00000000-0005-0000-0000-0000C13B0000}"/>
    <cellStyle name="Eingabe 93" xfId="7777" xr:uid="{00000000-0005-0000-0000-0000C23B0000}"/>
    <cellStyle name="Eingabe 93 2" xfId="17193" xr:uid="{00000000-0005-0000-0000-0000C33B0000}"/>
    <cellStyle name="Eingabe 93_est. MEAT" xfId="24004" xr:uid="{00000000-0005-0000-0000-0000C43B0000}"/>
    <cellStyle name="Eingabe 94" xfId="7778" xr:uid="{00000000-0005-0000-0000-0000C53B0000}"/>
    <cellStyle name="Eingabe 94 2" xfId="17194" xr:uid="{00000000-0005-0000-0000-0000C63B0000}"/>
    <cellStyle name="Eingabe 94_est. MEAT" xfId="24005" xr:uid="{00000000-0005-0000-0000-0000C73B0000}"/>
    <cellStyle name="Eingabe 95" xfId="7779" xr:uid="{00000000-0005-0000-0000-0000C83B0000}"/>
    <cellStyle name="Eingabe 95 2" xfId="17195" xr:uid="{00000000-0005-0000-0000-0000C93B0000}"/>
    <cellStyle name="Eingabe 95_est. MEAT" xfId="24006" xr:uid="{00000000-0005-0000-0000-0000CA3B0000}"/>
    <cellStyle name="Eingabe 96" xfId="7780" xr:uid="{00000000-0005-0000-0000-0000CB3B0000}"/>
    <cellStyle name="Eingabe 96 2" xfId="17196" xr:uid="{00000000-0005-0000-0000-0000CC3B0000}"/>
    <cellStyle name="Eingabe 96_est. MEAT" xfId="24007" xr:uid="{00000000-0005-0000-0000-0000CD3B0000}"/>
    <cellStyle name="Eingabe 97" xfId="7781" xr:uid="{00000000-0005-0000-0000-0000CE3B0000}"/>
    <cellStyle name="Eingabe 97 2" xfId="17197" xr:uid="{00000000-0005-0000-0000-0000CF3B0000}"/>
    <cellStyle name="Eingabe 97_est. MEAT" xfId="24008" xr:uid="{00000000-0005-0000-0000-0000D03B0000}"/>
    <cellStyle name="Eingabe 98" xfId="7782" xr:uid="{00000000-0005-0000-0000-0000D13B0000}"/>
    <cellStyle name="Eingabe 98 2" xfId="17198" xr:uid="{00000000-0005-0000-0000-0000D23B0000}"/>
    <cellStyle name="Eingabe 98_est. MEAT" xfId="24009" xr:uid="{00000000-0005-0000-0000-0000D33B0000}"/>
    <cellStyle name="Eingabe 99" xfId="7783" xr:uid="{00000000-0005-0000-0000-0000D43B0000}"/>
    <cellStyle name="Eingabe 99 2" xfId="17199" xr:uid="{00000000-0005-0000-0000-0000D53B0000}"/>
    <cellStyle name="Eingabe 99_est. MEAT" xfId="24010" xr:uid="{00000000-0005-0000-0000-0000D63B0000}"/>
    <cellStyle name="Eingabe_2012-2019" xfId="12438" xr:uid="{00000000-0005-0000-0000-0000D73B0000}"/>
    <cellStyle name="Ergebnis" xfId="7784" xr:uid="{00000000-0005-0000-0000-0000D83B0000}"/>
    <cellStyle name="Ergebnis 10" xfId="7785" xr:uid="{00000000-0005-0000-0000-0000D93B0000}"/>
    <cellStyle name="Ergebnis 10 2" xfId="7786" xr:uid="{00000000-0005-0000-0000-0000DA3B0000}"/>
    <cellStyle name="Ergebnis 10 2 2" xfId="17202" xr:uid="{00000000-0005-0000-0000-0000DB3B0000}"/>
    <cellStyle name="Ergebnis 10 2_est. MEAT" xfId="24011" xr:uid="{00000000-0005-0000-0000-0000DC3B0000}"/>
    <cellStyle name="Ergebnis 10 3" xfId="17201" xr:uid="{00000000-0005-0000-0000-0000DD3B0000}"/>
    <cellStyle name="Ergebnis 10_2012-2019" xfId="12453" xr:uid="{00000000-0005-0000-0000-0000DE3B0000}"/>
    <cellStyle name="Ergebnis 100" xfId="7787" xr:uid="{00000000-0005-0000-0000-0000DF3B0000}"/>
    <cellStyle name="Ergebnis 100 2" xfId="17203" xr:uid="{00000000-0005-0000-0000-0000E03B0000}"/>
    <cellStyle name="Ergebnis 100_est. MEAT" xfId="24012" xr:uid="{00000000-0005-0000-0000-0000E13B0000}"/>
    <cellStyle name="Ergebnis 101" xfId="7788" xr:uid="{00000000-0005-0000-0000-0000E23B0000}"/>
    <cellStyle name="Ergebnis 101 2" xfId="17204" xr:uid="{00000000-0005-0000-0000-0000E33B0000}"/>
    <cellStyle name="Ergebnis 101_est. MEAT" xfId="24013" xr:uid="{00000000-0005-0000-0000-0000E43B0000}"/>
    <cellStyle name="Ergebnis 102" xfId="7789" xr:uid="{00000000-0005-0000-0000-0000E53B0000}"/>
    <cellStyle name="Ergebnis 102 2" xfId="17205" xr:uid="{00000000-0005-0000-0000-0000E63B0000}"/>
    <cellStyle name="Ergebnis 102_est. MEAT" xfId="24014" xr:uid="{00000000-0005-0000-0000-0000E73B0000}"/>
    <cellStyle name="Ergebnis 103" xfId="7790" xr:uid="{00000000-0005-0000-0000-0000E83B0000}"/>
    <cellStyle name="Ergebnis 103 2" xfId="17206" xr:uid="{00000000-0005-0000-0000-0000E93B0000}"/>
    <cellStyle name="Ergebnis 103_est. MEAT" xfId="24015" xr:uid="{00000000-0005-0000-0000-0000EA3B0000}"/>
    <cellStyle name="Ergebnis 104" xfId="7791" xr:uid="{00000000-0005-0000-0000-0000EB3B0000}"/>
    <cellStyle name="Ergebnis 104 2" xfId="17207" xr:uid="{00000000-0005-0000-0000-0000EC3B0000}"/>
    <cellStyle name="Ergebnis 104_est. MEAT" xfId="24016" xr:uid="{00000000-0005-0000-0000-0000ED3B0000}"/>
    <cellStyle name="Ergebnis 105" xfId="7792" xr:uid="{00000000-0005-0000-0000-0000EE3B0000}"/>
    <cellStyle name="Ergebnis 105 2" xfId="17208" xr:uid="{00000000-0005-0000-0000-0000EF3B0000}"/>
    <cellStyle name="Ergebnis 105_est. MEAT" xfId="24017" xr:uid="{00000000-0005-0000-0000-0000F03B0000}"/>
    <cellStyle name="Ergebnis 106" xfId="7793" xr:uid="{00000000-0005-0000-0000-0000F13B0000}"/>
    <cellStyle name="Ergebnis 106 2" xfId="17209" xr:uid="{00000000-0005-0000-0000-0000F23B0000}"/>
    <cellStyle name="Ergebnis 106_est. MEAT" xfId="24018" xr:uid="{00000000-0005-0000-0000-0000F33B0000}"/>
    <cellStyle name="Ergebnis 107" xfId="7794" xr:uid="{00000000-0005-0000-0000-0000F43B0000}"/>
    <cellStyle name="Ergebnis 107 2" xfId="17210" xr:uid="{00000000-0005-0000-0000-0000F53B0000}"/>
    <cellStyle name="Ergebnis 107_est. MEAT" xfId="24019" xr:uid="{00000000-0005-0000-0000-0000F63B0000}"/>
    <cellStyle name="Ergebnis 108" xfId="7795" xr:uid="{00000000-0005-0000-0000-0000F73B0000}"/>
    <cellStyle name="Ergebnis 108 2" xfId="17211" xr:uid="{00000000-0005-0000-0000-0000F83B0000}"/>
    <cellStyle name="Ergebnis 108_est. MEAT" xfId="24020" xr:uid="{00000000-0005-0000-0000-0000F93B0000}"/>
    <cellStyle name="Ergebnis 109" xfId="7796" xr:uid="{00000000-0005-0000-0000-0000FA3B0000}"/>
    <cellStyle name="Ergebnis 109 2" xfId="17212" xr:uid="{00000000-0005-0000-0000-0000FB3B0000}"/>
    <cellStyle name="Ergebnis 109_est. MEAT" xfId="24021" xr:uid="{00000000-0005-0000-0000-0000FC3B0000}"/>
    <cellStyle name="Ergebnis 11" xfId="7797" xr:uid="{00000000-0005-0000-0000-0000FD3B0000}"/>
    <cellStyle name="Ergebnis 11 2" xfId="7798" xr:uid="{00000000-0005-0000-0000-0000FE3B0000}"/>
    <cellStyle name="Ergebnis 11 2 2" xfId="17214" xr:uid="{00000000-0005-0000-0000-0000FF3B0000}"/>
    <cellStyle name="Ergebnis 11 2_est. MEAT" xfId="24022" xr:uid="{00000000-0005-0000-0000-0000003C0000}"/>
    <cellStyle name="Ergebnis 11 3" xfId="17213" xr:uid="{00000000-0005-0000-0000-0000013C0000}"/>
    <cellStyle name="Ergebnis 11_2012-2019" xfId="12454" xr:uid="{00000000-0005-0000-0000-0000023C0000}"/>
    <cellStyle name="Ergebnis 110" xfId="7799" xr:uid="{00000000-0005-0000-0000-0000033C0000}"/>
    <cellStyle name="Ergebnis 110 2" xfId="17215" xr:uid="{00000000-0005-0000-0000-0000043C0000}"/>
    <cellStyle name="Ergebnis 110_est. MEAT" xfId="24023" xr:uid="{00000000-0005-0000-0000-0000053C0000}"/>
    <cellStyle name="Ergebnis 111" xfId="7800" xr:uid="{00000000-0005-0000-0000-0000063C0000}"/>
    <cellStyle name="Ergebnis 111 2" xfId="17216" xr:uid="{00000000-0005-0000-0000-0000073C0000}"/>
    <cellStyle name="Ergebnis 111_est. MEAT" xfId="24024" xr:uid="{00000000-0005-0000-0000-0000083C0000}"/>
    <cellStyle name="Ergebnis 112" xfId="7801" xr:uid="{00000000-0005-0000-0000-0000093C0000}"/>
    <cellStyle name="Ergebnis 112 2" xfId="17217" xr:uid="{00000000-0005-0000-0000-00000A3C0000}"/>
    <cellStyle name="Ergebnis 112_est. MEAT" xfId="24025" xr:uid="{00000000-0005-0000-0000-00000B3C0000}"/>
    <cellStyle name="Ergebnis 113" xfId="7802" xr:uid="{00000000-0005-0000-0000-00000C3C0000}"/>
    <cellStyle name="Ergebnis 113 2" xfId="17218" xr:uid="{00000000-0005-0000-0000-00000D3C0000}"/>
    <cellStyle name="Ergebnis 113_est. MEAT" xfId="24026" xr:uid="{00000000-0005-0000-0000-00000E3C0000}"/>
    <cellStyle name="Ergebnis 114" xfId="7803" xr:uid="{00000000-0005-0000-0000-00000F3C0000}"/>
    <cellStyle name="Ergebnis 114 2" xfId="17219" xr:uid="{00000000-0005-0000-0000-0000103C0000}"/>
    <cellStyle name="Ergebnis 114_est. MEAT" xfId="24027" xr:uid="{00000000-0005-0000-0000-0000113C0000}"/>
    <cellStyle name="Ergebnis 115" xfId="7804" xr:uid="{00000000-0005-0000-0000-0000123C0000}"/>
    <cellStyle name="Ergebnis 115 2" xfId="17220" xr:uid="{00000000-0005-0000-0000-0000133C0000}"/>
    <cellStyle name="Ergebnis 115_est. MEAT" xfId="24028" xr:uid="{00000000-0005-0000-0000-0000143C0000}"/>
    <cellStyle name="Ergebnis 116" xfId="7805" xr:uid="{00000000-0005-0000-0000-0000153C0000}"/>
    <cellStyle name="Ergebnis 116 2" xfId="17221" xr:uid="{00000000-0005-0000-0000-0000163C0000}"/>
    <cellStyle name="Ergebnis 116_est. MEAT" xfId="24029" xr:uid="{00000000-0005-0000-0000-0000173C0000}"/>
    <cellStyle name="Ergebnis 117" xfId="7806" xr:uid="{00000000-0005-0000-0000-0000183C0000}"/>
    <cellStyle name="Ergebnis 117 2" xfId="17222" xr:uid="{00000000-0005-0000-0000-0000193C0000}"/>
    <cellStyle name="Ergebnis 117_est. MEAT" xfId="24030" xr:uid="{00000000-0005-0000-0000-00001A3C0000}"/>
    <cellStyle name="Ergebnis 118" xfId="7807" xr:uid="{00000000-0005-0000-0000-00001B3C0000}"/>
    <cellStyle name="Ergebnis 118 2" xfId="17223" xr:uid="{00000000-0005-0000-0000-00001C3C0000}"/>
    <cellStyle name="Ergebnis 118_est. MEAT" xfId="24031" xr:uid="{00000000-0005-0000-0000-00001D3C0000}"/>
    <cellStyle name="Ergebnis 119" xfId="7808" xr:uid="{00000000-0005-0000-0000-00001E3C0000}"/>
    <cellStyle name="Ergebnis 119 2" xfId="17224" xr:uid="{00000000-0005-0000-0000-00001F3C0000}"/>
    <cellStyle name="Ergebnis 119_est. MEAT" xfId="24032" xr:uid="{00000000-0005-0000-0000-0000203C0000}"/>
    <cellStyle name="Ergebnis 12" xfId="7809" xr:uid="{00000000-0005-0000-0000-0000213C0000}"/>
    <cellStyle name="Ergebnis 12 2" xfId="7810" xr:uid="{00000000-0005-0000-0000-0000223C0000}"/>
    <cellStyle name="Ergebnis 12 2 2" xfId="17226" xr:uid="{00000000-0005-0000-0000-0000233C0000}"/>
    <cellStyle name="Ergebnis 12 2_est. MEAT" xfId="24033" xr:uid="{00000000-0005-0000-0000-0000243C0000}"/>
    <cellStyle name="Ergebnis 12 3" xfId="17225" xr:uid="{00000000-0005-0000-0000-0000253C0000}"/>
    <cellStyle name="Ergebnis 12_2012-2019" xfId="12455" xr:uid="{00000000-0005-0000-0000-0000263C0000}"/>
    <cellStyle name="Ergebnis 120" xfId="7811" xr:uid="{00000000-0005-0000-0000-0000273C0000}"/>
    <cellStyle name="Ergebnis 120 2" xfId="17227" xr:uid="{00000000-0005-0000-0000-0000283C0000}"/>
    <cellStyle name="Ergebnis 120_est. MEAT" xfId="24034" xr:uid="{00000000-0005-0000-0000-0000293C0000}"/>
    <cellStyle name="Ergebnis 121" xfId="7812" xr:uid="{00000000-0005-0000-0000-00002A3C0000}"/>
    <cellStyle name="Ergebnis 121 2" xfId="17228" xr:uid="{00000000-0005-0000-0000-00002B3C0000}"/>
    <cellStyle name="Ergebnis 121_est. MEAT" xfId="24035" xr:uid="{00000000-0005-0000-0000-00002C3C0000}"/>
    <cellStyle name="Ergebnis 122" xfId="7813" xr:uid="{00000000-0005-0000-0000-00002D3C0000}"/>
    <cellStyle name="Ergebnis 122 2" xfId="17229" xr:uid="{00000000-0005-0000-0000-00002E3C0000}"/>
    <cellStyle name="Ergebnis 122_est. MEAT" xfId="24036" xr:uid="{00000000-0005-0000-0000-00002F3C0000}"/>
    <cellStyle name="Ergebnis 123" xfId="7814" xr:uid="{00000000-0005-0000-0000-0000303C0000}"/>
    <cellStyle name="Ergebnis 123 2" xfId="17230" xr:uid="{00000000-0005-0000-0000-0000313C0000}"/>
    <cellStyle name="Ergebnis 123_est. MEAT" xfId="24037" xr:uid="{00000000-0005-0000-0000-0000323C0000}"/>
    <cellStyle name="Ergebnis 124" xfId="7815" xr:uid="{00000000-0005-0000-0000-0000333C0000}"/>
    <cellStyle name="Ergebnis 124 2" xfId="17231" xr:uid="{00000000-0005-0000-0000-0000343C0000}"/>
    <cellStyle name="Ergebnis 124_est. MEAT" xfId="24038" xr:uid="{00000000-0005-0000-0000-0000353C0000}"/>
    <cellStyle name="Ergebnis 125" xfId="7816" xr:uid="{00000000-0005-0000-0000-0000363C0000}"/>
    <cellStyle name="Ergebnis 125 2" xfId="17232" xr:uid="{00000000-0005-0000-0000-0000373C0000}"/>
    <cellStyle name="Ergebnis 125_est. MEAT" xfId="24039" xr:uid="{00000000-0005-0000-0000-0000383C0000}"/>
    <cellStyle name="Ergebnis 126" xfId="7817" xr:uid="{00000000-0005-0000-0000-0000393C0000}"/>
    <cellStyle name="Ergebnis 126 2" xfId="17233" xr:uid="{00000000-0005-0000-0000-00003A3C0000}"/>
    <cellStyle name="Ergebnis 126_est. MEAT" xfId="24040" xr:uid="{00000000-0005-0000-0000-00003B3C0000}"/>
    <cellStyle name="Ergebnis 127" xfId="7818" xr:uid="{00000000-0005-0000-0000-00003C3C0000}"/>
    <cellStyle name="Ergebnis 127 2" xfId="17234" xr:uid="{00000000-0005-0000-0000-00003D3C0000}"/>
    <cellStyle name="Ergebnis 127_est. MEAT" xfId="24041" xr:uid="{00000000-0005-0000-0000-00003E3C0000}"/>
    <cellStyle name="Ergebnis 128" xfId="7819" xr:uid="{00000000-0005-0000-0000-00003F3C0000}"/>
    <cellStyle name="Ergebnis 128 2" xfId="17235" xr:uid="{00000000-0005-0000-0000-0000403C0000}"/>
    <cellStyle name="Ergebnis 128_est. MEAT" xfId="24042" xr:uid="{00000000-0005-0000-0000-0000413C0000}"/>
    <cellStyle name="Ergebnis 129" xfId="7820" xr:uid="{00000000-0005-0000-0000-0000423C0000}"/>
    <cellStyle name="Ergebnis 129 2" xfId="17236" xr:uid="{00000000-0005-0000-0000-0000433C0000}"/>
    <cellStyle name="Ergebnis 129_est. MEAT" xfId="24043" xr:uid="{00000000-0005-0000-0000-0000443C0000}"/>
    <cellStyle name="Ergebnis 13" xfId="7821" xr:uid="{00000000-0005-0000-0000-0000453C0000}"/>
    <cellStyle name="Ergebnis 13 2" xfId="7822" xr:uid="{00000000-0005-0000-0000-0000463C0000}"/>
    <cellStyle name="Ergebnis 13 2 2" xfId="17238" xr:uid="{00000000-0005-0000-0000-0000473C0000}"/>
    <cellStyle name="Ergebnis 13 2_est. MEAT" xfId="24044" xr:uid="{00000000-0005-0000-0000-0000483C0000}"/>
    <cellStyle name="Ergebnis 13 3" xfId="17237" xr:uid="{00000000-0005-0000-0000-0000493C0000}"/>
    <cellStyle name="Ergebnis 13_2012-2019" xfId="12456" xr:uid="{00000000-0005-0000-0000-00004A3C0000}"/>
    <cellStyle name="Ergebnis 130" xfId="7823" xr:uid="{00000000-0005-0000-0000-00004B3C0000}"/>
    <cellStyle name="Ergebnis 130 2" xfId="17239" xr:uid="{00000000-0005-0000-0000-00004C3C0000}"/>
    <cellStyle name="Ergebnis 130_est. MEAT" xfId="24045" xr:uid="{00000000-0005-0000-0000-00004D3C0000}"/>
    <cellStyle name="Ergebnis 131" xfId="7824" xr:uid="{00000000-0005-0000-0000-00004E3C0000}"/>
    <cellStyle name="Ergebnis 131 2" xfId="17240" xr:uid="{00000000-0005-0000-0000-00004F3C0000}"/>
    <cellStyle name="Ergebnis 131_est. MEAT" xfId="24046" xr:uid="{00000000-0005-0000-0000-0000503C0000}"/>
    <cellStyle name="Ergebnis 132" xfId="7825" xr:uid="{00000000-0005-0000-0000-0000513C0000}"/>
    <cellStyle name="Ergebnis 132 2" xfId="17241" xr:uid="{00000000-0005-0000-0000-0000523C0000}"/>
    <cellStyle name="Ergebnis 132_est. MEAT" xfId="24047" xr:uid="{00000000-0005-0000-0000-0000533C0000}"/>
    <cellStyle name="Ergebnis 133" xfId="7826" xr:uid="{00000000-0005-0000-0000-0000543C0000}"/>
    <cellStyle name="Ergebnis 133 2" xfId="17242" xr:uid="{00000000-0005-0000-0000-0000553C0000}"/>
    <cellStyle name="Ergebnis 133_est. MEAT" xfId="24048" xr:uid="{00000000-0005-0000-0000-0000563C0000}"/>
    <cellStyle name="Ergebnis 134" xfId="7827" xr:uid="{00000000-0005-0000-0000-0000573C0000}"/>
    <cellStyle name="Ergebnis 134 2" xfId="17243" xr:uid="{00000000-0005-0000-0000-0000583C0000}"/>
    <cellStyle name="Ergebnis 134_est. MEAT" xfId="24049" xr:uid="{00000000-0005-0000-0000-0000593C0000}"/>
    <cellStyle name="Ergebnis 135" xfId="7828" xr:uid="{00000000-0005-0000-0000-00005A3C0000}"/>
    <cellStyle name="Ergebnis 135 2" xfId="17244" xr:uid="{00000000-0005-0000-0000-00005B3C0000}"/>
    <cellStyle name="Ergebnis 135_est. MEAT" xfId="24050" xr:uid="{00000000-0005-0000-0000-00005C3C0000}"/>
    <cellStyle name="Ergebnis 136" xfId="7829" xr:uid="{00000000-0005-0000-0000-00005D3C0000}"/>
    <cellStyle name="Ergebnis 136 2" xfId="17245" xr:uid="{00000000-0005-0000-0000-00005E3C0000}"/>
    <cellStyle name="Ergebnis 136_est. MEAT" xfId="24051" xr:uid="{00000000-0005-0000-0000-00005F3C0000}"/>
    <cellStyle name="Ergebnis 137" xfId="7830" xr:uid="{00000000-0005-0000-0000-0000603C0000}"/>
    <cellStyle name="Ergebnis 137 2" xfId="17246" xr:uid="{00000000-0005-0000-0000-0000613C0000}"/>
    <cellStyle name="Ergebnis 137_est. MEAT" xfId="24052" xr:uid="{00000000-0005-0000-0000-0000623C0000}"/>
    <cellStyle name="Ergebnis 138" xfId="7831" xr:uid="{00000000-0005-0000-0000-0000633C0000}"/>
    <cellStyle name="Ergebnis 138 2" xfId="17247" xr:uid="{00000000-0005-0000-0000-0000643C0000}"/>
    <cellStyle name="Ergebnis 138_est. MEAT" xfId="24053" xr:uid="{00000000-0005-0000-0000-0000653C0000}"/>
    <cellStyle name="Ergebnis 139" xfId="7832" xr:uid="{00000000-0005-0000-0000-0000663C0000}"/>
    <cellStyle name="Ergebnis 139 2" xfId="17248" xr:uid="{00000000-0005-0000-0000-0000673C0000}"/>
    <cellStyle name="Ergebnis 139_est. MEAT" xfId="24054" xr:uid="{00000000-0005-0000-0000-0000683C0000}"/>
    <cellStyle name="Ergebnis 14" xfId="7833" xr:uid="{00000000-0005-0000-0000-0000693C0000}"/>
    <cellStyle name="Ergebnis 14 2" xfId="7834" xr:uid="{00000000-0005-0000-0000-00006A3C0000}"/>
    <cellStyle name="Ergebnis 14 2 2" xfId="17250" xr:uid="{00000000-0005-0000-0000-00006B3C0000}"/>
    <cellStyle name="Ergebnis 14 2_est. MEAT" xfId="24055" xr:uid="{00000000-0005-0000-0000-00006C3C0000}"/>
    <cellStyle name="Ergebnis 14 3" xfId="17249" xr:uid="{00000000-0005-0000-0000-00006D3C0000}"/>
    <cellStyle name="Ergebnis 14_2012-2019" xfId="12457" xr:uid="{00000000-0005-0000-0000-00006E3C0000}"/>
    <cellStyle name="Ergebnis 140" xfId="7835" xr:uid="{00000000-0005-0000-0000-00006F3C0000}"/>
    <cellStyle name="Ergebnis 140 2" xfId="17251" xr:uid="{00000000-0005-0000-0000-0000703C0000}"/>
    <cellStyle name="Ergebnis 140_est. MEAT" xfId="24056" xr:uid="{00000000-0005-0000-0000-0000713C0000}"/>
    <cellStyle name="Ergebnis 141" xfId="7836" xr:uid="{00000000-0005-0000-0000-0000723C0000}"/>
    <cellStyle name="Ergebnis 141 2" xfId="17252" xr:uid="{00000000-0005-0000-0000-0000733C0000}"/>
    <cellStyle name="Ergebnis 141_est. MEAT" xfId="24057" xr:uid="{00000000-0005-0000-0000-0000743C0000}"/>
    <cellStyle name="Ergebnis 142" xfId="7837" xr:uid="{00000000-0005-0000-0000-0000753C0000}"/>
    <cellStyle name="Ergebnis 142 2" xfId="17253" xr:uid="{00000000-0005-0000-0000-0000763C0000}"/>
    <cellStyle name="Ergebnis 142_est. MEAT" xfId="24058" xr:uid="{00000000-0005-0000-0000-0000773C0000}"/>
    <cellStyle name="Ergebnis 143" xfId="7838" xr:uid="{00000000-0005-0000-0000-0000783C0000}"/>
    <cellStyle name="Ergebnis 143 2" xfId="17254" xr:uid="{00000000-0005-0000-0000-0000793C0000}"/>
    <cellStyle name="Ergebnis 143_est. MEAT" xfId="24059" xr:uid="{00000000-0005-0000-0000-00007A3C0000}"/>
    <cellStyle name="Ergebnis 144" xfId="7839" xr:uid="{00000000-0005-0000-0000-00007B3C0000}"/>
    <cellStyle name="Ergebnis 144 2" xfId="17255" xr:uid="{00000000-0005-0000-0000-00007C3C0000}"/>
    <cellStyle name="Ergebnis 144_est. MEAT" xfId="24060" xr:uid="{00000000-0005-0000-0000-00007D3C0000}"/>
    <cellStyle name="Ergebnis 145" xfId="7840" xr:uid="{00000000-0005-0000-0000-00007E3C0000}"/>
    <cellStyle name="Ergebnis 145 2" xfId="17256" xr:uid="{00000000-0005-0000-0000-00007F3C0000}"/>
    <cellStyle name="Ergebnis 145_est. MEAT" xfId="24061" xr:uid="{00000000-0005-0000-0000-0000803C0000}"/>
    <cellStyle name="Ergebnis 146" xfId="7841" xr:uid="{00000000-0005-0000-0000-0000813C0000}"/>
    <cellStyle name="Ergebnis 146 2" xfId="17257" xr:uid="{00000000-0005-0000-0000-0000823C0000}"/>
    <cellStyle name="Ergebnis 146_est. MEAT" xfId="24062" xr:uid="{00000000-0005-0000-0000-0000833C0000}"/>
    <cellStyle name="Ergebnis 147" xfId="7842" xr:uid="{00000000-0005-0000-0000-0000843C0000}"/>
    <cellStyle name="Ergebnis 147 2" xfId="17258" xr:uid="{00000000-0005-0000-0000-0000853C0000}"/>
    <cellStyle name="Ergebnis 147_est. MEAT" xfId="24063" xr:uid="{00000000-0005-0000-0000-0000863C0000}"/>
    <cellStyle name="Ergebnis 148" xfId="7843" xr:uid="{00000000-0005-0000-0000-0000873C0000}"/>
    <cellStyle name="Ergebnis 148 2" xfId="17259" xr:uid="{00000000-0005-0000-0000-0000883C0000}"/>
    <cellStyle name="Ergebnis 148_est. MEAT" xfId="24064" xr:uid="{00000000-0005-0000-0000-0000893C0000}"/>
    <cellStyle name="Ergebnis 149" xfId="7844" xr:uid="{00000000-0005-0000-0000-00008A3C0000}"/>
    <cellStyle name="Ergebnis 149 2" xfId="17260" xr:uid="{00000000-0005-0000-0000-00008B3C0000}"/>
    <cellStyle name="Ergebnis 149_est. MEAT" xfId="24065" xr:uid="{00000000-0005-0000-0000-00008C3C0000}"/>
    <cellStyle name="Ergebnis 15" xfId="7845" xr:uid="{00000000-0005-0000-0000-00008D3C0000}"/>
    <cellStyle name="Ergebnis 15 2" xfId="17261" xr:uid="{00000000-0005-0000-0000-00008E3C0000}"/>
    <cellStyle name="Ergebnis 15_est. MEAT" xfId="24066" xr:uid="{00000000-0005-0000-0000-00008F3C0000}"/>
    <cellStyle name="Ergebnis 150" xfId="7846" xr:uid="{00000000-0005-0000-0000-0000903C0000}"/>
    <cellStyle name="Ergebnis 150 2" xfId="17262" xr:uid="{00000000-0005-0000-0000-0000913C0000}"/>
    <cellStyle name="Ergebnis 150_est. MEAT" xfId="24067" xr:uid="{00000000-0005-0000-0000-0000923C0000}"/>
    <cellStyle name="Ergebnis 151" xfId="7847" xr:uid="{00000000-0005-0000-0000-0000933C0000}"/>
    <cellStyle name="Ergebnis 151 2" xfId="17263" xr:uid="{00000000-0005-0000-0000-0000943C0000}"/>
    <cellStyle name="Ergebnis 151_est. MEAT" xfId="24068" xr:uid="{00000000-0005-0000-0000-0000953C0000}"/>
    <cellStyle name="Ergebnis 152" xfId="17200" xr:uid="{00000000-0005-0000-0000-0000963C0000}"/>
    <cellStyle name="Ergebnis 16" xfId="7848" xr:uid="{00000000-0005-0000-0000-0000973C0000}"/>
    <cellStyle name="Ergebnis 16 2" xfId="17264" xr:uid="{00000000-0005-0000-0000-0000983C0000}"/>
    <cellStyle name="Ergebnis 16_est. MEAT" xfId="24069" xr:uid="{00000000-0005-0000-0000-0000993C0000}"/>
    <cellStyle name="Ergebnis 17" xfId="7849" xr:uid="{00000000-0005-0000-0000-00009A3C0000}"/>
    <cellStyle name="Ergebnis 17 2" xfId="17265" xr:uid="{00000000-0005-0000-0000-00009B3C0000}"/>
    <cellStyle name="Ergebnis 17_est. MEAT" xfId="24070" xr:uid="{00000000-0005-0000-0000-00009C3C0000}"/>
    <cellStyle name="Ergebnis 18" xfId="7850" xr:uid="{00000000-0005-0000-0000-00009D3C0000}"/>
    <cellStyle name="Ergebnis 18 2" xfId="17266" xr:uid="{00000000-0005-0000-0000-00009E3C0000}"/>
    <cellStyle name="Ergebnis 18_est. MEAT" xfId="24071" xr:uid="{00000000-0005-0000-0000-00009F3C0000}"/>
    <cellStyle name="Ergebnis 19" xfId="7851" xr:uid="{00000000-0005-0000-0000-0000A03C0000}"/>
    <cellStyle name="Ergebnis 19 2" xfId="17267" xr:uid="{00000000-0005-0000-0000-0000A13C0000}"/>
    <cellStyle name="Ergebnis 19_est. MEAT" xfId="24072" xr:uid="{00000000-0005-0000-0000-0000A23C0000}"/>
    <cellStyle name="Ergebnis 2" xfId="7852" xr:uid="{00000000-0005-0000-0000-0000A33C0000}"/>
    <cellStyle name="Ergebnis 2 2" xfId="7853" xr:uid="{00000000-0005-0000-0000-0000A43C0000}"/>
    <cellStyle name="Ergebnis 2 2 2" xfId="17269" xr:uid="{00000000-0005-0000-0000-0000A53C0000}"/>
    <cellStyle name="Ergebnis 2 2_est. MEAT" xfId="24073" xr:uid="{00000000-0005-0000-0000-0000A63C0000}"/>
    <cellStyle name="Ergebnis 2 3" xfId="17268" xr:uid="{00000000-0005-0000-0000-0000A73C0000}"/>
    <cellStyle name="Ergebnis 2_2012-2019" xfId="12458" xr:uid="{00000000-0005-0000-0000-0000A83C0000}"/>
    <cellStyle name="Ergebnis 20" xfId="7854" xr:uid="{00000000-0005-0000-0000-0000A93C0000}"/>
    <cellStyle name="Ergebnis 20 2" xfId="17270" xr:uid="{00000000-0005-0000-0000-0000AA3C0000}"/>
    <cellStyle name="Ergebnis 20_est. MEAT" xfId="24074" xr:uid="{00000000-0005-0000-0000-0000AB3C0000}"/>
    <cellStyle name="Ergebnis 21" xfId="7855" xr:uid="{00000000-0005-0000-0000-0000AC3C0000}"/>
    <cellStyle name="Ergebnis 21 2" xfId="17271" xr:uid="{00000000-0005-0000-0000-0000AD3C0000}"/>
    <cellStyle name="Ergebnis 21_est. MEAT" xfId="24075" xr:uid="{00000000-0005-0000-0000-0000AE3C0000}"/>
    <cellStyle name="Ergebnis 22" xfId="7856" xr:uid="{00000000-0005-0000-0000-0000AF3C0000}"/>
    <cellStyle name="Ergebnis 22 2" xfId="17272" xr:uid="{00000000-0005-0000-0000-0000B03C0000}"/>
    <cellStyle name="Ergebnis 22_est. MEAT" xfId="24076" xr:uid="{00000000-0005-0000-0000-0000B13C0000}"/>
    <cellStyle name="Ergebnis 23" xfId="7857" xr:uid="{00000000-0005-0000-0000-0000B23C0000}"/>
    <cellStyle name="Ergebnis 23 2" xfId="17273" xr:uid="{00000000-0005-0000-0000-0000B33C0000}"/>
    <cellStyle name="Ergebnis 23_est. MEAT" xfId="24077" xr:uid="{00000000-0005-0000-0000-0000B43C0000}"/>
    <cellStyle name="Ergebnis 24" xfId="7858" xr:uid="{00000000-0005-0000-0000-0000B53C0000}"/>
    <cellStyle name="Ergebnis 24 2" xfId="17274" xr:uid="{00000000-0005-0000-0000-0000B63C0000}"/>
    <cellStyle name="Ergebnis 24_est. MEAT" xfId="24078" xr:uid="{00000000-0005-0000-0000-0000B73C0000}"/>
    <cellStyle name="Ergebnis 25" xfId="7859" xr:uid="{00000000-0005-0000-0000-0000B83C0000}"/>
    <cellStyle name="Ergebnis 25 2" xfId="17275" xr:uid="{00000000-0005-0000-0000-0000B93C0000}"/>
    <cellStyle name="Ergebnis 25_est. MEAT" xfId="24079" xr:uid="{00000000-0005-0000-0000-0000BA3C0000}"/>
    <cellStyle name="Ergebnis 26" xfId="7860" xr:uid="{00000000-0005-0000-0000-0000BB3C0000}"/>
    <cellStyle name="Ergebnis 26 2" xfId="17276" xr:uid="{00000000-0005-0000-0000-0000BC3C0000}"/>
    <cellStyle name="Ergebnis 26_est. MEAT" xfId="24080" xr:uid="{00000000-0005-0000-0000-0000BD3C0000}"/>
    <cellStyle name="Ergebnis 27" xfId="7861" xr:uid="{00000000-0005-0000-0000-0000BE3C0000}"/>
    <cellStyle name="Ergebnis 27 2" xfId="17277" xr:uid="{00000000-0005-0000-0000-0000BF3C0000}"/>
    <cellStyle name="Ergebnis 27_est. MEAT" xfId="24081" xr:uid="{00000000-0005-0000-0000-0000C03C0000}"/>
    <cellStyle name="Ergebnis 28" xfId="7862" xr:uid="{00000000-0005-0000-0000-0000C13C0000}"/>
    <cellStyle name="Ergebnis 28 2" xfId="17278" xr:uid="{00000000-0005-0000-0000-0000C23C0000}"/>
    <cellStyle name="Ergebnis 28_est. MEAT" xfId="24082" xr:uid="{00000000-0005-0000-0000-0000C33C0000}"/>
    <cellStyle name="Ergebnis 29" xfId="7863" xr:uid="{00000000-0005-0000-0000-0000C43C0000}"/>
    <cellStyle name="Ergebnis 29 2" xfId="17279" xr:uid="{00000000-0005-0000-0000-0000C53C0000}"/>
    <cellStyle name="Ergebnis 29_est. MEAT" xfId="24083" xr:uid="{00000000-0005-0000-0000-0000C63C0000}"/>
    <cellStyle name="Ergebnis 3" xfId="7864" xr:uid="{00000000-0005-0000-0000-0000C73C0000}"/>
    <cellStyle name="Ergebnis 3 2" xfId="7865" xr:uid="{00000000-0005-0000-0000-0000C83C0000}"/>
    <cellStyle name="Ergebnis 3 2 2" xfId="17281" xr:uid="{00000000-0005-0000-0000-0000C93C0000}"/>
    <cellStyle name="Ergebnis 3 2_est. MEAT" xfId="24084" xr:uid="{00000000-0005-0000-0000-0000CA3C0000}"/>
    <cellStyle name="Ergebnis 3 3" xfId="17280" xr:uid="{00000000-0005-0000-0000-0000CB3C0000}"/>
    <cellStyle name="Ergebnis 3_2012-2019" xfId="12459" xr:uid="{00000000-0005-0000-0000-0000CC3C0000}"/>
    <cellStyle name="Ergebnis 30" xfId="7866" xr:uid="{00000000-0005-0000-0000-0000CD3C0000}"/>
    <cellStyle name="Ergebnis 30 2" xfId="17282" xr:uid="{00000000-0005-0000-0000-0000CE3C0000}"/>
    <cellStyle name="Ergebnis 30_est. MEAT" xfId="24085" xr:uid="{00000000-0005-0000-0000-0000CF3C0000}"/>
    <cellStyle name="Ergebnis 31" xfId="7867" xr:uid="{00000000-0005-0000-0000-0000D03C0000}"/>
    <cellStyle name="Ergebnis 31 2" xfId="17283" xr:uid="{00000000-0005-0000-0000-0000D13C0000}"/>
    <cellStyle name="Ergebnis 31_est. MEAT" xfId="24086" xr:uid="{00000000-0005-0000-0000-0000D23C0000}"/>
    <cellStyle name="Ergebnis 32" xfId="7868" xr:uid="{00000000-0005-0000-0000-0000D33C0000}"/>
    <cellStyle name="Ergebnis 32 2" xfId="17284" xr:uid="{00000000-0005-0000-0000-0000D43C0000}"/>
    <cellStyle name="Ergebnis 32_est. MEAT" xfId="24087" xr:uid="{00000000-0005-0000-0000-0000D53C0000}"/>
    <cellStyle name="Ergebnis 33" xfId="7869" xr:uid="{00000000-0005-0000-0000-0000D63C0000}"/>
    <cellStyle name="Ergebnis 33 2" xfId="17285" xr:uid="{00000000-0005-0000-0000-0000D73C0000}"/>
    <cellStyle name="Ergebnis 33_est. MEAT" xfId="24088" xr:uid="{00000000-0005-0000-0000-0000D83C0000}"/>
    <cellStyle name="Ergebnis 34" xfId="7870" xr:uid="{00000000-0005-0000-0000-0000D93C0000}"/>
    <cellStyle name="Ergebnis 34 2" xfId="17286" xr:uid="{00000000-0005-0000-0000-0000DA3C0000}"/>
    <cellStyle name="Ergebnis 34_est. MEAT" xfId="24089" xr:uid="{00000000-0005-0000-0000-0000DB3C0000}"/>
    <cellStyle name="Ergebnis 35" xfId="7871" xr:uid="{00000000-0005-0000-0000-0000DC3C0000}"/>
    <cellStyle name="Ergebnis 35 2" xfId="17287" xr:uid="{00000000-0005-0000-0000-0000DD3C0000}"/>
    <cellStyle name="Ergebnis 35_est. MEAT" xfId="24090" xr:uid="{00000000-0005-0000-0000-0000DE3C0000}"/>
    <cellStyle name="Ergebnis 36" xfId="7872" xr:uid="{00000000-0005-0000-0000-0000DF3C0000}"/>
    <cellStyle name="Ergebnis 36 2" xfId="17288" xr:uid="{00000000-0005-0000-0000-0000E03C0000}"/>
    <cellStyle name="Ergebnis 36_est. MEAT" xfId="24091" xr:uid="{00000000-0005-0000-0000-0000E13C0000}"/>
    <cellStyle name="Ergebnis 37" xfId="7873" xr:uid="{00000000-0005-0000-0000-0000E23C0000}"/>
    <cellStyle name="Ergebnis 37 2" xfId="17289" xr:uid="{00000000-0005-0000-0000-0000E33C0000}"/>
    <cellStyle name="Ergebnis 37_est. MEAT" xfId="24092" xr:uid="{00000000-0005-0000-0000-0000E43C0000}"/>
    <cellStyle name="Ergebnis 38" xfId="7874" xr:uid="{00000000-0005-0000-0000-0000E53C0000}"/>
    <cellStyle name="Ergebnis 38 2" xfId="17290" xr:uid="{00000000-0005-0000-0000-0000E63C0000}"/>
    <cellStyle name="Ergebnis 38_est. MEAT" xfId="24093" xr:uid="{00000000-0005-0000-0000-0000E73C0000}"/>
    <cellStyle name="Ergebnis 39" xfId="7875" xr:uid="{00000000-0005-0000-0000-0000E83C0000}"/>
    <cellStyle name="Ergebnis 39 2" xfId="17291" xr:uid="{00000000-0005-0000-0000-0000E93C0000}"/>
    <cellStyle name="Ergebnis 39_est. MEAT" xfId="24094" xr:uid="{00000000-0005-0000-0000-0000EA3C0000}"/>
    <cellStyle name="Ergebnis 4" xfId="7876" xr:uid="{00000000-0005-0000-0000-0000EB3C0000}"/>
    <cellStyle name="Ergebnis 4 2" xfId="7877" xr:uid="{00000000-0005-0000-0000-0000EC3C0000}"/>
    <cellStyle name="Ergebnis 4 2 2" xfId="17293" xr:uid="{00000000-0005-0000-0000-0000ED3C0000}"/>
    <cellStyle name="Ergebnis 4 2_est. MEAT" xfId="24095" xr:uid="{00000000-0005-0000-0000-0000EE3C0000}"/>
    <cellStyle name="Ergebnis 4 3" xfId="17292" xr:uid="{00000000-0005-0000-0000-0000EF3C0000}"/>
    <cellStyle name="Ergebnis 4_2012-2019" xfId="12460" xr:uid="{00000000-0005-0000-0000-0000F03C0000}"/>
    <cellStyle name="Ergebnis 40" xfId="7878" xr:uid="{00000000-0005-0000-0000-0000F13C0000}"/>
    <cellStyle name="Ergebnis 40 2" xfId="17294" xr:uid="{00000000-0005-0000-0000-0000F23C0000}"/>
    <cellStyle name="Ergebnis 40_est. MEAT" xfId="24096" xr:uid="{00000000-0005-0000-0000-0000F33C0000}"/>
    <cellStyle name="Ergebnis 41" xfId="7879" xr:uid="{00000000-0005-0000-0000-0000F43C0000}"/>
    <cellStyle name="Ergebnis 41 2" xfId="17295" xr:uid="{00000000-0005-0000-0000-0000F53C0000}"/>
    <cellStyle name="Ergebnis 41_est. MEAT" xfId="24097" xr:uid="{00000000-0005-0000-0000-0000F63C0000}"/>
    <cellStyle name="Ergebnis 42" xfId="7880" xr:uid="{00000000-0005-0000-0000-0000F73C0000}"/>
    <cellStyle name="Ergebnis 42 2" xfId="17296" xr:uid="{00000000-0005-0000-0000-0000F83C0000}"/>
    <cellStyle name="Ergebnis 42_est. MEAT" xfId="24098" xr:uid="{00000000-0005-0000-0000-0000F93C0000}"/>
    <cellStyle name="Ergebnis 43" xfId="7881" xr:uid="{00000000-0005-0000-0000-0000FA3C0000}"/>
    <cellStyle name="Ergebnis 43 2" xfId="17297" xr:uid="{00000000-0005-0000-0000-0000FB3C0000}"/>
    <cellStyle name="Ergebnis 43_est. MEAT" xfId="24099" xr:uid="{00000000-0005-0000-0000-0000FC3C0000}"/>
    <cellStyle name="Ergebnis 44" xfId="7882" xr:uid="{00000000-0005-0000-0000-0000FD3C0000}"/>
    <cellStyle name="Ergebnis 44 2" xfId="17298" xr:uid="{00000000-0005-0000-0000-0000FE3C0000}"/>
    <cellStyle name="Ergebnis 44_est. MEAT" xfId="24100" xr:uid="{00000000-0005-0000-0000-0000FF3C0000}"/>
    <cellStyle name="Ergebnis 45" xfId="7883" xr:uid="{00000000-0005-0000-0000-0000003D0000}"/>
    <cellStyle name="Ergebnis 45 2" xfId="17299" xr:uid="{00000000-0005-0000-0000-0000013D0000}"/>
    <cellStyle name="Ergebnis 45_est. MEAT" xfId="24101" xr:uid="{00000000-0005-0000-0000-0000023D0000}"/>
    <cellStyle name="Ergebnis 46" xfId="7884" xr:uid="{00000000-0005-0000-0000-0000033D0000}"/>
    <cellStyle name="Ergebnis 46 2" xfId="17300" xr:uid="{00000000-0005-0000-0000-0000043D0000}"/>
    <cellStyle name="Ergebnis 46_est. MEAT" xfId="24102" xr:uid="{00000000-0005-0000-0000-0000053D0000}"/>
    <cellStyle name="Ergebnis 47" xfId="7885" xr:uid="{00000000-0005-0000-0000-0000063D0000}"/>
    <cellStyle name="Ergebnis 47 2" xfId="17301" xr:uid="{00000000-0005-0000-0000-0000073D0000}"/>
    <cellStyle name="Ergebnis 47_est. MEAT" xfId="24103" xr:uid="{00000000-0005-0000-0000-0000083D0000}"/>
    <cellStyle name="Ergebnis 48" xfId="7886" xr:uid="{00000000-0005-0000-0000-0000093D0000}"/>
    <cellStyle name="Ergebnis 48 2" xfId="17302" xr:uid="{00000000-0005-0000-0000-00000A3D0000}"/>
    <cellStyle name="Ergebnis 48_est. MEAT" xfId="24104" xr:uid="{00000000-0005-0000-0000-00000B3D0000}"/>
    <cellStyle name="Ergebnis 49" xfId="7887" xr:uid="{00000000-0005-0000-0000-00000C3D0000}"/>
    <cellStyle name="Ergebnis 49 2" xfId="17303" xr:uid="{00000000-0005-0000-0000-00000D3D0000}"/>
    <cellStyle name="Ergebnis 49_est. MEAT" xfId="24105" xr:uid="{00000000-0005-0000-0000-00000E3D0000}"/>
    <cellStyle name="Ergebnis 5" xfId="7888" xr:uid="{00000000-0005-0000-0000-00000F3D0000}"/>
    <cellStyle name="Ergebnis 5 2" xfId="7889" xr:uid="{00000000-0005-0000-0000-0000103D0000}"/>
    <cellStyle name="Ergebnis 5 2 2" xfId="17305" xr:uid="{00000000-0005-0000-0000-0000113D0000}"/>
    <cellStyle name="Ergebnis 5 2_est. MEAT" xfId="24106" xr:uid="{00000000-0005-0000-0000-0000123D0000}"/>
    <cellStyle name="Ergebnis 5 3" xfId="17304" xr:uid="{00000000-0005-0000-0000-0000133D0000}"/>
    <cellStyle name="Ergebnis 5_2012-2019" xfId="12461" xr:uid="{00000000-0005-0000-0000-0000143D0000}"/>
    <cellStyle name="Ergebnis 50" xfId="7890" xr:uid="{00000000-0005-0000-0000-0000153D0000}"/>
    <cellStyle name="Ergebnis 50 2" xfId="17306" xr:uid="{00000000-0005-0000-0000-0000163D0000}"/>
    <cellStyle name="Ergebnis 50_est. MEAT" xfId="24107" xr:uid="{00000000-0005-0000-0000-0000173D0000}"/>
    <cellStyle name="Ergebnis 51" xfId="7891" xr:uid="{00000000-0005-0000-0000-0000183D0000}"/>
    <cellStyle name="Ergebnis 51 2" xfId="17307" xr:uid="{00000000-0005-0000-0000-0000193D0000}"/>
    <cellStyle name="Ergebnis 51_est. MEAT" xfId="24108" xr:uid="{00000000-0005-0000-0000-00001A3D0000}"/>
    <cellStyle name="Ergebnis 52" xfId="7892" xr:uid="{00000000-0005-0000-0000-00001B3D0000}"/>
    <cellStyle name="Ergebnis 52 2" xfId="17308" xr:uid="{00000000-0005-0000-0000-00001C3D0000}"/>
    <cellStyle name="Ergebnis 52_est. MEAT" xfId="24109" xr:uid="{00000000-0005-0000-0000-00001D3D0000}"/>
    <cellStyle name="Ergebnis 53" xfId="7893" xr:uid="{00000000-0005-0000-0000-00001E3D0000}"/>
    <cellStyle name="Ergebnis 53 2" xfId="17309" xr:uid="{00000000-0005-0000-0000-00001F3D0000}"/>
    <cellStyle name="Ergebnis 53_est. MEAT" xfId="24110" xr:uid="{00000000-0005-0000-0000-0000203D0000}"/>
    <cellStyle name="Ergebnis 54" xfId="7894" xr:uid="{00000000-0005-0000-0000-0000213D0000}"/>
    <cellStyle name="Ergebnis 54 2" xfId="17310" xr:uid="{00000000-0005-0000-0000-0000223D0000}"/>
    <cellStyle name="Ergebnis 54_est. MEAT" xfId="24111" xr:uid="{00000000-0005-0000-0000-0000233D0000}"/>
    <cellStyle name="Ergebnis 55" xfId="7895" xr:uid="{00000000-0005-0000-0000-0000243D0000}"/>
    <cellStyle name="Ergebnis 55 2" xfId="17311" xr:uid="{00000000-0005-0000-0000-0000253D0000}"/>
    <cellStyle name="Ergebnis 55_est. MEAT" xfId="24112" xr:uid="{00000000-0005-0000-0000-0000263D0000}"/>
    <cellStyle name="Ergebnis 56" xfId="7896" xr:uid="{00000000-0005-0000-0000-0000273D0000}"/>
    <cellStyle name="Ergebnis 56 2" xfId="17312" xr:uid="{00000000-0005-0000-0000-0000283D0000}"/>
    <cellStyle name="Ergebnis 56_est. MEAT" xfId="24113" xr:uid="{00000000-0005-0000-0000-0000293D0000}"/>
    <cellStyle name="Ergebnis 57" xfId="7897" xr:uid="{00000000-0005-0000-0000-00002A3D0000}"/>
    <cellStyle name="Ergebnis 57 2" xfId="17313" xr:uid="{00000000-0005-0000-0000-00002B3D0000}"/>
    <cellStyle name="Ergebnis 57_est. MEAT" xfId="24114" xr:uid="{00000000-0005-0000-0000-00002C3D0000}"/>
    <cellStyle name="Ergebnis 58" xfId="7898" xr:uid="{00000000-0005-0000-0000-00002D3D0000}"/>
    <cellStyle name="Ergebnis 58 2" xfId="17314" xr:uid="{00000000-0005-0000-0000-00002E3D0000}"/>
    <cellStyle name="Ergebnis 58_est. MEAT" xfId="24115" xr:uid="{00000000-0005-0000-0000-00002F3D0000}"/>
    <cellStyle name="Ergebnis 59" xfId="7899" xr:uid="{00000000-0005-0000-0000-0000303D0000}"/>
    <cellStyle name="Ergebnis 59 2" xfId="17315" xr:uid="{00000000-0005-0000-0000-0000313D0000}"/>
    <cellStyle name="Ergebnis 59_est. MEAT" xfId="24116" xr:uid="{00000000-0005-0000-0000-0000323D0000}"/>
    <cellStyle name="Ergebnis 6" xfId="7900" xr:uid="{00000000-0005-0000-0000-0000333D0000}"/>
    <cellStyle name="Ergebnis 6 2" xfId="7901" xr:uid="{00000000-0005-0000-0000-0000343D0000}"/>
    <cellStyle name="Ergebnis 6 2 2" xfId="17317" xr:uid="{00000000-0005-0000-0000-0000353D0000}"/>
    <cellStyle name="Ergebnis 6 2_est. MEAT" xfId="24117" xr:uid="{00000000-0005-0000-0000-0000363D0000}"/>
    <cellStyle name="Ergebnis 6 3" xfId="17316" xr:uid="{00000000-0005-0000-0000-0000373D0000}"/>
    <cellStyle name="Ergebnis 6_2012-2019" xfId="12462" xr:uid="{00000000-0005-0000-0000-0000383D0000}"/>
    <cellStyle name="Ergebnis 60" xfId="7902" xr:uid="{00000000-0005-0000-0000-0000393D0000}"/>
    <cellStyle name="Ergebnis 60 2" xfId="17318" xr:uid="{00000000-0005-0000-0000-00003A3D0000}"/>
    <cellStyle name="Ergebnis 60_est. MEAT" xfId="24118" xr:uid="{00000000-0005-0000-0000-00003B3D0000}"/>
    <cellStyle name="Ergebnis 61" xfId="7903" xr:uid="{00000000-0005-0000-0000-00003C3D0000}"/>
    <cellStyle name="Ergebnis 61 2" xfId="17319" xr:uid="{00000000-0005-0000-0000-00003D3D0000}"/>
    <cellStyle name="Ergebnis 61_est. MEAT" xfId="24119" xr:uid="{00000000-0005-0000-0000-00003E3D0000}"/>
    <cellStyle name="Ergebnis 62" xfId="7904" xr:uid="{00000000-0005-0000-0000-00003F3D0000}"/>
    <cellStyle name="Ergebnis 62 2" xfId="17320" xr:uid="{00000000-0005-0000-0000-0000403D0000}"/>
    <cellStyle name="Ergebnis 62_est. MEAT" xfId="24120" xr:uid="{00000000-0005-0000-0000-0000413D0000}"/>
    <cellStyle name="Ergebnis 63" xfId="7905" xr:uid="{00000000-0005-0000-0000-0000423D0000}"/>
    <cellStyle name="Ergebnis 63 2" xfId="17321" xr:uid="{00000000-0005-0000-0000-0000433D0000}"/>
    <cellStyle name="Ergebnis 63_est. MEAT" xfId="24121" xr:uid="{00000000-0005-0000-0000-0000443D0000}"/>
    <cellStyle name="Ergebnis 64" xfId="7906" xr:uid="{00000000-0005-0000-0000-0000453D0000}"/>
    <cellStyle name="Ergebnis 64 2" xfId="17322" xr:uid="{00000000-0005-0000-0000-0000463D0000}"/>
    <cellStyle name="Ergebnis 64_est. MEAT" xfId="24122" xr:uid="{00000000-0005-0000-0000-0000473D0000}"/>
    <cellStyle name="Ergebnis 65" xfId="7907" xr:uid="{00000000-0005-0000-0000-0000483D0000}"/>
    <cellStyle name="Ergebnis 65 2" xfId="17323" xr:uid="{00000000-0005-0000-0000-0000493D0000}"/>
    <cellStyle name="Ergebnis 65_est. MEAT" xfId="24123" xr:uid="{00000000-0005-0000-0000-00004A3D0000}"/>
    <cellStyle name="Ergebnis 66" xfId="7908" xr:uid="{00000000-0005-0000-0000-00004B3D0000}"/>
    <cellStyle name="Ergebnis 66 2" xfId="17324" xr:uid="{00000000-0005-0000-0000-00004C3D0000}"/>
    <cellStyle name="Ergebnis 66_est. MEAT" xfId="24124" xr:uid="{00000000-0005-0000-0000-00004D3D0000}"/>
    <cellStyle name="Ergebnis 67" xfId="7909" xr:uid="{00000000-0005-0000-0000-00004E3D0000}"/>
    <cellStyle name="Ergebnis 67 2" xfId="17325" xr:uid="{00000000-0005-0000-0000-00004F3D0000}"/>
    <cellStyle name="Ergebnis 67_est. MEAT" xfId="24125" xr:uid="{00000000-0005-0000-0000-0000503D0000}"/>
    <cellStyle name="Ergebnis 68" xfId="7910" xr:uid="{00000000-0005-0000-0000-0000513D0000}"/>
    <cellStyle name="Ergebnis 68 2" xfId="17326" xr:uid="{00000000-0005-0000-0000-0000523D0000}"/>
    <cellStyle name="Ergebnis 68_est. MEAT" xfId="24126" xr:uid="{00000000-0005-0000-0000-0000533D0000}"/>
    <cellStyle name="Ergebnis 69" xfId="7911" xr:uid="{00000000-0005-0000-0000-0000543D0000}"/>
    <cellStyle name="Ergebnis 69 2" xfId="17327" xr:uid="{00000000-0005-0000-0000-0000553D0000}"/>
    <cellStyle name="Ergebnis 69_est. MEAT" xfId="24127" xr:uid="{00000000-0005-0000-0000-0000563D0000}"/>
    <cellStyle name="Ergebnis 7" xfId="7912" xr:uid="{00000000-0005-0000-0000-0000573D0000}"/>
    <cellStyle name="Ergebnis 7 2" xfId="7913" xr:uid="{00000000-0005-0000-0000-0000583D0000}"/>
    <cellStyle name="Ergebnis 7 2 2" xfId="17329" xr:uid="{00000000-0005-0000-0000-0000593D0000}"/>
    <cellStyle name="Ergebnis 7 2_est. MEAT" xfId="24128" xr:uid="{00000000-0005-0000-0000-00005A3D0000}"/>
    <cellStyle name="Ergebnis 7 3" xfId="17328" xr:uid="{00000000-0005-0000-0000-00005B3D0000}"/>
    <cellStyle name="Ergebnis 7_2012-2019" xfId="12463" xr:uid="{00000000-0005-0000-0000-00005C3D0000}"/>
    <cellStyle name="Ergebnis 70" xfId="7914" xr:uid="{00000000-0005-0000-0000-00005D3D0000}"/>
    <cellStyle name="Ergebnis 70 2" xfId="17330" xr:uid="{00000000-0005-0000-0000-00005E3D0000}"/>
    <cellStyle name="Ergebnis 70_est. MEAT" xfId="24129" xr:uid="{00000000-0005-0000-0000-00005F3D0000}"/>
    <cellStyle name="Ergebnis 71" xfId="7915" xr:uid="{00000000-0005-0000-0000-0000603D0000}"/>
    <cellStyle name="Ergebnis 71 2" xfId="17331" xr:uid="{00000000-0005-0000-0000-0000613D0000}"/>
    <cellStyle name="Ergebnis 71_est. MEAT" xfId="24130" xr:uid="{00000000-0005-0000-0000-0000623D0000}"/>
    <cellStyle name="Ergebnis 72" xfId="7916" xr:uid="{00000000-0005-0000-0000-0000633D0000}"/>
    <cellStyle name="Ergebnis 72 2" xfId="17332" xr:uid="{00000000-0005-0000-0000-0000643D0000}"/>
    <cellStyle name="Ergebnis 72_est. MEAT" xfId="24131" xr:uid="{00000000-0005-0000-0000-0000653D0000}"/>
    <cellStyle name="Ergebnis 73" xfId="7917" xr:uid="{00000000-0005-0000-0000-0000663D0000}"/>
    <cellStyle name="Ergebnis 73 2" xfId="17333" xr:uid="{00000000-0005-0000-0000-0000673D0000}"/>
    <cellStyle name="Ergebnis 73_est. MEAT" xfId="24132" xr:uid="{00000000-0005-0000-0000-0000683D0000}"/>
    <cellStyle name="Ergebnis 74" xfId="7918" xr:uid="{00000000-0005-0000-0000-0000693D0000}"/>
    <cellStyle name="Ergebnis 74 2" xfId="17334" xr:uid="{00000000-0005-0000-0000-00006A3D0000}"/>
    <cellStyle name="Ergebnis 74_est. MEAT" xfId="24133" xr:uid="{00000000-0005-0000-0000-00006B3D0000}"/>
    <cellStyle name="Ergebnis 75" xfId="7919" xr:uid="{00000000-0005-0000-0000-00006C3D0000}"/>
    <cellStyle name="Ergebnis 75 2" xfId="17335" xr:uid="{00000000-0005-0000-0000-00006D3D0000}"/>
    <cellStyle name="Ergebnis 75_est. MEAT" xfId="24134" xr:uid="{00000000-0005-0000-0000-00006E3D0000}"/>
    <cellStyle name="Ergebnis 76" xfId="7920" xr:uid="{00000000-0005-0000-0000-00006F3D0000}"/>
    <cellStyle name="Ergebnis 76 2" xfId="17336" xr:uid="{00000000-0005-0000-0000-0000703D0000}"/>
    <cellStyle name="Ergebnis 76_est. MEAT" xfId="24135" xr:uid="{00000000-0005-0000-0000-0000713D0000}"/>
    <cellStyle name="Ergebnis 77" xfId="7921" xr:uid="{00000000-0005-0000-0000-0000723D0000}"/>
    <cellStyle name="Ergebnis 77 2" xfId="17337" xr:uid="{00000000-0005-0000-0000-0000733D0000}"/>
    <cellStyle name="Ergebnis 77_est. MEAT" xfId="24136" xr:uid="{00000000-0005-0000-0000-0000743D0000}"/>
    <cellStyle name="Ergebnis 78" xfId="7922" xr:uid="{00000000-0005-0000-0000-0000753D0000}"/>
    <cellStyle name="Ergebnis 78 2" xfId="17338" xr:uid="{00000000-0005-0000-0000-0000763D0000}"/>
    <cellStyle name="Ergebnis 78_est. MEAT" xfId="24137" xr:uid="{00000000-0005-0000-0000-0000773D0000}"/>
    <cellStyle name="Ergebnis 79" xfId="7923" xr:uid="{00000000-0005-0000-0000-0000783D0000}"/>
    <cellStyle name="Ergebnis 79 2" xfId="17339" xr:uid="{00000000-0005-0000-0000-0000793D0000}"/>
    <cellStyle name="Ergebnis 79_est. MEAT" xfId="24138" xr:uid="{00000000-0005-0000-0000-00007A3D0000}"/>
    <cellStyle name="Ergebnis 8" xfId="7924" xr:uid="{00000000-0005-0000-0000-00007B3D0000}"/>
    <cellStyle name="Ergebnis 8 2" xfId="7925" xr:uid="{00000000-0005-0000-0000-00007C3D0000}"/>
    <cellStyle name="Ergebnis 8 2 2" xfId="17341" xr:uid="{00000000-0005-0000-0000-00007D3D0000}"/>
    <cellStyle name="Ergebnis 8 2_est. MEAT" xfId="24139" xr:uid="{00000000-0005-0000-0000-00007E3D0000}"/>
    <cellStyle name="Ergebnis 8 3" xfId="17340" xr:uid="{00000000-0005-0000-0000-00007F3D0000}"/>
    <cellStyle name="Ergebnis 8_2012-2019" xfId="12464" xr:uid="{00000000-0005-0000-0000-0000803D0000}"/>
    <cellStyle name="Ergebnis 80" xfId="7926" xr:uid="{00000000-0005-0000-0000-0000813D0000}"/>
    <cellStyle name="Ergebnis 80 2" xfId="17342" xr:uid="{00000000-0005-0000-0000-0000823D0000}"/>
    <cellStyle name="Ergebnis 80_est. MEAT" xfId="24140" xr:uid="{00000000-0005-0000-0000-0000833D0000}"/>
    <cellStyle name="Ergebnis 81" xfId="7927" xr:uid="{00000000-0005-0000-0000-0000843D0000}"/>
    <cellStyle name="Ergebnis 81 2" xfId="17343" xr:uid="{00000000-0005-0000-0000-0000853D0000}"/>
    <cellStyle name="Ergebnis 81_est. MEAT" xfId="24141" xr:uid="{00000000-0005-0000-0000-0000863D0000}"/>
    <cellStyle name="Ergebnis 82" xfId="7928" xr:uid="{00000000-0005-0000-0000-0000873D0000}"/>
    <cellStyle name="Ergebnis 82 2" xfId="17344" xr:uid="{00000000-0005-0000-0000-0000883D0000}"/>
    <cellStyle name="Ergebnis 82_est. MEAT" xfId="24142" xr:uid="{00000000-0005-0000-0000-0000893D0000}"/>
    <cellStyle name="Ergebnis 83" xfId="7929" xr:uid="{00000000-0005-0000-0000-00008A3D0000}"/>
    <cellStyle name="Ergebnis 83 2" xfId="17345" xr:uid="{00000000-0005-0000-0000-00008B3D0000}"/>
    <cellStyle name="Ergebnis 83_est. MEAT" xfId="24143" xr:uid="{00000000-0005-0000-0000-00008C3D0000}"/>
    <cellStyle name="Ergebnis 84" xfId="7930" xr:uid="{00000000-0005-0000-0000-00008D3D0000}"/>
    <cellStyle name="Ergebnis 84 2" xfId="17346" xr:uid="{00000000-0005-0000-0000-00008E3D0000}"/>
    <cellStyle name="Ergebnis 84_est. MEAT" xfId="24144" xr:uid="{00000000-0005-0000-0000-00008F3D0000}"/>
    <cellStyle name="Ergebnis 85" xfId="7931" xr:uid="{00000000-0005-0000-0000-0000903D0000}"/>
    <cellStyle name="Ergebnis 85 2" xfId="17347" xr:uid="{00000000-0005-0000-0000-0000913D0000}"/>
    <cellStyle name="Ergebnis 85_est. MEAT" xfId="24145" xr:uid="{00000000-0005-0000-0000-0000923D0000}"/>
    <cellStyle name="Ergebnis 86" xfId="7932" xr:uid="{00000000-0005-0000-0000-0000933D0000}"/>
    <cellStyle name="Ergebnis 86 2" xfId="17348" xr:uid="{00000000-0005-0000-0000-0000943D0000}"/>
    <cellStyle name="Ergebnis 86_est. MEAT" xfId="24146" xr:uid="{00000000-0005-0000-0000-0000953D0000}"/>
    <cellStyle name="Ergebnis 87" xfId="7933" xr:uid="{00000000-0005-0000-0000-0000963D0000}"/>
    <cellStyle name="Ergebnis 87 2" xfId="17349" xr:uid="{00000000-0005-0000-0000-0000973D0000}"/>
    <cellStyle name="Ergebnis 87_est. MEAT" xfId="24147" xr:uid="{00000000-0005-0000-0000-0000983D0000}"/>
    <cellStyle name="Ergebnis 88" xfId="7934" xr:uid="{00000000-0005-0000-0000-0000993D0000}"/>
    <cellStyle name="Ergebnis 88 2" xfId="17350" xr:uid="{00000000-0005-0000-0000-00009A3D0000}"/>
    <cellStyle name="Ergebnis 88_est. MEAT" xfId="24148" xr:uid="{00000000-0005-0000-0000-00009B3D0000}"/>
    <cellStyle name="Ergebnis 89" xfId="7935" xr:uid="{00000000-0005-0000-0000-00009C3D0000}"/>
    <cellStyle name="Ergebnis 89 2" xfId="17351" xr:uid="{00000000-0005-0000-0000-00009D3D0000}"/>
    <cellStyle name="Ergebnis 89_est. MEAT" xfId="24149" xr:uid="{00000000-0005-0000-0000-00009E3D0000}"/>
    <cellStyle name="Ergebnis 9" xfId="7936" xr:uid="{00000000-0005-0000-0000-00009F3D0000}"/>
    <cellStyle name="Ergebnis 9 2" xfId="7937" xr:uid="{00000000-0005-0000-0000-0000A03D0000}"/>
    <cellStyle name="Ergebnis 9 2 2" xfId="17353" xr:uid="{00000000-0005-0000-0000-0000A13D0000}"/>
    <cellStyle name="Ergebnis 9 2_est. MEAT" xfId="24150" xr:uid="{00000000-0005-0000-0000-0000A23D0000}"/>
    <cellStyle name="Ergebnis 9 3" xfId="17352" xr:uid="{00000000-0005-0000-0000-0000A33D0000}"/>
    <cellStyle name="Ergebnis 9_2012-2019" xfId="12465" xr:uid="{00000000-0005-0000-0000-0000A43D0000}"/>
    <cellStyle name="Ergebnis 90" xfId="7938" xr:uid="{00000000-0005-0000-0000-0000A53D0000}"/>
    <cellStyle name="Ergebnis 90 2" xfId="17354" xr:uid="{00000000-0005-0000-0000-0000A63D0000}"/>
    <cellStyle name="Ergebnis 90_est. MEAT" xfId="24151" xr:uid="{00000000-0005-0000-0000-0000A73D0000}"/>
    <cellStyle name="Ergebnis 91" xfId="7939" xr:uid="{00000000-0005-0000-0000-0000A83D0000}"/>
    <cellStyle name="Ergebnis 91 2" xfId="17355" xr:uid="{00000000-0005-0000-0000-0000A93D0000}"/>
    <cellStyle name="Ergebnis 91_est. MEAT" xfId="24152" xr:uid="{00000000-0005-0000-0000-0000AA3D0000}"/>
    <cellStyle name="Ergebnis 92" xfId="7940" xr:uid="{00000000-0005-0000-0000-0000AB3D0000}"/>
    <cellStyle name="Ergebnis 92 2" xfId="17356" xr:uid="{00000000-0005-0000-0000-0000AC3D0000}"/>
    <cellStyle name="Ergebnis 92_est. MEAT" xfId="24153" xr:uid="{00000000-0005-0000-0000-0000AD3D0000}"/>
    <cellStyle name="Ergebnis 93" xfId="7941" xr:uid="{00000000-0005-0000-0000-0000AE3D0000}"/>
    <cellStyle name="Ergebnis 93 2" xfId="17357" xr:uid="{00000000-0005-0000-0000-0000AF3D0000}"/>
    <cellStyle name="Ergebnis 93_est. MEAT" xfId="24154" xr:uid="{00000000-0005-0000-0000-0000B03D0000}"/>
    <cellStyle name="Ergebnis 94" xfId="7942" xr:uid="{00000000-0005-0000-0000-0000B13D0000}"/>
    <cellStyle name="Ergebnis 94 2" xfId="17358" xr:uid="{00000000-0005-0000-0000-0000B23D0000}"/>
    <cellStyle name="Ergebnis 94_est. MEAT" xfId="24155" xr:uid="{00000000-0005-0000-0000-0000B33D0000}"/>
    <cellStyle name="Ergebnis 95" xfId="7943" xr:uid="{00000000-0005-0000-0000-0000B43D0000}"/>
    <cellStyle name="Ergebnis 95 2" xfId="17359" xr:uid="{00000000-0005-0000-0000-0000B53D0000}"/>
    <cellStyle name="Ergebnis 95_est. MEAT" xfId="24156" xr:uid="{00000000-0005-0000-0000-0000B63D0000}"/>
    <cellStyle name="Ergebnis 96" xfId="7944" xr:uid="{00000000-0005-0000-0000-0000B73D0000}"/>
    <cellStyle name="Ergebnis 96 2" xfId="17360" xr:uid="{00000000-0005-0000-0000-0000B83D0000}"/>
    <cellStyle name="Ergebnis 96_est. MEAT" xfId="24157" xr:uid="{00000000-0005-0000-0000-0000B93D0000}"/>
    <cellStyle name="Ergebnis 97" xfId="7945" xr:uid="{00000000-0005-0000-0000-0000BA3D0000}"/>
    <cellStyle name="Ergebnis 97 2" xfId="17361" xr:uid="{00000000-0005-0000-0000-0000BB3D0000}"/>
    <cellStyle name="Ergebnis 97_est. MEAT" xfId="24158" xr:uid="{00000000-0005-0000-0000-0000BC3D0000}"/>
    <cellStyle name="Ergebnis 98" xfId="7946" xr:uid="{00000000-0005-0000-0000-0000BD3D0000}"/>
    <cellStyle name="Ergebnis 98 2" xfId="17362" xr:uid="{00000000-0005-0000-0000-0000BE3D0000}"/>
    <cellStyle name="Ergebnis 98_est. MEAT" xfId="24159" xr:uid="{00000000-0005-0000-0000-0000BF3D0000}"/>
    <cellStyle name="Ergebnis 99" xfId="7947" xr:uid="{00000000-0005-0000-0000-0000C03D0000}"/>
    <cellStyle name="Ergebnis 99 2" xfId="17363" xr:uid="{00000000-0005-0000-0000-0000C13D0000}"/>
    <cellStyle name="Ergebnis 99_est. MEAT" xfId="24160" xr:uid="{00000000-0005-0000-0000-0000C23D0000}"/>
    <cellStyle name="Ergebnis_2012-2019" xfId="12452" xr:uid="{00000000-0005-0000-0000-0000C33D0000}"/>
    <cellStyle name="Erklärender Text" xfId="7948" xr:uid="{00000000-0005-0000-0000-0000C43D0000}"/>
    <cellStyle name="Erklärender Text 10" xfId="7949" xr:uid="{00000000-0005-0000-0000-0000C53D0000}"/>
    <cellStyle name="Erklärender Text 10 2" xfId="17365" xr:uid="{00000000-0005-0000-0000-0000C63D0000}"/>
    <cellStyle name="Erklärender Text 10_est. MEAT" xfId="24161" xr:uid="{00000000-0005-0000-0000-0000C73D0000}"/>
    <cellStyle name="Erklärender Text 100" xfId="7950" xr:uid="{00000000-0005-0000-0000-0000C83D0000}"/>
    <cellStyle name="Erklärender Text 100 2" xfId="17366" xr:uid="{00000000-0005-0000-0000-0000C93D0000}"/>
    <cellStyle name="Erklärender Text 100_est. MEAT" xfId="24162" xr:uid="{00000000-0005-0000-0000-0000CA3D0000}"/>
    <cellStyle name="Erklärender Text 101" xfId="7951" xr:uid="{00000000-0005-0000-0000-0000CB3D0000}"/>
    <cellStyle name="Erklärender Text 101 2" xfId="17367" xr:uid="{00000000-0005-0000-0000-0000CC3D0000}"/>
    <cellStyle name="Erklärender Text 101_est. MEAT" xfId="24163" xr:uid="{00000000-0005-0000-0000-0000CD3D0000}"/>
    <cellStyle name="Erklärender Text 102" xfId="7952" xr:uid="{00000000-0005-0000-0000-0000CE3D0000}"/>
    <cellStyle name="Erklärender Text 102 2" xfId="17368" xr:uid="{00000000-0005-0000-0000-0000CF3D0000}"/>
    <cellStyle name="Erklärender Text 102_est. MEAT" xfId="24164" xr:uid="{00000000-0005-0000-0000-0000D03D0000}"/>
    <cellStyle name="Erklärender Text 103" xfId="7953" xr:uid="{00000000-0005-0000-0000-0000D13D0000}"/>
    <cellStyle name="Erklärender Text 103 2" xfId="17369" xr:uid="{00000000-0005-0000-0000-0000D23D0000}"/>
    <cellStyle name="Erklärender Text 103_est. MEAT" xfId="24165" xr:uid="{00000000-0005-0000-0000-0000D33D0000}"/>
    <cellStyle name="Erklärender Text 104" xfId="7954" xr:uid="{00000000-0005-0000-0000-0000D43D0000}"/>
    <cellStyle name="Erklärender Text 104 2" xfId="17370" xr:uid="{00000000-0005-0000-0000-0000D53D0000}"/>
    <cellStyle name="Erklärender Text 104_est. MEAT" xfId="24166" xr:uid="{00000000-0005-0000-0000-0000D63D0000}"/>
    <cellStyle name="Erklärender Text 105" xfId="7955" xr:uid="{00000000-0005-0000-0000-0000D73D0000}"/>
    <cellStyle name="Erklärender Text 105 2" xfId="17371" xr:uid="{00000000-0005-0000-0000-0000D83D0000}"/>
    <cellStyle name="Erklärender Text 105_est. MEAT" xfId="24167" xr:uid="{00000000-0005-0000-0000-0000D93D0000}"/>
    <cellStyle name="Erklärender Text 106" xfId="7956" xr:uid="{00000000-0005-0000-0000-0000DA3D0000}"/>
    <cellStyle name="Erklärender Text 106 2" xfId="17372" xr:uid="{00000000-0005-0000-0000-0000DB3D0000}"/>
    <cellStyle name="Erklärender Text 106_est. MEAT" xfId="24168" xr:uid="{00000000-0005-0000-0000-0000DC3D0000}"/>
    <cellStyle name="Erklärender Text 107" xfId="7957" xr:uid="{00000000-0005-0000-0000-0000DD3D0000}"/>
    <cellStyle name="Erklärender Text 107 2" xfId="17373" xr:uid="{00000000-0005-0000-0000-0000DE3D0000}"/>
    <cellStyle name="Erklärender Text 107_est. MEAT" xfId="24169" xr:uid="{00000000-0005-0000-0000-0000DF3D0000}"/>
    <cellStyle name="Erklärender Text 108" xfId="17364" xr:uid="{00000000-0005-0000-0000-0000E03D0000}"/>
    <cellStyle name="Erklärender Text 11" xfId="7958" xr:uid="{00000000-0005-0000-0000-0000E13D0000}"/>
    <cellStyle name="Erklärender Text 11 2" xfId="17374" xr:uid="{00000000-0005-0000-0000-0000E23D0000}"/>
    <cellStyle name="Erklärender Text 11_est. MEAT" xfId="24170" xr:uid="{00000000-0005-0000-0000-0000E33D0000}"/>
    <cellStyle name="Erklärender Text 12" xfId="7959" xr:uid="{00000000-0005-0000-0000-0000E43D0000}"/>
    <cellStyle name="Erklärender Text 12 2" xfId="17375" xr:uid="{00000000-0005-0000-0000-0000E53D0000}"/>
    <cellStyle name="Erklärender Text 12_est. MEAT" xfId="24171" xr:uid="{00000000-0005-0000-0000-0000E63D0000}"/>
    <cellStyle name="Erklärender Text 13" xfId="7960" xr:uid="{00000000-0005-0000-0000-0000E73D0000}"/>
    <cellStyle name="Erklärender Text 13 2" xfId="17376" xr:uid="{00000000-0005-0000-0000-0000E83D0000}"/>
    <cellStyle name="Erklärender Text 13_est. MEAT" xfId="24172" xr:uid="{00000000-0005-0000-0000-0000E93D0000}"/>
    <cellStyle name="Erklärender Text 14" xfId="7961" xr:uid="{00000000-0005-0000-0000-0000EA3D0000}"/>
    <cellStyle name="Erklärender Text 14 2" xfId="17377" xr:uid="{00000000-0005-0000-0000-0000EB3D0000}"/>
    <cellStyle name="Erklärender Text 14_est. MEAT" xfId="24173" xr:uid="{00000000-0005-0000-0000-0000EC3D0000}"/>
    <cellStyle name="Erklärender Text 15" xfId="7962" xr:uid="{00000000-0005-0000-0000-0000ED3D0000}"/>
    <cellStyle name="Erklärender Text 15 2" xfId="17378" xr:uid="{00000000-0005-0000-0000-0000EE3D0000}"/>
    <cellStyle name="Erklärender Text 15_est. MEAT" xfId="24174" xr:uid="{00000000-0005-0000-0000-0000EF3D0000}"/>
    <cellStyle name="Erklärender Text 16" xfId="7963" xr:uid="{00000000-0005-0000-0000-0000F03D0000}"/>
    <cellStyle name="Erklärender Text 16 2" xfId="17379" xr:uid="{00000000-0005-0000-0000-0000F13D0000}"/>
    <cellStyle name="Erklärender Text 16_est. MEAT" xfId="24175" xr:uid="{00000000-0005-0000-0000-0000F23D0000}"/>
    <cellStyle name="Erklärender Text 17" xfId="7964" xr:uid="{00000000-0005-0000-0000-0000F33D0000}"/>
    <cellStyle name="Erklärender Text 17 2" xfId="17380" xr:uid="{00000000-0005-0000-0000-0000F43D0000}"/>
    <cellStyle name="Erklärender Text 17_est. MEAT" xfId="24176" xr:uid="{00000000-0005-0000-0000-0000F53D0000}"/>
    <cellStyle name="Erklärender Text 18" xfId="7965" xr:uid="{00000000-0005-0000-0000-0000F63D0000}"/>
    <cellStyle name="Erklärender Text 18 2" xfId="17381" xr:uid="{00000000-0005-0000-0000-0000F73D0000}"/>
    <cellStyle name="Erklärender Text 18_est. MEAT" xfId="24177" xr:uid="{00000000-0005-0000-0000-0000F83D0000}"/>
    <cellStyle name="Erklärender Text 19" xfId="7966" xr:uid="{00000000-0005-0000-0000-0000F93D0000}"/>
    <cellStyle name="Erklärender Text 19 2" xfId="17382" xr:uid="{00000000-0005-0000-0000-0000FA3D0000}"/>
    <cellStyle name="Erklärender Text 19_est. MEAT" xfId="24178" xr:uid="{00000000-0005-0000-0000-0000FB3D0000}"/>
    <cellStyle name="Erklärender Text 2" xfId="7967" xr:uid="{00000000-0005-0000-0000-0000FC3D0000}"/>
    <cellStyle name="Erklärender Text 2 2" xfId="17383" xr:uid="{00000000-0005-0000-0000-0000FD3D0000}"/>
    <cellStyle name="Erklärender Text 2_est. MEAT" xfId="24179" xr:uid="{00000000-0005-0000-0000-0000FE3D0000}"/>
    <cellStyle name="Erklärender Text 20" xfId="7968" xr:uid="{00000000-0005-0000-0000-0000FF3D0000}"/>
    <cellStyle name="Erklärender Text 20 2" xfId="17384" xr:uid="{00000000-0005-0000-0000-0000003E0000}"/>
    <cellStyle name="Erklärender Text 20_est. MEAT" xfId="24180" xr:uid="{00000000-0005-0000-0000-0000013E0000}"/>
    <cellStyle name="Erklärender Text 21" xfId="7969" xr:uid="{00000000-0005-0000-0000-0000023E0000}"/>
    <cellStyle name="Erklärender Text 21 2" xfId="17385" xr:uid="{00000000-0005-0000-0000-0000033E0000}"/>
    <cellStyle name="Erklärender Text 21_est. MEAT" xfId="24181" xr:uid="{00000000-0005-0000-0000-0000043E0000}"/>
    <cellStyle name="Erklärender Text 22" xfId="7970" xr:uid="{00000000-0005-0000-0000-0000053E0000}"/>
    <cellStyle name="Erklärender Text 22 2" xfId="17386" xr:uid="{00000000-0005-0000-0000-0000063E0000}"/>
    <cellStyle name="Erklärender Text 22_est. MEAT" xfId="24182" xr:uid="{00000000-0005-0000-0000-0000073E0000}"/>
    <cellStyle name="Erklärender Text 23" xfId="7971" xr:uid="{00000000-0005-0000-0000-0000083E0000}"/>
    <cellStyle name="Erklärender Text 23 2" xfId="17387" xr:uid="{00000000-0005-0000-0000-0000093E0000}"/>
    <cellStyle name="Erklärender Text 23_est. MEAT" xfId="24183" xr:uid="{00000000-0005-0000-0000-00000A3E0000}"/>
    <cellStyle name="Erklärender Text 24" xfId="7972" xr:uid="{00000000-0005-0000-0000-00000B3E0000}"/>
    <cellStyle name="Erklärender Text 24 2" xfId="17388" xr:uid="{00000000-0005-0000-0000-00000C3E0000}"/>
    <cellStyle name="Erklärender Text 24_est. MEAT" xfId="24184" xr:uid="{00000000-0005-0000-0000-00000D3E0000}"/>
    <cellStyle name="Erklärender Text 25" xfId="7973" xr:uid="{00000000-0005-0000-0000-00000E3E0000}"/>
    <cellStyle name="Erklärender Text 25 2" xfId="17389" xr:uid="{00000000-0005-0000-0000-00000F3E0000}"/>
    <cellStyle name="Erklärender Text 25_est. MEAT" xfId="24185" xr:uid="{00000000-0005-0000-0000-0000103E0000}"/>
    <cellStyle name="Erklärender Text 26" xfId="7974" xr:uid="{00000000-0005-0000-0000-0000113E0000}"/>
    <cellStyle name="Erklärender Text 26 2" xfId="17390" xr:uid="{00000000-0005-0000-0000-0000123E0000}"/>
    <cellStyle name="Erklärender Text 26_est. MEAT" xfId="24186" xr:uid="{00000000-0005-0000-0000-0000133E0000}"/>
    <cellStyle name="Erklärender Text 27" xfId="7975" xr:uid="{00000000-0005-0000-0000-0000143E0000}"/>
    <cellStyle name="Erklärender Text 27 2" xfId="17391" xr:uid="{00000000-0005-0000-0000-0000153E0000}"/>
    <cellStyle name="Erklärender Text 27_est. MEAT" xfId="24187" xr:uid="{00000000-0005-0000-0000-0000163E0000}"/>
    <cellStyle name="Erklärender Text 28" xfId="7976" xr:uid="{00000000-0005-0000-0000-0000173E0000}"/>
    <cellStyle name="Erklärender Text 28 2" xfId="17392" xr:uid="{00000000-0005-0000-0000-0000183E0000}"/>
    <cellStyle name="Erklärender Text 28_est. MEAT" xfId="24188" xr:uid="{00000000-0005-0000-0000-0000193E0000}"/>
    <cellStyle name="Erklärender Text 29" xfId="7977" xr:uid="{00000000-0005-0000-0000-00001A3E0000}"/>
    <cellStyle name="Erklärender Text 29 2" xfId="17393" xr:uid="{00000000-0005-0000-0000-00001B3E0000}"/>
    <cellStyle name="Erklärender Text 29_est. MEAT" xfId="24189" xr:uid="{00000000-0005-0000-0000-00001C3E0000}"/>
    <cellStyle name="Erklärender Text 3" xfId="7978" xr:uid="{00000000-0005-0000-0000-00001D3E0000}"/>
    <cellStyle name="Erklärender Text 3 2" xfId="17394" xr:uid="{00000000-0005-0000-0000-00001E3E0000}"/>
    <cellStyle name="Erklärender Text 3_est. MEAT" xfId="24190" xr:uid="{00000000-0005-0000-0000-00001F3E0000}"/>
    <cellStyle name="Erklärender Text 30" xfId="7979" xr:uid="{00000000-0005-0000-0000-0000203E0000}"/>
    <cellStyle name="Erklärender Text 30 2" xfId="17395" xr:uid="{00000000-0005-0000-0000-0000213E0000}"/>
    <cellStyle name="Erklärender Text 30_est. MEAT" xfId="24191" xr:uid="{00000000-0005-0000-0000-0000223E0000}"/>
    <cellStyle name="Erklärender Text 31" xfId="7980" xr:uid="{00000000-0005-0000-0000-0000233E0000}"/>
    <cellStyle name="Erklärender Text 31 2" xfId="17396" xr:uid="{00000000-0005-0000-0000-0000243E0000}"/>
    <cellStyle name="Erklärender Text 31_est. MEAT" xfId="24192" xr:uid="{00000000-0005-0000-0000-0000253E0000}"/>
    <cellStyle name="Erklärender Text 32" xfId="7981" xr:uid="{00000000-0005-0000-0000-0000263E0000}"/>
    <cellStyle name="Erklärender Text 32 2" xfId="17397" xr:uid="{00000000-0005-0000-0000-0000273E0000}"/>
    <cellStyle name="Erklärender Text 32_est. MEAT" xfId="24193" xr:uid="{00000000-0005-0000-0000-0000283E0000}"/>
    <cellStyle name="Erklärender Text 33" xfId="7982" xr:uid="{00000000-0005-0000-0000-0000293E0000}"/>
    <cellStyle name="Erklärender Text 33 2" xfId="17398" xr:uid="{00000000-0005-0000-0000-00002A3E0000}"/>
    <cellStyle name="Erklärender Text 33_est. MEAT" xfId="24194" xr:uid="{00000000-0005-0000-0000-00002B3E0000}"/>
    <cellStyle name="Erklärender Text 34" xfId="7983" xr:uid="{00000000-0005-0000-0000-00002C3E0000}"/>
    <cellStyle name="Erklärender Text 34 2" xfId="17399" xr:uid="{00000000-0005-0000-0000-00002D3E0000}"/>
    <cellStyle name="Erklärender Text 34_est. MEAT" xfId="24195" xr:uid="{00000000-0005-0000-0000-00002E3E0000}"/>
    <cellStyle name="Erklärender Text 35" xfId="7984" xr:uid="{00000000-0005-0000-0000-00002F3E0000}"/>
    <cellStyle name="Erklärender Text 35 2" xfId="17400" xr:uid="{00000000-0005-0000-0000-0000303E0000}"/>
    <cellStyle name="Erklärender Text 35_est. MEAT" xfId="24196" xr:uid="{00000000-0005-0000-0000-0000313E0000}"/>
    <cellStyle name="Erklärender Text 36" xfId="7985" xr:uid="{00000000-0005-0000-0000-0000323E0000}"/>
    <cellStyle name="Erklärender Text 36 2" xfId="17401" xr:uid="{00000000-0005-0000-0000-0000333E0000}"/>
    <cellStyle name="Erklärender Text 36_est. MEAT" xfId="24197" xr:uid="{00000000-0005-0000-0000-0000343E0000}"/>
    <cellStyle name="Erklärender Text 37" xfId="7986" xr:uid="{00000000-0005-0000-0000-0000353E0000}"/>
    <cellStyle name="Erklärender Text 37 2" xfId="17402" xr:uid="{00000000-0005-0000-0000-0000363E0000}"/>
    <cellStyle name="Erklärender Text 37_est. MEAT" xfId="24198" xr:uid="{00000000-0005-0000-0000-0000373E0000}"/>
    <cellStyle name="Erklärender Text 38" xfId="7987" xr:uid="{00000000-0005-0000-0000-0000383E0000}"/>
    <cellStyle name="Erklärender Text 38 2" xfId="17403" xr:uid="{00000000-0005-0000-0000-0000393E0000}"/>
    <cellStyle name="Erklärender Text 38_est. MEAT" xfId="24199" xr:uid="{00000000-0005-0000-0000-00003A3E0000}"/>
    <cellStyle name="Erklärender Text 39" xfId="7988" xr:uid="{00000000-0005-0000-0000-00003B3E0000}"/>
    <cellStyle name="Erklärender Text 39 2" xfId="17404" xr:uid="{00000000-0005-0000-0000-00003C3E0000}"/>
    <cellStyle name="Erklärender Text 39_est. MEAT" xfId="24200" xr:uid="{00000000-0005-0000-0000-00003D3E0000}"/>
    <cellStyle name="Erklärender Text 4" xfId="7989" xr:uid="{00000000-0005-0000-0000-00003E3E0000}"/>
    <cellStyle name="Erklärender Text 4 2" xfId="17405" xr:uid="{00000000-0005-0000-0000-00003F3E0000}"/>
    <cellStyle name="Erklärender Text 4_est. MEAT" xfId="24201" xr:uid="{00000000-0005-0000-0000-0000403E0000}"/>
    <cellStyle name="Erklärender Text 40" xfId="7990" xr:uid="{00000000-0005-0000-0000-0000413E0000}"/>
    <cellStyle name="Erklärender Text 40 2" xfId="17406" xr:uid="{00000000-0005-0000-0000-0000423E0000}"/>
    <cellStyle name="Erklärender Text 40_est. MEAT" xfId="24202" xr:uid="{00000000-0005-0000-0000-0000433E0000}"/>
    <cellStyle name="Erklärender Text 41" xfId="7991" xr:uid="{00000000-0005-0000-0000-0000443E0000}"/>
    <cellStyle name="Erklärender Text 41 2" xfId="17407" xr:uid="{00000000-0005-0000-0000-0000453E0000}"/>
    <cellStyle name="Erklärender Text 41_est. MEAT" xfId="24203" xr:uid="{00000000-0005-0000-0000-0000463E0000}"/>
    <cellStyle name="Erklärender Text 42" xfId="7992" xr:uid="{00000000-0005-0000-0000-0000473E0000}"/>
    <cellStyle name="Erklärender Text 42 2" xfId="17408" xr:uid="{00000000-0005-0000-0000-0000483E0000}"/>
    <cellStyle name="Erklärender Text 42_est. MEAT" xfId="24204" xr:uid="{00000000-0005-0000-0000-0000493E0000}"/>
    <cellStyle name="Erklärender Text 43" xfId="7993" xr:uid="{00000000-0005-0000-0000-00004A3E0000}"/>
    <cellStyle name="Erklärender Text 43 2" xfId="17409" xr:uid="{00000000-0005-0000-0000-00004B3E0000}"/>
    <cellStyle name="Erklärender Text 43_est. MEAT" xfId="24205" xr:uid="{00000000-0005-0000-0000-00004C3E0000}"/>
    <cellStyle name="Erklärender Text 44" xfId="7994" xr:uid="{00000000-0005-0000-0000-00004D3E0000}"/>
    <cellStyle name="Erklärender Text 44 2" xfId="17410" xr:uid="{00000000-0005-0000-0000-00004E3E0000}"/>
    <cellStyle name="Erklärender Text 44_est. MEAT" xfId="24206" xr:uid="{00000000-0005-0000-0000-00004F3E0000}"/>
    <cellStyle name="Erklärender Text 45" xfId="7995" xr:uid="{00000000-0005-0000-0000-0000503E0000}"/>
    <cellStyle name="Erklärender Text 45 2" xfId="17411" xr:uid="{00000000-0005-0000-0000-0000513E0000}"/>
    <cellStyle name="Erklärender Text 45_est. MEAT" xfId="24207" xr:uid="{00000000-0005-0000-0000-0000523E0000}"/>
    <cellStyle name="Erklärender Text 46" xfId="7996" xr:uid="{00000000-0005-0000-0000-0000533E0000}"/>
    <cellStyle name="Erklärender Text 46 2" xfId="17412" xr:uid="{00000000-0005-0000-0000-0000543E0000}"/>
    <cellStyle name="Erklärender Text 46_est. MEAT" xfId="24208" xr:uid="{00000000-0005-0000-0000-0000553E0000}"/>
    <cellStyle name="Erklärender Text 47" xfId="7997" xr:uid="{00000000-0005-0000-0000-0000563E0000}"/>
    <cellStyle name="Erklärender Text 47 2" xfId="17413" xr:uid="{00000000-0005-0000-0000-0000573E0000}"/>
    <cellStyle name="Erklärender Text 47_est. MEAT" xfId="24209" xr:uid="{00000000-0005-0000-0000-0000583E0000}"/>
    <cellStyle name="Erklärender Text 48" xfId="7998" xr:uid="{00000000-0005-0000-0000-0000593E0000}"/>
    <cellStyle name="Erklärender Text 48 2" xfId="17414" xr:uid="{00000000-0005-0000-0000-00005A3E0000}"/>
    <cellStyle name="Erklärender Text 48_est. MEAT" xfId="24210" xr:uid="{00000000-0005-0000-0000-00005B3E0000}"/>
    <cellStyle name="Erklärender Text 49" xfId="7999" xr:uid="{00000000-0005-0000-0000-00005C3E0000}"/>
    <cellStyle name="Erklärender Text 49 2" xfId="17415" xr:uid="{00000000-0005-0000-0000-00005D3E0000}"/>
    <cellStyle name="Erklärender Text 49_est. MEAT" xfId="24211" xr:uid="{00000000-0005-0000-0000-00005E3E0000}"/>
    <cellStyle name="Erklärender Text 5" xfId="8000" xr:uid="{00000000-0005-0000-0000-00005F3E0000}"/>
    <cellStyle name="Erklärender Text 5 2" xfId="17416" xr:uid="{00000000-0005-0000-0000-0000603E0000}"/>
    <cellStyle name="Erklärender Text 5_est. MEAT" xfId="24212" xr:uid="{00000000-0005-0000-0000-0000613E0000}"/>
    <cellStyle name="Erklärender Text 50" xfId="8001" xr:uid="{00000000-0005-0000-0000-0000623E0000}"/>
    <cellStyle name="Erklärender Text 50 2" xfId="17417" xr:uid="{00000000-0005-0000-0000-0000633E0000}"/>
    <cellStyle name="Erklärender Text 50_est. MEAT" xfId="24213" xr:uid="{00000000-0005-0000-0000-0000643E0000}"/>
    <cellStyle name="Erklärender Text 51" xfId="8002" xr:uid="{00000000-0005-0000-0000-0000653E0000}"/>
    <cellStyle name="Erklärender Text 51 2" xfId="17418" xr:uid="{00000000-0005-0000-0000-0000663E0000}"/>
    <cellStyle name="Erklärender Text 51_est. MEAT" xfId="24214" xr:uid="{00000000-0005-0000-0000-0000673E0000}"/>
    <cellStyle name="Erklärender Text 52" xfId="8003" xr:uid="{00000000-0005-0000-0000-0000683E0000}"/>
    <cellStyle name="Erklärender Text 52 2" xfId="17419" xr:uid="{00000000-0005-0000-0000-0000693E0000}"/>
    <cellStyle name="Erklärender Text 52_est. MEAT" xfId="24215" xr:uid="{00000000-0005-0000-0000-00006A3E0000}"/>
    <cellStyle name="Erklärender Text 53" xfId="8004" xr:uid="{00000000-0005-0000-0000-00006B3E0000}"/>
    <cellStyle name="Erklärender Text 53 2" xfId="17420" xr:uid="{00000000-0005-0000-0000-00006C3E0000}"/>
    <cellStyle name="Erklärender Text 53_est. MEAT" xfId="24216" xr:uid="{00000000-0005-0000-0000-00006D3E0000}"/>
    <cellStyle name="Erklärender Text 54" xfId="8005" xr:uid="{00000000-0005-0000-0000-00006E3E0000}"/>
    <cellStyle name="Erklärender Text 54 2" xfId="17421" xr:uid="{00000000-0005-0000-0000-00006F3E0000}"/>
    <cellStyle name="Erklärender Text 54_est. MEAT" xfId="24217" xr:uid="{00000000-0005-0000-0000-0000703E0000}"/>
    <cellStyle name="Erklärender Text 55" xfId="8006" xr:uid="{00000000-0005-0000-0000-0000713E0000}"/>
    <cellStyle name="Erklärender Text 55 2" xfId="17422" xr:uid="{00000000-0005-0000-0000-0000723E0000}"/>
    <cellStyle name="Erklärender Text 55_est. MEAT" xfId="24218" xr:uid="{00000000-0005-0000-0000-0000733E0000}"/>
    <cellStyle name="Erklärender Text 56" xfId="8007" xr:uid="{00000000-0005-0000-0000-0000743E0000}"/>
    <cellStyle name="Erklärender Text 56 2" xfId="17423" xr:uid="{00000000-0005-0000-0000-0000753E0000}"/>
    <cellStyle name="Erklärender Text 56_est. MEAT" xfId="24219" xr:uid="{00000000-0005-0000-0000-0000763E0000}"/>
    <cellStyle name="Erklärender Text 57" xfId="8008" xr:uid="{00000000-0005-0000-0000-0000773E0000}"/>
    <cellStyle name="Erklärender Text 57 2" xfId="17424" xr:uid="{00000000-0005-0000-0000-0000783E0000}"/>
    <cellStyle name="Erklärender Text 57_est. MEAT" xfId="24220" xr:uid="{00000000-0005-0000-0000-0000793E0000}"/>
    <cellStyle name="Erklärender Text 58" xfId="8009" xr:uid="{00000000-0005-0000-0000-00007A3E0000}"/>
    <cellStyle name="Erklärender Text 58 2" xfId="17425" xr:uid="{00000000-0005-0000-0000-00007B3E0000}"/>
    <cellStyle name="Erklärender Text 58_est. MEAT" xfId="24221" xr:uid="{00000000-0005-0000-0000-00007C3E0000}"/>
    <cellStyle name="Erklärender Text 59" xfId="8010" xr:uid="{00000000-0005-0000-0000-00007D3E0000}"/>
    <cellStyle name="Erklärender Text 59 2" xfId="17426" xr:uid="{00000000-0005-0000-0000-00007E3E0000}"/>
    <cellStyle name="Erklärender Text 59_est. MEAT" xfId="24222" xr:uid="{00000000-0005-0000-0000-00007F3E0000}"/>
    <cellStyle name="Erklärender Text 6" xfId="8011" xr:uid="{00000000-0005-0000-0000-0000803E0000}"/>
    <cellStyle name="Erklärender Text 6 2" xfId="17427" xr:uid="{00000000-0005-0000-0000-0000813E0000}"/>
    <cellStyle name="Erklärender Text 6_est. MEAT" xfId="24223" xr:uid="{00000000-0005-0000-0000-0000823E0000}"/>
    <cellStyle name="Erklärender Text 60" xfId="8012" xr:uid="{00000000-0005-0000-0000-0000833E0000}"/>
    <cellStyle name="Erklärender Text 60 2" xfId="17428" xr:uid="{00000000-0005-0000-0000-0000843E0000}"/>
    <cellStyle name="Erklärender Text 60_est. MEAT" xfId="24224" xr:uid="{00000000-0005-0000-0000-0000853E0000}"/>
    <cellStyle name="Erklärender Text 61" xfId="8013" xr:uid="{00000000-0005-0000-0000-0000863E0000}"/>
    <cellStyle name="Erklärender Text 61 2" xfId="17429" xr:uid="{00000000-0005-0000-0000-0000873E0000}"/>
    <cellStyle name="Erklärender Text 61_est. MEAT" xfId="24225" xr:uid="{00000000-0005-0000-0000-0000883E0000}"/>
    <cellStyle name="Erklärender Text 62" xfId="8014" xr:uid="{00000000-0005-0000-0000-0000893E0000}"/>
    <cellStyle name="Erklärender Text 62 2" xfId="17430" xr:uid="{00000000-0005-0000-0000-00008A3E0000}"/>
    <cellStyle name="Erklärender Text 62_est. MEAT" xfId="24226" xr:uid="{00000000-0005-0000-0000-00008B3E0000}"/>
    <cellStyle name="Erklärender Text 63" xfId="8015" xr:uid="{00000000-0005-0000-0000-00008C3E0000}"/>
    <cellStyle name="Erklärender Text 63 2" xfId="17431" xr:uid="{00000000-0005-0000-0000-00008D3E0000}"/>
    <cellStyle name="Erklärender Text 63_est. MEAT" xfId="24227" xr:uid="{00000000-0005-0000-0000-00008E3E0000}"/>
    <cellStyle name="Erklärender Text 64" xfId="8016" xr:uid="{00000000-0005-0000-0000-00008F3E0000}"/>
    <cellStyle name="Erklärender Text 64 2" xfId="17432" xr:uid="{00000000-0005-0000-0000-0000903E0000}"/>
    <cellStyle name="Erklärender Text 64_est. MEAT" xfId="24228" xr:uid="{00000000-0005-0000-0000-0000913E0000}"/>
    <cellStyle name="Erklärender Text 65" xfId="8017" xr:uid="{00000000-0005-0000-0000-0000923E0000}"/>
    <cellStyle name="Erklärender Text 65 2" xfId="17433" xr:uid="{00000000-0005-0000-0000-0000933E0000}"/>
    <cellStyle name="Erklärender Text 65_est. MEAT" xfId="24229" xr:uid="{00000000-0005-0000-0000-0000943E0000}"/>
    <cellStyle name="Erklärender Text 66" xfId="8018" xr:uid="{00000000-0005-0000-0000-0000953E0000}"/>
    <cellStyle name="Erklärender Text 66 2" xfId="17434" xr:uid="{00000000-0005-0000-0000-0000963E0000}"/>
    <cellStyle name="Erklärender Text 66_est. MEAT" xfId="24230" xr:uid="{00000000-0005-0000-0000-0000973E0000}"/>
    <cellStyle name="Erklärender Text 67" xfId="8019" xr:uid="{00000000-0005-0000-0000-0000983E0000}"/>
    <cellStyle name="Erklärender Text 67 2" xfId="17435" xr:uid="{00000000-0005-0000-0000-0000993E0000}"/>
    <cellStyle name="Erklärender Text 67_est. MEAT" xfId="24231" xr:uid="{00000000-0005-0000-0000-00009A3E0000}"/>
    <cellStyle name="Erklärender Text 68" xfId="8020" xr:uid="{00000000-0005-0000-0000-00009B3E0000}"/>
    <cellStyle name="Erklärender Text 68 2" xfId="17436" xr:uid="{00000000-0005-0000-0000-00009C3E0000}"/>
    <cellStyle name="Erklärender Text 68_est. MEAT" xfId="24232" xr:uid="{00000000-0005-0000-0000-00009D3E0000}"/>
    <cellStyle name="Erklärender Text 69" xfId="8021" xr:uid="{00000000-0005-0000-0000-00009E3E0000}"/>
    <cellStyle name="Erklärender Text 69 2" xfId="17437" xr:uid="{00000000-0005-0000-0000-00009F3E0000}"/>
    <cellStyle name="Erklärender Text 69_est. MEAT" xfId="24233" xr:uid="{00000000-0005-0000-0000-0000A03E0000}"/>
    <cellStyle name="Erklärender Text 7" xfId="8022" xr:uid="{00000000-0005-0000-0000-0000A13E0000}"/>
    <cellStyle name="Erklärender Text 7 2" xfId="17438" xr:uid="{00000000-0005-0000-0000-0000A23E0000}"/>
    <cellStyle name="Erklärender Text 7_est. MEAT" xfId="24234" xr:uid="{00000000-0005-0000-0000-0000A33E0000}"/>
    <cellStyle name="Erklärender Text 70" xfId="8023" xr:uid="{00000000-0005-0000-0000-0000A43E0000}"/>
    <cellStyle name="Erklärender Text 70 2" xfId="17439" xr:uid="{00000000-0005-0000-0000-0000A53E0000}"/>
    <cellStyle name="Erklärender Text 70_est. MEAT" xfId="24235" xr:uid="{00000000-0005-0000-0000-0000A63E0000}"/>
    <cellStyle name="Erklärender Text 71" xfId="8024" xr:uid="{00000000-0005-0000-0000-0000A73E0000}"/>
    <cellStyle name="Erklärender Text 71 2" xfId="17440" xr:uid="{00000000-0005-0000-0000-0000A83E0000}"/>
    <cellStyle name="Erklärender Text 71_est. MEAT" xfId="24236" xr:uid="{00000000-0005-0000-0000-0000A93E0000}"/>
    <cellStyle name="Erklärender Text 72" xfId="8025" xr:uid="{00000000-0005-0000-0000-0000AA3E0000}"/>
    <cellStyle name="Erklärender Text 72 2" xfId="17441" xr:uid="{00000000-0005-0000-0000-0000AB3E0000}"/>
    <cellStyle name="Erklärender Text 72_est. MEAT" xfId="24237" xr:uid="{00000000-0005-0000-0000-0000AC3E0000}"/>
    <cellStyle name="Erklärender Text 73" xfId="8026" xr:uid="{00000000-0005-0000-0000-0000AD3E0000}"/>
    <cellStyle name="Erklärender Text 73 2" xfId="17442" xr:uid="{00000000-0005-0000-0000-0000AE3E0000}"/>
    <cellStyle name="Erklärender Text 73_est. MEAT" xfId="24238" xr:uid="{00000000-0005-0000-0000-0000AF3E0000}"/>
    <cellStyle name="Erklärender Text 74" xfId="8027" xr:uid="{00000000-0005-0000-0000-0000B03E0000}"/>
    <cellStyle name="Erklärender Text 74 2" xfId="17443" xr:uid="{00000000-0005-0000-0000-0000B13E0000}"/>
    <cellStyle name="Erklärender Text 74_est. MEAT" xfId="24239" xr:uid="{00000000-0005-0000-0000-0000B23E0000}"/>
    <cellStyle name="Erklärender Text 75" xfId="8028" xr:uid="{00000000-0005-0000-0000-0000B33E0000}"/>
    <cellStyle name="Erklärender Text 75 2" xfId="17444" xr:uid="{00000000-0005-0000-0000-0000B43E0000}"/>
    <cellStyle name="Erklärender Text 75_est. MEAT" xfId="24240" xr:uid="{00000000-0005-0000-0000-0000B53E0000}"/>
    <cellStyle name="Erklärender Text 76" xfId="8029" xr:uid="{00000000-0005-0000-0000-0000B63E0000}"/>
    <cellStyle name="Erklärender Text 76 2" xfId="17445" xr:uid="{00000000-0005-0000-0000-0000B73E0000}"/>
    <cellStyle name="Erklärender Text 76_est. MEAT" xfId="24241" xr:uid="{00000000-0005-0000-0000-0000B83E0000}"/>
    <cellStyle name="Erklärender Text 77" xfId="8030" xr:uid="{00000000-0005-0000-0000-0000B93E0000}"/>
    <cellStyle name="Erklärender Text 77 2" xfId="17446" xr:uid="{00000000-0005-0000-0000-0000BA3E0000}"/>
    <cellStyle name="Erklärender Text 77_est. MEAT" xfId="24242" xr:uid="{00000000-0005-0000-0000-0000BB3E0000}"/>
    <cellStyle name="Erklärender Text 78" xfId="8031" xr:uid="{00000000-0005-0000-0000-0000BC3E0000}"/>
    <cellStyle name="Erklärender Text 78 2" xfId="17447" xr:uid="{00000000-0005-0000-0000-0000BD3E0000}"/>
    <cellStyle name="Erklärender Text 78_est. MEAT" xfId="24243" xr:uid="{00000000-0005-0000-0000-0000BE3E0000}"/>
    <cellStyle name="Erklärender Text 79" xfId="8032" xr:uid="{00000000-0005-0000-0000-0000BF3E0000}"/>
    <cellStyle name="Erklärender Text 79 2" xfId="17448" xr:uid="{00000000-0005-0000-0000-0000C03E0000}"/>
    <cellStyle name="Erklärender Text 79_est. MEAT" xfId="24244" xr:uid="{00000000-0005-0000-0000-0000C13E0000}"/>
    <cellStyle name="Erklärender Text 8" xfId="8033" xr:uid="{00000000-0005-0000-0000-0000C23E0000}"/>
    <cellStyle name="Erklärender Text 8 2" xfId="17449" xr:uid="{00000000-0005-0000-0000-0000C33E0000}"/>
    <cellStyle name="Erklärender Text 8_est. MEAT" xfId="24245" xr:uid="{00000000-0005-0000-0000-0000C43E0000}"/>
    <cellStyle name="Erklärender Text 80" xfId="8034" xr:uid="{00000000-0005-0000-0000-0000C53E0000}"/>
    <cellStyle name="Erklärender Text 80 2" xfId="17450" xr:uid="{00000000-0005-0000-0000-0000C63E0000}"/>
    <cellStyle name="Erklärender Text 80_est. MEAT" xfId="24246" xr:uid="{00000000-0005-0000-0000-0000C73E0000}"/>
    <cellStyle name="Erklärender Text 81" xfId="8035" xr:uid="{00000000-0005-0000-0000-0000C83E0000}"/>
    <cellStyle name="Erklärender Text 81 2" xfId="17451" xr:uid="{00000000-0005-0000-0000-0000C93E0000}"/>
    <cellStyle name="Erklärender Text 81_est. MEAT" xfId="24247" xr:uid="{00000000-0005-0000-0000-0000CA3E0000}"/>
    <cellStyle name="Erklärender Text 82" xfId="8036" xr:uid="{00000000-0005-0000-0000-0000CB3E0000}"/>
    <cellStyle name="Erklärender Text 82 2" xfId="17452" xr:uid="{00000000-0005-0000-0000-0000CC3E0000}"/>
    <cellStyle name="Erklärender Text 82_est. MEAT" xfId="24248" xr:uid="{00000000-0005-0000-0000-0000CD3E0000}"/>
    <cellStyle name="Erklärender Text 83" xfId="8037" xr:uid="{00000000-0005-0000-0000-0000CE3E0000}"/>
    <cellStyle name="Erklärender Text 83 2" xfId="17453" xr:uid="{00000000-0005-0000-0000-0000CF3E0000}"/>
    <cellStyle name="Erklärender Text 83_est. MEAT" xfId="24249" xr:uid="{00000000-0005-0000-0000-0000D03E0000}"/>
    <cellStyle name="Erklärender Text 84" xfId="8038" xr:uid="{00000000-0005-0000-0000-0000D13E0000}"/>
    <cellStyle name="Erklärender Text 84 2" xfId="17454" xr:uid="{00000000-0005-0000-0000-0000D23E0000}"/>
    <cellStyle name="Erklärender Text 84_est. MEAT" xfId="24250" xr:uid="{00000000-0005-0000-0000-0000D33E0000}"/>
    <cellStyle name="Erklärender Text 85" xfId="8039" xr:uid="{00000000-0005-0000-0000-0000D43E0000}"/>
    <cellStyle name="Erklärender Text 85 2" xfId="17455" xr:uid="{00000000-0005-0000-0000-0000D53E0000}"/>
    <cellStyle name="Erklärender Text 85_est. MEAT" xfId="24251" xr:uid="{00000000-0005-0000-0000-0000D63E0000}"/>
    <cellStyle name="Erklärender Text 86" xfId="8040" xr:uid="{00000000-0005-0000-0000-0000D73E0000}"/>
    <cellStyle name="Erklärender Text 86 2" xfId="17456" xr:uid="{00000000-0005-0000-0000-0000D83E0000}"/>
    <cellStyle name="Erklärender Text 86_est. MEAT" xfId="24252" xr:uid="{00000000-0005-0000-0000-0000D93E0000}"/>
    <cellStyle name="Erklärender Text 87" xfId="8041" xr:uid="{00000000-0005-0000-0000-0000DA3E0000}"/>
    <cellStyle name="Erklärender Text 87 2" xfId="17457" xr:uid="{00000000-0005-0000-0000-0000DB3E0000}"/>
    <cellStyle name="Erklärender Text 87_est. MEAT" xfId="24253" xr:uid="{00000000-0005-0000-0000-0000DC3E0000}"/>
    <cellStyle name="Erklärender Text 88" xfId="8042" xr:uid="{00000000-0005-0000-0000-0000DD3E0000}"/>
    <cellStyle name="Erklärender Text 88 2" xfId="17458" xr:uid="{00000000-0005-0000-0000-0000DE3E0000}"/>
    <cellStyle name="Erklärender Text 88_est. MEAT" xfId="24254" xr:uid="{00000000-0005-0000-0000-0000DF3E0000}"/>
    <cellStyle name="Erklärender Text 89" xfId="8043" xr:uid="{00000000-0005-0000-0000-0000E03E0000}"/>
    <cellStyle name="Erklärender Text 89 2" xfId="17459" xr:uid="{00000000-0005-0000-0000-0000E13E0000}"/>
    <cellStyle name="Erklärender Text 89_est. MEAT" xfId="24255" xr:uid="{00000000-0005-0000-0000-0000E23E0000}"/>
    <cellStyle name="Erklärender Text 9" xfId="8044" xr:uid="{00000000-0005-0000-0000-0000E33E0000}"/>
    <cellStyle name="Erklärender Text 9 2" xfId="17460" xr:uid="{00000000-0005-0000-0000-0000E43E0000}"/>
    <cellStyle name="Erklärender Text 9_est. MEAT" xfId="24256" xr:uid="{00000000-0005-0000-0000-0000E53E0000}"/>
    <cellStyle name="Erklärender Text 90" xfId="8045" xr:uid="{00000000-0005-0000-0000-0000E63E0000}"/>
    <cellStyle name="Erklärender Text 90 2" xfId="17461" xr:uid="{00000000-0005-0000-0000-0000E73E0000}"/>
    <cellStyle name="Erklärender Text 90_est. MEAT" xfId="24257" xr:uid="{00000000-0005-0000-0000-0000E83E0000}"/>
    <cellStyle name="Erklärender Text 91" xfId="8046" xr:uid="{00000000-0005-0000-0000-0000E93E0000}"/>
    <cellStyle name="Erklärender Text 91 2" xfId="17462" xr:uid="{00000000-0005-0000-0000-0000EA3E0000}"/>
    <cellStyle name="Erklärender Text 91_est. MEAT" xfId="24258" xr:uid="{00000000-0005-0000-0000-0000EB3E0000}"/>
    <cellStyle name="Erklärender Text 92" xfId="8047" xr:uid="{00000000-0005-0000-0000-0000EC3E0000}"/>
    <cellStyle name="Erklärender Text 92 2" xfId="17463" xr:uid="{00000000-0005-0000-0000-0000ED3E0000}"/>
    <cellStyle name="Erklärender Text 92_est. MEAT" xfId="24259" xr:uid="{00000000-0005-0000-0000-0000EE3E0000}"/>
    <cellStyle name="Erklärender Text 93" xfId="8048" xr:uid="{00000000-0005-0000-0000-0000EF3E0000}"/>
    <cellStyle name="Erklärender Text 93 2" xfId="17464" xr:uid="{00000000-0005-0000-0000-0000F03E0000}"/>
    <cellStyle name="Erklärender Text 93_est. MEAT" xfId="24260" xr:uid="{00000000-0005-0000-0000-0000F13E0000}"/>
    <cellStyle name="Erklärender Text 94" xfId="8049" xr:uid="{00000000-0005-0000-0000-0000F23E0000}"/>
    <cellStyle name="Erklärender Text 94 2" xfId="17465" xr:uid="{00000000-0005-0000-0000-0000F33E0000}"/>
    <cellStyle name="Erklärender Text 94_est. MEAT" xfId="24261" xr:uid="{00000000-0005-0000-0000-0000F43E0000}"/>
    <cellStyle name="Erklärender Text 95" xfId="8050" xr:uid="{00000000-0005-0000-0000-0000F53E0000}"/>
    <cellStyle name="Erklärender Text 95 2" xfId="17466" xr:uid="{00000000-0005-0000-0000-0000F63E0000}"/>
    <cellStyle name="Erklärender Text 95_est. MEAT" xfId="24262" xr:uid="{00000000-0005-0000-0000-0000F73E0000}"/>
    <cellStyle name="Erklärender Text 96" xfId="8051" xr:uid="{00000000-0005-0000-0000-0000F83E0000}"/>
    <cellStyle name="Erklärender Text 96 2" xfId="17467" xr:uid="{00000000-0005-0000-0000-0000F93E0000}"/>
    <cellStyle name="Erklärender Text 96_est. MEAT" xfId="24263" xr:uid="{00000000-0005-0000-0000-0000FA3E0000}"/>
    <cellStyle name="Erklärender Text 97" xfId="8052" xr:uid="{00000000-0005-0000-0000-0000FB3E0000}"/>
    <cellStyle name="Erklärender Text 97 2" xfId="17468" xr:uid="{00000000-0005-0000-0000-0000FC3E0000}"/>
    <cellStyle name="Erklärender Text 97_est. MEAT" xfId="24264" xr:uid="{00000000-0005-0000-0000-0000FD3E0000}"/>
    <cellStyle name="Erklärender Text 98" xfId="8053" xr:uid="{00000000-0005-0000-0000-0000FE3E0000}"/>
    <cellStyle name="Erklärender Text 98 2" xfId="17469" xr:uid="{00000000-0005-0000-0000-0000FF3E0000}"/>
    <cellStyle name="Erklärender Text 98_est. MEAT" xfId="24265" xr:uid="{00000000-0005-0000-0000-0000003F0000}"/>
    <cellStyle name="Erklärender Text 99" xfId="8054" xr:uid="{00000000-0005-0000-0000-0000013F0000}"/>
    <cellStyle name="Erklärender Text 99 2" xfId="17470" xr:uid="{00000000-0005-0000-0000-0000023F0000}"/>
    <cellStyle name="Erklärender Text 99_est. MEAT" xfId="24266" xr:uid="{00000000-0005-0000-0000-0000033F0000}"/>
    <cellStyle name="Erklärender Text_2012-2019" xfId="12466" xr:uid="{00000000-0005-0000-0000-0000043F0000}"/>
    <cellStyle name="Euro" xfId="8055" xr:uid="{00000000-0005-0000-0000-0000053F0000}"/>
    <cellStyle name="EURO (0)" xfId="8056" xr:uid="{00000000-0005-0000-0000-0000063F0000}"/>
    <cellStyle name="EURO (0) 2" xfId="17472" xr:uid="{00000000-0005-0000-0000-0000073F0000}"/>
    <cellStyle name="EURO (0)_est. MEAT" xfId="24267" xr:uid="{00000000-0005-0000-0000-0000083F0000}"/>
    <cellStyle name="EURO (0,00)" xfId="8057" xr:uid="{00000000-0005-0000-0000-0000093F0000}"/>
    <cellStyle name="EURO (0,00) 2" xfId="17473" xr:uid="{00000000-0005-0000-0000-00000A3F0000}"/>
    <cellStyle name="EURO (0,00)_est. MEAT" xfId="24268" xr:uid="{00000000-0005-0000-0000-00000B3F0000}"/>
    <cellStyle name="Euro 2" xfId="8058" xr:uid="{00000000-0005-0000-0000-00000C3F0000}"/>
    <cellStyle name="Euro 2 2" xfId="17474" xr:uid="{00000000-0005-0000-0000-00000D3F0000}"/>
    <cellStyle name="Euro 2_est. MEAT" xfId="24269" xr:uid="{00000000-0005-0000-0000-00000E3F0000}"/>
    <cellStyle name="Euro 3" xfId="17471" xr:uid="{00000000-0005-0000-0000-00000F3F0000}"/>
    <cellStyle name="Euro 4" xfId="21044" xr:uid="{00000000-0005-0000-0000-0000103F0000}"/>
    <cellStyle name="Euro 5" xfId="21045" xr:uid="{00000000-0005-0000-0000-0000113F0000}"/>
    <cellStyle name="Euro 6" xfId="21046" xr:uid="{00000000-0005-0000-0000-0000123F0000}"/>
    <cellStyle name="Euro_2012-2019" xfId="12467" xr:uid="{00000000-0005-0000-0000-0000133F0000}"/>
    <cellStyle name="Explanatory Text 2" xfId="8059" xr:uid="{00000000-0005-0000-0000-0000143F0000}"/>
    <cellStyle name="Explanatory Text 2 2" xfId="17475" xr:uid="{00000000-0005-0000-0000-0000153F0000}"/>
    <cellStyle name="Explanatory Text 2_est. MEAT" xfId="24270" xr:uid="{00000000-0005-0000-0000-0000163F0000}"/>
    <cellStyle name="führ. Null (2)" xfId="8060" xr:uid="{00000000-0005-0000-0000-0000173F0000}"/>
    <cellStyle name="führ. Null (2) 2" xfId="17476" xr:uid="{00000000-0005-0000-0000-0000183F0000}"/>
    <cellStyle name="führ. Null (2)_est. MEAT" xfId="24271" xr:uid="{00000000-0005-0000-0000-0000193F0000}"/>
    <cellStyle name="führ. Null (3)" xfId="8061" xr:uid="{00000000-0005-0000-0000-00001A3F0000}"/>
    <cellStyle name="führ. Null (3) 2" xfId="17477" xr:uid="{00000000-0005-0000-0000-00001B3F0000}"/>
    <cellStyle name="führ. Null (3)_est. MEAT" xfId="24272" xr:uid="{00000000-0005-0000-0000-00001C3F0000}"/>
    <cellStyle name="führ. Null (4)" xfId="8062" xr:uid="{00000000-0005-0000-0000-00001D3F0000}"/>
    <cellStyle name="führ. Null (4) 2" xfId="17478" xr:uid="{00000000-0005-0000-0000-00001E3F0000}"/>
    <cellStyle name="führ. Null (4)_est. MEAT" xfId="24273" xr:uid="{00000000-0005-0000-0000-00001F3F0000}"/>
    <cellStyle name="Funk" xfId="8063" xr:uid="{00000000-0005-0000-0000-0000203F0000}"/>
    <cellStyle name="Funk 2" xfId="17479" xr:uid="{00000000-0005-0000-0000-0000213F0000}"/>
    <cellStyle name="Funk_est. MEAT" xfId="24274" xr:uid="{00000000-0005-0000-0000-0000223F0000}"/>
    <cellStyle name="Good" xfId="24275" xr:uid="{00000000-0005-0000-0000-0000233F0000}"/>
    <cellStyle name="Good 2" xfId="8064" xr:uid="{00000000-0005-0000-0000-0000243F0000}"/>
    <cellStyle name="Good 2 2" xfId="17480" xr:uid="{00000000-0005-0000-0000-0000253F0000}"/>
    <cellStyle name="Good 2_est. MEAT" xfId="24276" xr:uid="{00000000-0005-0000-0000-0000263F0000}"/>
    <cellStyle name="Good_AE_FC_QuoteMaster" xfId="24277" xr:uid="{00000000-0005-0000-0000-0000273F0000}"/>
    <cellStyle name="Gut" xfId="8065" xr:uid="{00000000-0005-0000-0000-0000283F0000}"/>
    <cellStyle name="Gut 10" xfId="8066" xr:uid="{00000000-0005-0000-0000-0000293F0000}"/>
    <cellStyle name="Gut 10 2" xfId="8067" xr:uid="{00000000-0005-0000-0000-00002A3F0000}"/>
    <cellStyle name="Gut 10 2 2" xfId="17483" xr:uid="{00000000-0005-0000-0000-00002B3F0000}"/>
    <cellStyle name="Gut 10 2_est. MEAT" xfId="24278" xr:uid="{00000000-0005-0000-0000-00002C3F0000}"/>
    <cellStyle name="Gut 10 3" xfId="17482" xr:uid="{00000000-0005-0000-0000-00002D3F0000}"/>
    <cellStyle name="Gut 10_2012-2019" xfId="12469" xr:uid="{00000000-0005-0000-0000-00002E3F0000}"/>
    <cellStyle name="Gut 100" xfId="8068" xr:uid="{00000000-0005-0000-0000-00002F3F0000}"/>
    <cellStyle name="Gut 100 2" xfId="17484" xr:uid="{00000000-0005-0000-0000-0000303F0000}"/>
    <cellStyle name="Gut 100_est. MEAT" xfId="24279" xr:uid="{00000000-0005-0000-0000-0000313F0000}"/>
    <cellStyle name="Gut 101" xfId="8069" xr:uid="{00000000-0005-0000-0000-0000323F0000}"/>
    <cellStyle name="Gut 101 2" xfId="17485" xr:uid="{00000000-0005-0000-0000-0000333F0000}"/>
    <cellStyle name="Gut 101_est. MEAT" xfId="24280" xr:uid="{00000000-0005-0000-0000-0000343F0000}"/>
    <cellStyle name="Gut 102" xfId="8070" xr:uid="{00000000-0005-0000-0000-0000353F0000}"/>
    <cellStyle name="Gut 102 2" xfId="17486" xr:uid="{00000000-0005-0000-0000-0000363F0000}"/>
    <cellStyle name="Gut 102_est. MEAT" xfId="24281" xr:uid="{00000000-0005-0000-0000-0000373F0000}"/>
    <cellStyle name="Gut 103" xfId="8071" xr:uid="{00000000-0005-0000-0000-0000383F0000}"/>
    <cellStyle name="Gut 103 2" xfId="17487" xr:uid="{00000000-0005-0000-0000-0000393F0000}"/>
    <cellStyle name="Gut 103_est. MEAT" xfId="24282" xr:uid="{00000000-0005-0000-0000-00003A3F0000}"/>
    <cellStyle name="Gut 104" xfId="8072" xr:uid="{00000000-0005-0000-0000-00003B3F0000}"/>
    <cellStyle name="Gut 104 2" xfId="17488" xr:uid="{00000000-0005-0000-0000-00003C3F0000}"/>
    <cellStyle name="Gut 104_est. MEAT" xfId="24283" xr:uid="{00000000-0005-0000-0000-00003D3F0000}"/>
    <cellStyle name="Gut 105" xfId="8073" xr:uid="{00000000-0005-0000-0000-00003E3F0000}"/>
    <cellStyle name="Gut 105 2" xfId="17489" xr:uid="{00000000-0005-0000-0000-00003F3F0000}"/>
    <cellStyle name="Gut 105_est. MEAT" xfId="24284" xr:uid="{00000000-0005-0000-0000-0000403F0000}"/>
    <cellStyle name="Gut 106" xfId="8074" xr:uid="{00000000-0005-0000-0000-0000413F0000}"/>
    <cellStyle name="Gut 106 2" xfId="17490" xr:uid="{00000000-0005-0000-0000-0000423F0000}"/>
    <cellStyle name="Gut 106_est. MEAT" xfId="24285" xr:uid="{00000000-0005-0000-0000-0000433F0000}"/>
    <cellStyle name="Gut 107" xfId="8075" xr:uid="{00000000-0005-0000-0000-0000443F0000}"/>
    <cellStyle name="Gut 107 2" xfId="17491" xr:uid="{00000000-0005-0000-0000-0000453F0000}"/>
    <cellStyle name="Gut 107_est. MEAT" xfId="24286" xr:uid="{00000000-0005-0000-0000-0000463F0000}"/>
    <cellStyle name="Gut 108" xfId="8076" xr:uid="{00000000-0005-0000-0000-0000473F0000}"/>
    <cellStyle name="Gut 108 2" xfId="17492" xr:uid="{00000000-0005-0000-0000-0000483F0000}"/>
    <cellStyle name="Gut 108_est. MEAT" xfId="24287" xr:uid="{00000000-0005-0000-0000-0000493F0000}"/>
    <cellStyle name="Gut 109" xfId="8077" xr:uid="{00000000-0005-0000-0000-00004A3F0000}"/>
    <cellStyle name="Gut 109 2" xfId="17493" xr:uid="{00000000-0005-0000-0000-00004B3F0000}"/>
    <cellStyle name="Gut 109_est. MEAT" xfId="24288" xr:uid="{00000000-0005-0000-0000-00004C3F0000}"/>
    <cellStyle name="Gut 11" xfId="8078" xr:uid="{00000000-0005-0000-0000-00004D3F0000}"/>
    <cellStyle name="Gut 11 2" xfId="8079" xr:uid="{00000000-0005-0000-0000-00004E3F0000}"/>
    <cellStyle name="Gut 11 2 2" xfId="17495" xr:uid="{00000000-0005-0000-0000-00004F3F0000}"/>
    <cellStyle name="Gut 11 2_est. MEAT" xfId="24289" xr:uid="{00000000-0005-0000-0000-0000503F0000}"/>
    <cellStyle name="Gut 11 3" xfId="17494" xr:uid="{00000000-0005-0000-0000-0000513F0000}"/>
    <cellStyle name="Gut 11_2012-2019" xfId="12470" xr:uid="{00000000-0005-0000-0000-0000523F0000}"/>
    <cellStyle name="Gut 110" xfId="8080" xr:uid="{00000000-0005-0000-0000-0000533F0000}"/>
    <cellStyle name="Gut 110 2" xfId="17496" xr:uid="{00000000-0005-0000-0000-0000543F0000}"/>
    <cellStyle name="Gut 110_est. MEAT" xfId="24290" xr:uid="{00000000-0005-0000-0000-0000553F0000}"/>
    <cellStyle name="Gut 111" xfId="8081" xr:uid="{00000000-0005-0000-0000-0000563F0000}"/>
    <cellStyle name="Gut 111 2" xfId="17497" xr:uid="{00000000-0005-0000-0000-0000573F0000}"/>
    <cellStyle name="Gut 111_est. MEAT" xfId="24291" xr:uid="{00000000-0005-0000-0000-0000583F0000}"/>
    <cellStyle name="Gut 112" xfId="8082" xr:uid="{00000000-0005-0000-0000-0000593F0000}"/>
    <cellStyle name="Gut 112 2" xfId="17498" xr:uid="{00000000-0005-0000-0000-00005A3F0000}"/>
    <cellStyle name="Gut 112_est. MEAT" xfId="24292" xr:uid="{00000000-0005-0000-0000-00005B3F0000}"/>
    <cellStyle name="Gut 113" xfId="8083" xr:uid="{00000000-0005-0000-0000-00005C3F0000}"/>
    <cellStyle name="Gut 113 2" xfId="17499" xr:uid="{00000000-0005-0000-0000-00005D3F0000}"/>
    <cellStyle name="Gut 113_est. MEAT" xfId="24293" xr:uid="{00000000-0005-0000-0000-00005E3F0000}"/>
    <cellStyle name="Gut 114" xfId="8084" xr:uid="{00000000-0005-0000-0000-00005F3F0000}"/>
    <cellStyle name="Gut 114 2" xfId="17500" xr:uid="{00000000-0005-0000-0000-0000603F0000}"/>
    <cellStyle name="Gut 114_est. MEAT" xfId="24294" xr:uid="{00000000-0005-0000-0000-0000613F0000}"/>
    <cellStyle name="Gut 115" xfId="8085" xr:uid="{00000000-0005-0000-0000-0000623F0000}"/>
    <cellStyle name="Gut 115 2" xfId="17501" xr:uid="{00000000-0005-0000-0000-0000633F0000}"/>
    <cellStyle name="Gut 115_est. MEAT" xfId="24295" xr:uid="{00000000-0005-0000-0000-0000643F0000}"/>
    <cellStyle name="Gut 116" xfId="8086" xr:uid="{00000000-0005-0000-0000-0000653F0000}"/>
    <cellStyle name="Gut 116 2" xfId="17502" xr:uid="{00000000-0005-0000-0000-0000663F0000}"/>
    <cellStyle name="Gut 116_est. MEAT" xfId="24296" xr:uid="{00000000-0005-0000-0000-0000673F0000}"/>
    <cellStyle name="Gut 117" xfId="8087" xr:uid="{00000000-0005-0000-0000-0000683F0000}"/>
    <cellStyle name="Gut 117 2" xfId="17503" xr:uid="{00000000-0005-0000-0000-0000693F0000}"/>
    <cellStyle name="Gut 117_est. MEAT" xfId="24297" xr:uid="{00000000-0005-0000-0000-00006A3F0000}"/>
    <cellStyle name="Gut 118" xfId="8088" xr:uid="{00000000-0005-0000-0000-00006B3F0000}"/>
    <cellStyle name="Gut 118 2" xfId="17504" xr:uid="{00000000-0005-0000-0000-00006C3F0000}"/>
    <cellStyle name="Gut 118_est. MEAT" xfId="24298" xr:uid="{00000000-0005-0000-0000-00006D3F0000}"/>
    <cellStyle name="Gut 119" xfId="8089" xr:uid="{00000000-0005-0000-0000-00006E3F0000}"/>
    <cellStyle name="Gut 119 2" xfId="17505" xr:uid="{00000000-0005-0000-0000-00006F3F0000}"/>
    <cellStyle name="Gut 119_est. MEAT" xfId="24299" xr:uid="{00000000-0005-0000-0000-0000703F0000}"/>
    <cellStyle name="Gut 12" xfId="8090" xr:uid="{00000000-0005-0000-0000-0000713F0000}"/>
    <cellStyle name="Gut 12 2" xfId="8091" xr:uid="{00000000-0005-0000-0000-0000723F0000}"/>
    <cellStyle name="Gut 12 2 2" xfId="17507" xr:uid="{00000000-0005-0000-0000-0000733F0000}"/>
    <cellStyle name="Gut 12 2_est. MEAT" xfId="24300" xr:uid="{00000000-0005-0000-0000-0000743F0000}"/>
    <cellStyle name="Gut 12 3" xfId="17506" xr:uid="{00000000-0005-0000-0000-0000753F0000}"/>
    <cellStyle name="Gut 12_2012-2019" xfId="12471" xr:uid="{00000000-0005-0000-0000-0000763F0000}"/>
    <cellStyle name="Gut 120" xfId="8092" xr:uid="{00000000-0005-0000-0000-0000773F0000}"/>
    <cellStyle name="Gut 120 2" xfId="17508" xr:uid="{00000000-0005-0000-0000-0000783F0000}"/>
    <cellStyle name="Gut 120_est. MEAT" xfId="24301" xr:uid="{00000000-0005-0000-0000-0000793F0000}"/>
    <cellStyle name="Gut 121" xfId="8093" xr:uid="{00000000-0005-0000-0000-00007A3F0000}"/>
    <cellStyle name="Gut 121 2" xfId="17509" xr:uid="{00000000-0005-0000-0000-00007B3F0000}"/>
    <cellStyle name="Gut 121_est. MEAT" xfId="24302" xr:uid="{00000000-0005-0000-0000-00007C3F0000}"/>
    <cellStyle name="Gut 122" xfId="8094" xr:uid="{00000000-0005-0000-0000-00007D3F0000}"/>
    <cellStyle name="Gut 122 2" xfId="17510" xr:uid="{00000000-0005-0000-0000-00007E3F0000}"/>
    <cellStyle name="Gut 122_est. MEAT" xfId="24303" xr:uid="{00000000-0005-0000-0000-00007F3F0000}"/>
    <cellStyle name="Gut 123" xfId="8095" xr:uid="{00000000-0005-0000-0000-0000803F0000}"/>
    <cellStyle name="Gut 123 2" xfId="17511" xr:uid="{00000000-0005-0000-0000-0000813F0000}"/>
    <cellStyle name="Gut 123_est. MEAT" xfId="24304" xr:uid="{00000000-0005-0000-0000-0000823F0000}"/>
    <cellStyle name="Gut 124" xfId="8096" xr:uid="{00000000-0005-0000-0000-0000833F0000}"/>
    <cellStyle name="Gut 124 2" xfId="17512" xr:uid="{00000000-0005-0000-0000-0000843F0000}"/>
    <cellStyle name="Gut 124_est. MEAT" xfId="24305" xr:uid="{00000000-0005-0000-0000-0000853F0000}"/>
    <cellStyle name="Gut 125" xfId="8097" xr:uid="{00000000-0005-0000-0000-0000863F0000}"/>
    <cellStyle name="Gut 125 2" xfId="17513" xr:uid="{00000000-0005-0000-0000-0000873F0000}"/>
    <cellStyle name="Gut 125_est. MEAT" xfId="24306" xr:uid="{00000000-0005-0000-0000-0000883F0000}"/>
    <cellStyle name="Gut 126" xfId="8098" xr:uid="{00000000-0005-0000-0000-0000893F0000}"/>
    <cellStyle name="Gut 126 2" xfId="17514" xr:uid="{00000000-0005-0000-0000-00008A3F0000}"/>
    <cellStyle name="Gut 126_est. MEAT" xfId="24307" xr:uid="{00000000-0005-0000-0000-00008B3F0000}"/>
    <cellStyle name="Gut 127" xfId="8099" xr:uid="{00000000-0005-0000-0000-00008C3F0000}"/>
    <cellStyle name="Gut 127 2" xfId="17515" xr:uid="{00000000-0005-0000-0000-00008D3F0000}"/>
    <cellStyle name="Gut 127_est. MEAT" xfId="24308" xr:uid="{00000000-0005-0000-0000-00008E3F0000}"/>
    <cellStyle name="Gut 128" xfId="8100" xr:uid="{00000000-0005-0000-0000-00008F3F0000}"/>
    <cellStyle name="Gut 128 2" xfId="17516" xr:uid="{00000000-0005-0000-0000-0000903F0000}"/>
    <cellStyle name="Gut 128_est. MEAT" xfId="24309" xr:uid="{00000000-0005-0000-0000-0000913F0000}"/>
    <cellStyle name="Gut 129" xfId="8101" xr:uid="{00000000-0005-0000-0000-0000923F0000}"/>
    <cellStyle name="Gut 129 2" xfId="17517" xr:uid="{00000000-0005-0000-0000-0000933F0000}"/>
    <cellStyle name="Gut 129_est. MEAT" xfId="24310" xr:uid="{00000000-0005-0000-0000-0000943F0000}"/>
    <cellStyle name="Gut 13" xfId="8102" xr:uid="{00000000-0005-0000-0000-0000953F0000}"/>
    <cellStyle name="Gut 13 2" xfId="8103" xr:uid="{00000000-0005-0000-0000-0000963F0000}"/>
    <cellStyle name="Gut 13 2 2" xfId="17519" xr:uid="{00000000-0005-0000-0000-0000973F0000}"/>
    <cellStyle name="Gut 13 2_est. MEAT" xfId="24311" xr:uid="{00000000-0005-0000-0000-0000983F0000}"/>
    <cellStyle name="Gut 13 3" xfId="17518" xr:uid="{00000000-0005-0000-0000-0000993F0000}"/>
    <cellStyle name="Gut 13_2012-2019" xfId="12472" xr:uid="{00000000-0005-0000-0000-00009A3F0000}"/>
    <cellStyle name="Gut 130" xfId="8104" xr:uid="{00000000-0005-0000-0000-00009B3F0000}"/>
    <cellStyle name="Gut 130 2" xfId="17520" xr:uid="{00000000-0005-0000-0000-00009C3F0000}"/>
    <cellStyle name="Gut 130_est. MEAT" xfId="24312" xr:uid="{00000000-0005-0000-0000-00009D3F0000}"/>
    <cellStyle name="Gut 131" xfId="8105" xr:uid="{00000000-0005-0000-0000-00009E3F0000}"/>
    <cellStyle name="Gut 131 2" xfId="17521" xr:uid="{00000000-0005-0000-0000-00009F3F0000}"/>
    <cellStyle name="Gut 131_est. MEAT" xfId="24313" xr:uid="{00000000-0005-0000-0000-0000A03F0000}"/>
    <cellStyle name="Gut 132" xfId="8106" xr:uid="{00000000-0005-0000-0000-0000A13F0000}"/>
    <cellStyle name="Gut 132 2" xfId="17522" xr:uid="{00000000-0005-0000-0000-0000A23F0000}"/>
    <cellStyle name="Gut 132_est. MEAT" xfId="24314" xr:uid="{00000000-0005-0000-0000-0000A33F0000}"/>
    <cellStyle name="Gut 133" xfId="8107" xr:uid="{00000000-0005-0000-0000-0000A43F0000}"/>
    <cellStyle name="Gut 133 2" xfId="17523" xr:uid="{00000000-0005-0000-0000-0000A53F0000}"/>
    <cellStyle name="Gut 133_est. MEAT" xfId="24315" xr:uid="{00000000-0005-0000-0000-0000A63F0000}"/>
    <cellStyle name="Gut 134" xfId="8108" xr:uid="{00000000-0005-0000-0000-0000A73F0000}"/>
    <cellStyle name="Gut 134 2" xfId="17524" xr:uid="{00000000-0005-0000-0000-0000A83F0000}"/>
    <cellStyle name="Gut 134_est. MEAT" xfId="24316" xr:uid="{00000000-0005-0000-0000-0000A93F0000}"/>
    <cellStyle name="Gut 135" xfId="8109" xr:uid="{00000000-0005-0000-0000-0000AA3F0000}"/>
    <cellStyle name="Gut 135 2" xfId="17525" xr:uid="{00000000-0005-0000-0000-0000AB3F0000}"/>
    <cellStyle name="Gut 135_est. MEAT" xfId="24317" xr:uid="{00000000-0005-0000-0000-0000AC3F0000}"/>
    <cellStyle name="Gut 136" xfId="8110" xr:uid="{00000000-0005-0000-0000-0000AD3F0000}"/>
    <cellStyle name="Gut 136 2" xfId="17526" xr:uid="{00000000-0005-0000-0000-0000AE3F0000}"/>
    <cellStyle name="Gut 136_est. MEAT" xfId="24318" xr:uid="{00000000-0005-0000-0000-0000AF3F0000}"/>
    <cellStyle name="Gut 137" xfId="8111" xr:uid="{00000000-0005-0000-0000-0000B03F0000}"/>
    <cellStyle name="Gut 137 2" xfId="17527" xr:uid="{00000000-0005-0000-0000-0000B13F0000}"/>
    <cellStyle name="Gut 137_est. MEAT" xfId="24319" xr:uid="{00000000-0005-0000-0000-0000B23F0000}"/>
    <cellStyle name="Gut 138" xfId="8112" xr:uid="{00000000-0005-0000-0000-0000B33F0000}"/>
    <cellStyle name="Gut 138 2" xfId="17528" xr:uid="{00000000-0005-0000-0000-0000B43F0000}"/>
    <cellStyle name="Gut 138_est. MEAT" xfId="24320" xr:uid="{00000000-0005-0000-0000-0000B53F0000}"/>
    <cellStyle name="Gut 139" xfId="8113" xr:uid="{00000000-0005-0000-0000-0000B63F0000}"/>
    <cellStyle name="Gut 139 2" xfId="17529" xr:uid="{00000000-0005-0000-0000-0000B73F0000}"/>
    <cellStyle name="Gut 139_est. MEAT" xfId="24321" xr:uid="{00000000-0005-0000-0000-0000B83F0000}"/>
    <cellStyle name="Gut 14" xfId="8114" xr:uid="{00000000-0005-0000-0000-0000B93F0000}"/>
    <cellStyle name="Gut 14 2" xfId="8115" xr:uid="{00000000-0005-0000-0000-0000BA3F0000}"/>
    <cellStyle name="Gut 14 2 2" xfId="17531" xr:uid="{00000000-0005-0000-0000-0000BB3F0000}"/>
    <cellStyle name="Gut 14 2_est. MEAT" xfId="24322" xr:uid="{00000000-0005-0000-0000-0000BC3F0000}"/>
    <cellStyle name="Gut 14 3" xfId="17530" xr:uid="{00000000-0005-0000-0000-0000BD3F0000}"/>
    <cellStyle name="Gut 14_2012-2019" xfId="12473" xr:uid="{00000000-0005-0000-0000-0000BE3F0000}"/>
    <cellStyle name="Gut 140" xfId="8116" xr:uid="{00000000-0005-0000-0000-0000BF3F0000}"/>
    <cellStyle name="Gut 140 2" xfId="17532" xr:uid="{00000000-0005-0000-0000-0000C03F0000}"/>
    <cellStyle name="Gut 140_est. MEAT" xfId="24323" xr:uid="{00000000-0005-0000-0000-0000C13F0000}"/>
    <cellStyle name="Gut 141" xfId="8117" xr:uid="{00000000-0005-0000-0000-0000C23F0000}"/>
    <cellStyle name="Gut 141 2" xfId="17533" xr:uid="{00000000-0005-0000-0000-0000C33F0000}"/>
    <cellStyle name="Gut 141_est. MEAT" xfId="24324" xr:uid="{00000000-0005-0000-0000-0000C43F0000}"/>
    <cellStyle name="Gut 142" xfId="8118" xr:uid="{00000000-0005-0000-0000-0000C53F0000}"/>
    <cellStyle name="Gut 142 2" xfId="17534" xr:uid="{00000000-0005-0000-0000-0000C63F0000}"/>
    <cellStyle name="Gut 142_est. MEAT" xfId="24325" xr:uid="{00000000-0005-0000-0000-0000C73F0000}"/>
    <cellStyle name="Gut 143" xfId="8119" xr:uid="{00000000-0005-0000-0000-0000C83F0000}"/>
    <cellStyle name="Gut 143 2" xfId="17535" xr:uid="{00000000-0005-0000-0000-0000C93F0000}"/>
    <cellStyle name="Gut 143_est. MEAT" xfId="24326" xr:uid="{00000000-0005-0000-0000-0000CA3F0000}"/>
    <cellStyle name="Gut 144" xfId="8120" xr:uid="{00000000-0005-0000-0000-0000CB3F0000}"/>
    <cellStyle name="Gut 144 2" xfId="17536" xr:uid="{00000000-0005-0000-0000-0000CC3F0000}"/>
    <cellStyle name="Gut 144_est. MEAT" xfId="24327" xr:uid="{00000000-0005-0000-0000-0000CD3F0000}"/>
    <cellStyle name="Gut 145" xfId="8121" xr:uid="{00000000-0005-0000-0000-0000CE3F0000}"/>
    <cellStyle name="Gut 145 2" xfId="17537" xr:uid="{00000000-0005-0000-0000-0000CF3F0000}"/>
    <cellStyle name="Gut 145_est. MEAT" xfId="24328" xr:uid="{00000000-0005-0000-0000-0000D03F0000}"/>
    <cellStyle name="Gut 146" xfId="8122" xr:uid="{00000000-0005-0000-0000-0000D13F0000}"/>
    <cellStyle name="Gut 146 2" xfId="17538" xr:uid="{00000000-0005-0000-0000-0000D23F0000}"/>
    <cellStyle name="Gut 146_est. MEAT" xfId="24329" xr:uid="{00000000-0005-0000-0000-0000D33F0000}"/>
    <cellStyle name="Gut 147" xfId="8123" xr:uid="{00000000-0005-0000-0000-0000D43F0000}"/>
    <cellStyle name="Gut 147 2" xfId="17539" xr:uid="{00000000-0005-0000-0000-0000D53F0000}"/>
    <cellStyle name="Gut 147_est. MEAT" xfId="24330" xr:uid="{00000000-0005-0000-0000-0000D63F0000}"/>
    <cellStyle name="Gut 148" xfId="8124" xr:uid="{00000000-0005-0000-0000-0000D73F0000}"/>
    <cellStyle name="Gut 148 2" xfId="17540" xr:uid="{00000000-0005-0000-0000-0000D83F0000}"/>
    <cellStyle name="Gut 148_est. MEAT" xfId="24331" xr:uid="{00000000-0005-0000-0000-0000D93F0000}"/>
    <cellStyle name="Gut 149" xfId="8125" xr:uid="{00000000-0005-0000-0000-0000DA3F0000}"/>
    <cellStyle name="Gut 149 2" xfId="17541" xr:uid="{00000000-0005-0000-0000-0000DB3F0000}"/>
    <cellStyle name="Gut 149_est. MEAT" xfId="24332" xr:uid="{00000000-0005-0000-0000-0000DC3F0000}"/>
    <cellStyle name="Gut 15" xfId="8126" xr:uid="{00000000-0005-0000-0000-0000DD3F0000}"/>
    <cellStyle name="Gut 15 2" xfId="17542" xr:uid="{00000000-0005-0000-0000-0000DE3F0000}"/>
    <cellStyle name="Gut 15_est. MEAT" xfId="24333" xr:uid="{00000000-0005-0000-0000-0000DF3F0000}"/>
    <cellStyle name="Gut 150" xfId="8127" xr:uid="{00000000-0005-0000-0000-0000E03F0000}"/>
    <cellStyle name="Gut 150 2" xfId="17543" xr:uid="{00000000-0005-0000-0000-0000E13F0000}"/>
    <cellStyle name="Gut 150_est. MEAT" xfId="24334" xr:uid="{00000000-0005-0000-0000-0000E23F0000}"/>
    <cellStyle name="Gut 151" xfId="8128" xr:uid="{00000000-0005-0000-0000-0000E33F0000}"/>
    <cellStyle name="Gut 151 2" xfId="17544" xr:uid="{00000000-0005-0000-0000-0000E43F0000}"/>
    <cellStyle name="Gut 151_est. MEAT" xfId="24335" xr:uid="{00000000-0005-0000-0000-0000E53F0000}"/>
    <cellStyle name="Gut 152" xfId="17481" xr:uid="{00000000-0005-0000-0000-0000E63F0000}"/>
    <cellStyle name="Gut 16" xfId="8129" xr:uid="{00000000-0005-0000-0000-0000E73F0000}"/>
    <cellStyle name="Gut 16 2" xfId="17545" xr:uid="{00000000-0005-0000-0000-0000E83F0000}"/>
    <cellStyle name="Gut 16_est. MEAT" xfId="24336" xr:uid="{00000000-0005-0000-0000-0000E93F0000}"/>
    <cellStyle name="Gut 17" xfId="8130" xr:uid="{00000000-0005-0000-0000-0000EA3F0000}"/>
    <cellStyle name="Gut 17 2" xfId="17546" xr:uid="{00000000-0005-0000-0000-0000EB3F0000}"/>
    <cellStyle name="Gut 17_est. MEAT" xfId="24337" xr:uid="{00000000-0005-0000-0000-0000EC3F0000}"/>
    <cellStyle name="Gut 18" xfId="8131" xr:uid="{00000000-0005-0000-0000-0000ED3F0000}"/>
    <cellStyle name="Gut 18 2" xfId="17547" xr:uid="{00000000-0005-0000-0000-0000EE3F0000}"/>
    <cellStyle name="Gut 18_est. MEAT" xfId="24338" xr:uid="{00000000-0005-0000-0000-0000EF3F0000}"/>
    <cellStyle name="Gut 19" xfId="8132" xr:uid="{00000000-0005-0000-0000-0000F03F0000}"/>
    <cellStyle name="Gut 19 2" xfId="17548" xr:uid="{00000000-0005-0000-0000-0000F13F0000}"/>
    <cellStyle name="Gut 19_est. MEAT" xfId="24339" xr:uid="{00000000-0005-0000-0000-0000F23F0000}"/>
    <cellStyle name="Gut 2" xfId="8133" xr:uid="{00000000-0005-0000-0000-0000F33F0000}"/>
    <cellStyle name="Gut 2 2" xfId="8134" xr:uid="{00000000-0005-0000-0000-0000F43F0000}"/>
    <cellStyle name="Gut 2 2 2" xfId="17550" xr:uid="{00000000-0005-0000-0000-0000F53F0000}"/>
    <cellStyle name="Gut 2 2_est. MEAT" xfId="24340" xr:uid="{00000000-0005-0000-0000-0000F63F0000}"/>
    <cellStyle name="Gut 2 3" xfId="17549" xr:uid="{00000000-0005-0000-0000-0000F73F0000}"/>
    <cellStyle name="Gut 2_2012-2019" xfId="12474" xr:uid="{00000000-0005-0000-0000-0000F83F0000}"/>
    <cellStyle name="Gut 20" xfId="8135" xr:uid="{00000000-0005-0000-0000-0000F93F0000}"/>
    <cellStyle name="Gut 20 2" xfId="17551" xr:uid="{00000000-0005-0000-0000-0000FA3F0000}"/>
    <cellStyle name="Gut 20_est. MEAT" xfId="24341" xr:uid="{00000000-0005-0000-0000-0000FB3F0000}"/>
    <cellStyle name="Gut 21" xfId="8136" xr:uid="{00000000-0005-0000-0000-0000FC3F0000}"/>
    <cellStyle name="Gut 21 2" xfId="17552" xr:uid="{00000000-0005-0000-0000-0000FD3F0000}"/>
    <cellStyle name="Gut 21_est. MEAT" xfId="24342" xr:uid="{00000000-0005-0000-0000-0000FE3F0000}"/>
    <cellStyle name="Gut 22" xfId="8137" xr:uid="{00000000-0005-0000-0000-0000FF3F0000}"/>
    <cellStyle name="Gut 22 2" xfId="17553" xr:uid="{00000000-0005-0000-0000-000000400000}"/>
    <cellStyle name="Gut 22_est. MEAT" xfId="24343" xr:uid="{00000000-0005-0000-0000-000001400000}"/>
    <cellStyle name="Gut 23" xfId="8138" xr:uid="{00000000-0005-0000-0000-000002400000}"/>
    <cellStyle name="Gut 23 2" xfId="17554" xr:uid="{00000000-0005-0000-0000-000003400000}"/>
    <cellStyle name="Gut 23_est. MEAT" xfId="24344" xr:uid="{00000000-0005-0000-0000-000004400000}"/>
    <cellStyle name="Gut 24" xfId="8139" xr:uid="{00000000-0005-0000-0000-000005400000}"/>
    <cellStyle name="Gut 24 2" xfId="17555" xr:uid="{00000000-0005-0000-0000-000006400000}"/>
    <cellStyle name="Gut 24_est. MEAT" xfId="24345" xr:uid="{00000000-0005-0000-0000-000007400000}"/>
    <cellStyle name="Gut 25" xfId="8140" xr:uid="{00000000-0005-0000-0000-000008400000}"/>
    <cellStyle name="Gut 25 2" xfId="17556" xr:uid="{00000000-0005-0000-0000-000009400000}"/>
    <cellStyle name="Gut 25_est. MEAT" xfId="24346" xr:uid="{00000000-0005-0000-0000-00000A400000}"/>
    <cellStyle name="Gut 26" xfId="8141" xr:uid="{00000000-0005-0000-0000-00000B400000}"/>
    <cellStyle name="Gut 26 2" xfId="17557" xr:uid="{00000000-0005-0000-0000-00000C400000}"/>
    <cellStyle name="Gut 26_est. MEAT" xfId="24347" xr:uid="{00000000-0005-0000-0000-00000D400000}"/>
    <cellStyle name="Gut 27" xfId="8142" xr:uid="{00000000-0005-0000-0000-00000E400000}"/>
    <cellStyle name="Gut 27 2" xfId="17558" xr:uid="{00000000-0005-0000-0000-00000F400000}"/>
    <cellStyle name="Gut 27_est. MEAT" xfId="24348" xr:uid="{00000000-0005-0000-0000-000010400000}"/>
    <cellStyle name="Gut 28" xfId="8143" xr:uid="{00000000-0005-0000-0000-000011400000}"/>
    <cellStyle name="Gut 28 2" xfId="17559" xr:uid="{00000000-0005-0000-0000-000012400000}"/>
    <cellStyle name="Gut 28_est. MEAT" xfId="24349" xr:uid="{00000000-0005-0000-0000-000013400000}"/>
    <cellStyle name="Gut 29" xfId="8144" xr:uid="{00000000-0005-0000-0000-000014400000}"/>
    <cellStyle name="Gut 29 2" xfId="17560" xr:uid="{00000000-0005-0000-0000-000015400000}"/>
    <cellStyle name="Gut 29_est. MEAT" xfId="24350" xr:uid="{00000000-0005-0000-0000-000016400000}"/>
    <cellStyle name="Gut 3" xfId="8145" xr:uid="{00000000-0005-0000-0000-000017400000}"/>
    <cellStyle name="Gut 3 2" xfId="8146" xr:uid="{00000000-0005-0000-0000-000018400000}"/>
    <cellStyle name="Gut 3 2 2" xfId="17562" xr:uid="{00000000-0005-0000-0000-000019400000}"/>
    <cellStyle name="Gut 3 2_est. MEAT" xfId="24351" xr:uid="{00000000-0005-0000-0000-00001A400000}"/>
    <cellStyle name="Gut 3 3" xfId="17561" xr:uid="{00000000-0005-0000-0000-00001B400000}"/>
    <cellStyle name="Gut 3_2012-2019" xfId="12475" xr:uid="{00000000-0005-0000-0000-00001C400000}"/>
    <cellStyle name="Gut 30" xfId="8147" xr:uid="{00000000-0005-0000-0000-00001D400000}"/>
    <cellStyle name="Gut 30 2" xfId="17563" xr:uid="{00000000-0005-0000-0000-00001E400000}"/>
    <cellStyle name="Gut 30_est. MEAT" xfId="24352" xr:uid="{00000000-0005-0000-0000-00001F400000}"/>
    <cellStyle name="Gut 31" xfId="8148" xr:uid="{00000000-0005-0000-0000-000020400000}"/>
    <cellStyle name="Gut 31 2" xfId="17564" xr:uid="{00000000-0005-0000-0000-000021400000}"/>
    <cellStyle name="Gut 31_est. MEAT" xfId="24353" xr:uid="{00000000-0005-0000-0000-000022400000}"/>
    <cellStyle name="Gut 32" xfId="8149" xr:uid="{00000000-0005-0000-0000-000023400000}"/>
    <cellStyle name="Gut 32 2" xfId="17565" xr:uid="{00000000-0005-0000-0000-000024400000}"/>
    <cellStyle name="Gut 32_est. MEAT" xfId="24354" xr:uid="{00000000-0005-0000-0000-000025400000}"/>
    <cellStyle name="Gut 33" xfId="8150" xr:uid="{00000000-0005-0000-0000-000026400000}"/>
    <cellStyle name="Gut 33 2" xfId="17566" xr:uid="{00000000-0005-0000-0000-000027400000}"/>
    <cellStyle name="Gut 33_est. MEAT" xfId="24355" xr:uid="{00000000-0005-0000-0000-000028400000}"/>
    <cellStyle name="Gut 34" xfId="8151" xr:uid="{00000000-0005-0000-0000-000029400000}"/>
    <cellStyle name="Gut 34 2" xfId="17567" xr:uid="{00000000-0005-0000-0000-00002A400000}"/>
    <cellStyle name="Gut 34_est. MEAT" xfId="24356" xr:uid="{00000000-0005-0000-0000-00002B400000}"/>
    <cellStyle name="Gut 35" xfId="8152" xr:uid="{00000000-0005-0000-0000-00002C400000}"/>
    <cellStyle name="Gut 35 2" xfId="17568" xr:uid="{00000000-0005-0000-0000-00002D400000}"/>
    <cellStyle name="Gut 35_est. MEAT" xfId="24357" xr:uid="{00000000-0005-0000-0000-00002E400000}"/>
    <cellStyle name="Gut 36" xfId="8153" xr:uid="{00000000-0005-0000-0000-00002F400000}"/>
    <cellStyle name="Gut 36 2" xfId="17569" xr:uid="{00000000-0005-0000-0000-000030400000}"/>
    <cellStyle name="Gut 36_est. MEAT" xfId="24358" xr:uid="{00000000-0005-0000-0000-000031400000}"/>
    <cellStyle name="Gut 37" xfId="8154" xr:uid="{00000000-0005-0000-0000-000032400000}"/>
    <cellStyle name="Gut 37 2" xfId="17570" xr:uid="{00000000-0005-0000-0000-000033400000}"/>
    <cellStyle name="Gut 37_est. MEAT" xfId="24359" xr:uid="{00000000-0005-0000-0000-000034400000}"/>
    <cellStyle name="Gut 38" xfId="8155" xr:uid="{00000000-0005-0000-0000-000035400000}"/>
    <cellStyle name="Gut 38 2" xfId="17571" xr:uid="{00000000-0005-0000-0000-000036400000}"/>
    <cellStyle name="Gut 38_est. MEAT" xfId="24360" xr:uid="{00000000-0005-0000-0000-000037400000}"/>
    <cellStyle name="Gut 39" xfId="8156" xr:uid="{00000000-0005-0000-0000-000038400000}"/>
    <cellStyle name="Gut 39 2" xfId="17572" xr:uid="{00000000-0005-0000-0000-000039400000}"/>
    <cellStyle name="Gut 39_est. MEAT" xfId="24361" xr:uid="{00000000-0005-0000-0000-00003A400000}"/>
    <cellStyle name="Gut 4" xfId="8157" xr:uid="{00000000-0005-0000-0000-00003B400000}"/>
    <cellStyle name="Gut 4 2" xfId="8158" xr:uid="{00000000-0005-0000-0000-00003C400000}"/>
    <cellStyle name="Gut 4 2 2" xfId="17574" xr:uid="{00000000-0005-0000-0000-00003D400000}"/>
    <cellStyle name="Gut 4 2_est. MEAT" xfId="24362" xr:uid="{00000000-0005-0000-0000-00003E400000}"/>
    <cellStyle name="Gut 4 3" xfId="17573" xr:uid="{00000000-0005-0000-0000-00003F400000}"/>
    <cellStyle name="Gut 4_2012-2019" xfId="12476" xr:uid="{00000000-0005-0000-0000-000040400000}"/>
    <cellStyle name="Gut 40" xfId="8159" xr:uid="{00000000-0005-0000-0000-000041400000}"/>
    <cellStyle name="Gut 40 2" xfId="17575" xr:uid="{00000000-0005-0000-0000-000042400000}"/>
    <cellStyle name="Gut 40_est. MEAT" xfId="24363" xr:uid="{00000000-0005-0000-0000-000043400000}"/>
    <cellStyle name="Gut 41" xfId="8160" xr:uid="{00000000-0005-0000-0000-000044400000}"/>
    <cellStyle name="Gut 41 2" xfId="17576" xr:uid="{00000000-0005-0000-0000-000045400000}"/>
    <cellStyle name="Gut 41_est. MEAT" xfId="24364" xr:uid="{00000000-0005-0000-0000-000046400000}"/>
    <cellStyle name="Gut 42" xfId="8161" xr:uid="{00000000-0005-0000-0000-000047400000}"/>
    <cellStyle name="Gut 42 2" xfId="17577" xr:uid="{00000000-0005-0000-0000-000048400000}"/>
    <cellStyle name="Gut 42_est. MEAT" xfId="24365" xr:uid="{00000000-0005-0000-0000-000049400000}"/>
    <cellStyle name="Gut 43" xfId="8162" xr:uid="{00000000-0005-0000-0000-00004A400000}"/>
    <cellStyle name="Gut 43 2" xfId="17578" xr:uid="{00000000-0005-0000-0000-00004B400000}"/>
    <cellStyle name="Gut 43_est. MEAT" xfId="24366" xr:uid="{00000000-0005-0000-0000-00004C400000}"/>
    <cellStyle name="Gut 44" xfId="8163" xr:uid="{00000000-0005-0000-0000-00004D400000}"/>
    <cellStyle name="Gut 44 2" xfId="17579" xr:uid="{00000000-0005-0000-0000-00004E400000}"/>
    <cellStyle name="Gut 44_est. MEAT" xfId="24367" xr:uid="{00000000-0005-0000-0000-00004F400000}"/>
    <cellStyle name="Gut 45" xfId="8164" xr:uid="{00000000-0005-0000-0000-000050400000}"/>
    <cellStyle name="Gut 45 2" xfId="17580" xr:uid="{00000000-0005-0000-0000-000051400000}"/>
    <cellStyle name="Gut 45_est. MEAT" xfId="24368" xr:uid="{00000000-0005-0000-0000-000052400000}"/>
    <cellStyle name="Gut 46" xfId="8165" xr:uid="{00000000-0005-0000-0000-000053400000}"/>
    <cellStyle name="Gut 46 2" xfId="17581" xr:uid="{00000000-0005-0000-0000-000054400000}"/>
    <cellStyle name="Gut 46_est. MEAT" xfId="24369" xr:uid="{00000000-0005-0000-0000-000055400000}"/>
    <cellStyle name="Gut 47" xfId="8166" xr:uid="{00000000-0005-0000-0000-000056400000}"/>
    <cellStyle name="Gut 47 2" xfId="17582" xr:uid="{00000000-0005-0000-0000-000057400000}"/>
    <cellStyle name="Gut 47_est. MEAT" xfId="24370" xr:uid="{00000000-0005-0000-0000-000058400000}"/>
    <cellStyle name="Gut 48" xfId="8167" xr:uid="{00000000-0005-0000-0000-000059400000}"/>
    <cellStyle name="Gut 48 2" xfId="17583" xr:uid="{00000000-0005-0000-0000-00005A400000}"/>
    <cellStyle name="Gut 48_est. MEAT" xfId="24371" xr:uid="{00000000-0005-0000-0000-00005B400000}"/>
    <cellStyle name="Gut 49" xfId="8168" xr:uid="{00000000-0005-0000-0000-00005C400000}"/>
    <cellStyle name="Gut 49 2" xfId="17584" xr:uid="{00000000-0005-0000-0000-00005D400000}"/>
    <cellStyle name="Gut 49_est. MEAT" xfId="24372" xr:uid="{00000000-0005-0000-0000-00005E400000}"/>
    <cellStyle name="Gut 5" xfId="8169" xr:uid="{00000000-0005-0000-0000-00005F400000}"/>
    <cellStyle name="Gut 5 2" xfId="8170" xr:uid="{00000000-0005-0000-0000-000060400000}"/>
    <cellStyle name="Gut 5 2 2" xfId="17586" xr:uid="{00000000-0005-0000-0000-000061400000}"/>
    <cellStyle name="Gut 5 2_est. MEAT" xfId="24373" xr:uid="{00000000-0005-0000-0000-000062400000}"/>
    <cellStyle name="Gut 5 3" xfId="17585" xr:uid="{00000000-0005-0000-0000-000063400000}"/>
    <cellStyle name="Gut 5_2012-2019" xfId="12477" xr:uid="{00000000-0005-0000-0000-000064400000}"/>
    <cellStyle name="Gut 50" xfId="8171" xr:uid="{00000000-0005-0000-0000-000065400000}"/>
    <cellStyle name="Gut 50 2" xfId="17587" xr:uid="{00000000-0005-0000-0000-000066400000}"/>
    <cellStyle name="Gut 50_est. MEAT" xfId="24374" xr:uid="{00000000-0005-0000-0000-000067400000}"/>
    <cellStyle name="Gut 51" xfId="8172" xr:uid="{00000000-0005-0000-0000-000068400000}"/>
    <cellStyle name="Gut 51 2" xfId="17588" xr:uid="{00000000-0005-0000-0000-000069400000}"/>
    <cellStyle name="Gut 51_est. MEAT" xfId="24375" xr:uid="{00000000-0005-0000-0000-00006A400000}"/>
    <cellStyle name="Gut 52" xfId="8173" xr:uid="{00000000-0005-0000-0000-00006B400000}"/>
    <cellStyle name="Gut 52 2" xfId="17589" xr:uid="{00000000-0005-0000-0000-00006C400000}"/>
    <cellStyle name="Gut 52_est. MEAT" xfId="24376" xr:uid="{00000000-0005-0000-0000-00006D400000}"/>
    <cellStyle name="Gut 53" xfId="8174" xr:uid="{00000000-0005-0000-0000-00006E400000}"/>
    <cellStyle name="Gut 53 2" xfId="17590" xr:uid="{00000000-0005-0000-0000-00006F400000}"/>
    <cellStyle name="Gut 53_est. MEAT" xfId="24377" xr:uid="{00000000-0005-0000-0000-000070400000}"/>
    <cellStyle name="Gut 54" xfId="8175" xr:uid="{00000000-0005-0000-0000-000071400000}"/>
    <cellStyle name="Gut 54 2" xfId="17591" xr:uid="{00000000-0005-0000-0000-000072400000}"/>
    <cellStyle name="Gut 54_est. MEAT" xfId="24378" xr:uid="{00000000-0005-0000-0000-000073400000}"/>
    <cellStyle name="Gut 55" xfId="8176" xr:uid="{00000000-0005-0000-0000-000074400000}"/>
    <cellStyle name="Gut 55 2" xfId="17592" xr:uid="{00000000-0005-0000-0000-000075400000}"/>
    <cellStyle name="Gut 55_est. MEAT" xfId="24379" xr:uid="{00000000-0005-0000-0000-000076400000}"/>
    <cellStyle name="Gut 56" xfId="8177" xr:uid="{00000000-0005-0000-0000-000077400000}"/>
    <cellStyle name="Gut 56 2" xfId="17593" xr:uid="{00000000-0005-0000-0000-000078400000}"/>
    <cellStyle name="Gut 56_est. MEAT" xfId="24380" xr:uid="{00000000-0005-0000-0000-000079400000}"/>
    <cellStyle name="Gut 57" xfId="8178" xr:uid="{00000000-0005-0000-0000-00007A400000}"/>
    <cellStyle name="Gut 57 2" xfId="17594" xr:uid="{00000000-0005-0000-0000-00007B400000}"/>
    <cellStyle name="Gut 57_est. MEAT" xfId="24381" xr:uid="{00000000-0005-0000-0000-00007C400000}"/>
    <cellStyle name="Gut 58" xfId="8179" xr:uid="{00000000-0005-0000-0000-00007D400000}"/>
    <cellStyle name="Gut 58 2" xfId="17595" xr:uid="{00000000-0005-0000-0000-00007E400000}"/>
    <cellStyle name="Gut 58_est. MEAT" xfId="24382" xr:uid="{00000000-0005-0000-0000-00007F400000}"/>
    <cellStyle name="Gut 59" xfId="8180" xr:uid="{00000000-0005-0000-0000-000080400000}"/>
    <cellStyle name="Gut 59 2" xfId="17596" xr:uid="{00000000-0005-0000-0000-000081400000}"/>
    <cellStyle name="Gut 59_est. MEAT" xfId="24383" xr:uid="{00000000-0005-0000-0000-000082400000}"/>
    <cellStyle name="Gut 6" xfId="8181" xr:uid="{00000000-0005-0000-0000-000083400000}"/>
    <cellStyle name="Gut 6 2" xfId="8182" xr:uid="{00000000-0005-0000-0000-000084400000}"/>
    <cellStyle name="Gut 6 2 2" xfId="17598" xr:uid="{00000000-0005-0000-0000-000085400000}"/>
    <cellStyle name="Gut 6 2_est. MEAT" xfId="24384" xr:uid="{00000000-0005-0000-0000-000086400000}"/>
    <cellStyle name="Gut 6 3" xfId="17597" xr:uid="{00000000-0005-0000-0000-000087400000}"/>
    <cellStyle name="Gut 6_2012-2019" xfId="12478" xr:uid="{00000000-0005-0000-0000-000088400000}"/>
    <cellStyle name="Gut 60" xfId="8183" xr:uid="{00000000-0005-0000-0000-000089400000}"/>
    <cellStyle name="Gut 60 2" xfId="17599" xr:uid="{00000000-0005-0000-0000-00008A400000}"/>
    <cellStyle name="Gut 60_est. MEAT" xfId="24385" xr:uid="{00000000-0005-0000-0000-00008B400000}"/>
    <cellStyle name="Gut 61" xfId="8184" xr:uid="{00000000-0005-0000-0000-00008C400000}"/>
    <cellStyle name="Gut 61 2" xfId="17600" xr:uid="{00000000-0005-0000-0000-00008D400000}"/>
    <cellStyle name="Gut 61_est. MEAT" xfId="24386" xr:uid="{00000000-0005-0000-0000-00008E400000}"/>
    <cellStyle name="Gut 62" xfId="8185" xr:uid="{00000000-0005-0000-0000-00008F400000}"/>
    <cellStyle name="Gut 62 2" xfId="17601" xr:uid="{00000000-0005-0000-0000-000090400000}"/>
    <cellStyle name="Gut 62_est. MEAT" xfId="24387" xr:uid="{00000000-0005-0000-0000-000091400000}"/>
    <cellStyle name="Gut 63" xfId="8186" xr:uid="{00000000-0005-0000-0000-000092400000}"/>
    <cellStyle name="Gut 63 2" xfId="17602" xr:uid="{00000000-0005-0000-0000-000093400000}"/>
    <cellStyle name="Gut 63_est. MEAT" xfId="24388" xr:uid="{00000000-0005-0000-0000-000094400000}"/>
    <cellStyle name="Gut 64" xfId="8187" xr:uid="{00000000-0005-0000-0000-000095400000}"/>
    <cellStyle name="Gut 64 2" xfId="17603" xr:uid="{00000000-0005-0000-0000-000096400000}"/>
    <cellStyle name="Gut 64_est. MEAT" xfId="24389" xr:uid="{00000000-0005-0000-0000-000097400000}"/>
    <cellStyle name="Gut 65" xfId="8188" xr:uid="{00000000-0005-0000-0000-000098400000}"/>
    <cellStyle name="Gut 65 2" xfId="17604" xr:uid="{00000000-0005-0000-0000-000099400000}"/>
    <cellStyle name="Gut 65_est. MEAT" xfId="24390" xr:uid="{00000000-0005-0000-0000-00009A400000}"/>
    <cellStyle name="Gut 66" xfId="8189" xr:uid="{00000000-0005-0000-0000-00009B400000}"/>
    <cellStyle name="Gut 66 2" xfId="17605" xr:uid="{00000000-0005-0000-0000-00009C400000}"/>
    <cellStyle name="Gut 66_est. MEAT" xfId="24391" xr:uid="{00000000-0005-0000-0000-00009D400000}"/>
    <cellStyle name="Gut 67" xfId="8190" xr:uid="{00000000-0005-0000-0000-00009E400000}"/>
    <cellStyle name="Gut 67 2" xfId="17606" xr:uid="{00000000-0005-0000-0000-00009F400000}"/>
    <cellStyle name="Gut 67_est. MEAT" xfId="24392" xr:uid="{00000000-0005-0000-0000-0000A0400000}"/>
    <cellStyle name="Gut 68" xfId="8191" xr:uid="{00000000-0005-0000-0000-0000A1400000}"/>
    <cellStyle name="Gut 68 2" xfId="17607" xr:uid="{00000000-0005-0000-0000-0000A2400000}"/>
    <cellStyle name="Gut 68_est. MEAT" xfId="24393" xr:uid="{00000000-0005-0000-0000-0000A3400000}"/>
    <cellStyle name="Gut 69" xfId="8192" xr:uid="{00000000-0005-0000-0000-0000A4400000}"/>
    <cellStyle name="Gut 69 2" xfId="17608" xr:uid="{00000000-0005-0000-0000-0000A5400000}"/>
    <cellStyle name="Gut 69_est. MEAT" xfId="24394" xr:uid="{00000000-0005-0000-0000-0000A6400000}"/>
    <cellStyle name="Gut 7" xfId="8193" xr:uid="{00000000-0005-0000-0000-0000A7400000}"/>
    <cellStyle name="Gut 7 2" xfId="8194" xr:uid="{00000000-0005-0000-0000-0000A8400000}"/>
    <cellStyle name="Gut 7 2 2" xfId="17610" xr:uid="{00000000-0005-0000-0000-0000A9400000}"/>
    <cellStyle name="Gut 7 2_est. MEAT" xfId="24395" xr:uid="{00000000-0005-0000-0000-0000AA400000}"/>
    <cellStyle name="Gut 7 3" xfId="17609" xr:uid="{00000000-0005-0000-0000-0000AB400000}"/>
    <cellStyle name="Gut 7_2012-2019" xfId="12479" xr:uid="{00000000-0005-0000-0000-0000AC400000}"/>
    <cellStyle name="Gut 70" xfId="8195" xr:uid="{00000000-0005-0000-0000-0000AD400000}"/>
    <cellStyle name="Gut 70 2" xfId="17611" xr:uid="{00000000-0005-0000-0000-0000AE400000}"/>
    <cellStyle name="Gut 70_est. MEAT" xfId="24396" xr:uid="{00000000-0005-0000-0000-0000AF400000}"/>
    <cellStyle name="Gut 71" xfId="8196" xr:uid="{00000000-0005-0000-0000-0000B0400000}"/>
    <cellStyle name="Gut 71 2" xfId="17612" xr:uid="{00000000-0005-0000-0000-0000B1400000}"/>
    <cellStyle name="Gut 71_est. MEAT" xfId="24397" xr:uid="{00000000-0005-0000-0000-0000B2400000}"/>
    <cellStyle name="Gut 72" xfId="8197" xr:uid="{00000000-0005-0000-0000-0000B3400000}"/>
    <cellStyle name="Gut 72 2" xfId="17613" xr:uid="{00000000-0005-0000-0000-0000B4400000}"/>
    <cellStyle name="Gut 72_est. MEAT" xfId="24398" xr:uid="{00000000-0005-0000-0000-0000B5400000}"/>
    <cellStyle name="Gut 73" xfId="8198" xr:uid="{00000000-0005-0000-0000-0000B6400000}"/>
    <cellStyle name="Gut 73 2" xfId="17614" xr:uid="{00000000-0005-0000-0000-0000B7400000}"/>
    <cellStyle name="Gut 73_est. MEAT" xfId="24399" xr:uid="{00000000-0005-0000-0000-0000B8400000}"/>
    <cellStyle name="Gut 74" xfId="8199" xr:uid="{00000000-0005-0000-0000-0000B9400000}"/>
    <cellStyle name="Gut 74 2" xfId="17615" xr:uid="{00000000-0005-0000-0000-0000BA400000}"/>
    <cellStyle name="Gut 74_est. MEAT" xfId="24400" xr:uid="{00000000-0005-0000-0000-0000BB400000}"/>
    <cellStyle name="Gut 75" xfId="8200" xr:uid="{00000000-0005-0000-0000-0000BC400000}"/>
    <cellStyle name="Gut 75 2" xfId="17616" xr:uid="{00000000-0005-0000-0000-0000BD400000}"/>
    <cellStyle name="Gut 75_est. MEAT" xfId="24401" xr:uid="{00000000-0005-0000-0000-0000BE400000}"/>
    <cellStyle name="Gut 76" xfId="8201" xr:uid="{00000000-0005-0000-0000-0000BF400000}"/>
    <cellStyle name="Gut 76 2" xfId="17617" xr:uid="{00000000-0005-0000-0000-0000C0400000}"/>
    <cellStyle name="Gut 76_est. MEAT" xfId="24402" xr:uid="{00000000-0005-0000-0000-0000C1400000}"/>
    <cellStyle name="Gut 77" xfId="8202" xr:uid="{00000000-0005-0000-0000-0000C2400000}"/>
    <cellStyle name="Gut 77 2" xfId="17618" xr:uid="{00000000-0005-0000-0000-0000C3400000}"/>
    <cellStyle name="Gut 77_est. MEAT" xfId="24403" xr:uid="{00000000-0005-0000-0000-0000C4400000}"/>
    <cellStyle name="Gut 78" xfId="8203" xr:uid="{00000000-0005-0000-0000-0000C5400000}"/>
    <cellStyle name="Gut 78 2" xfId="17619" xr:uid="{00000000-0005-0000-0000-0000C6400000}"/>
    <cellStyle name="Gut 78_est. MEAT" xfId="24404" xr:uid="{00000000-0005-0000-0000-0000C7400000}"/>
    <cellStyle name="Gut 79" xfId="8204" xr:uid="{00000000-0005-0000-0000-0000C8400000}"/>
    <cellStyle name="Gut 79 2" xfId="17620" xr:uid="{00000000-0005-0000-0000-0000C9400000}"/>
    <cellStyle name="Gut 79_est. MEAT" xfId="24405" xr:uid="{00000000-0005-0000-0000-0000CA400000}"/>
    <cellStyle name="Gut 8" xfId="8205" xr:uid="{00000000-0005-0000-0000-0000CB400000}"/>
    <cellStyle name="Gut 8 2" xfId="8206" xr:uid="{00000000-0005-0000-0000-0000CC400000}"/>
    <cellStyle name="Gut 8 2 2" xfId="17622" xr:uid="{00000000-0005-0000-0000-0000CD400000}"/>
    <cellStyle name="Gut 8 2_est. MEAT" xfId="24406" xr:uid="{00000000-0005-0000-0000-0000CE400000}"/>
    <cellStyle name="Gut 8 3" xfId="17621" xr:uid="{00000000-0005-0000-0000-0000CF400000}"/>
    <cellStyle name="Gut 8_2012-2019" xfId="12480" xr:uid="{00000000-0005-0000-0000-0000D0400000}"/>
    <cellStyle name="Gut 80" xfId="8207" xr:uid="{00000000-0005-0000-0000-0000D1400000}"/>
    <cellStyle name="Gut 80 2" xfId="17623" xr:uid="{00000000-0005-0000-0000-0000D2400000}"/>
    <cellStyle name="Gut 80_est. MEAT" xfId="24407" xr:uid="{00000000-0005-0000-0000-0000D3400000}"/>
    <cellStyle name="Gut 81" xfId="8208" xr:uid="{00000000-0005-0000-0000-0000D4400000}"/>
    <cellStyle name="Gut 81 2" xfId="17624" xr:uid="{00000000-0005-0000-0000-0000D5400000}"/>
    <cellStyle name="Gut 81_est. MEAT" xfId="24408" xr:uid="{00000000-0005-0000-0000-0000D6400000}"/>
    <cellStyle name="Gut 82" xfId="8209" xr:uid="{00000000-0005-0000-0000-0000D7400000}"/>
    <cellStyle name="Gut 82 2" xfId="17625" xr:uid="{00000000-0005-0000-0000-0000D8400000}"/>
    <cellStyle name="Gut 82_est. MEAT" xfId="24409" xr:uid="{00000000-0005-0000-0000-0000D9400000}"/>
    <cellStyle name="Gut 83" xfId="8210" xr:uid="{00000000-0005-0000-0000-0000DA400000}"/>
    <cellStyle name="Gut 83 2" xfId="17626" xr:uid="{00000000-0005-0000-0000-0000DB400000}"/>
    <cellStyle name="Gut 83_est. MEAT" xfId="24410" xr:uid="{00000000-0005-0000-0000-0000DC400000}"/>
    <cellStyle name="Gut 84" xfId="8211" xr:uid="{00000000-0005-0000-0000-0000DD400000}"/>
    <cellStyle name="Gut 84 2" xfId="17627" xr:uid="{00000000-0005-0000-0000-0000DE400000}"/>
    <cellStyle name="Gut 84_est. MEAT" xfId="24411" xr:uid="{00000000-0005-0000-0000-0000DF400000}"/>
    <cellStyle name="Gut 85" xfId="8212" xr:uid="{00000000-0005-0000-0000-0000E0400000}"/>
    <cellStyle name="Gut 85 2" xfId="17628" xr:uid="{00000000-0005-0000-0000-0000E1400000}"/>
    <cellStyle name="Gut 85_est. MEAT" xfId="24412" xr:uid="{00000000-0005-0000-0000-0000E2400000}"/>
    <cellStyle name="Gut 86" xfId="8213" xr:uid="{00000000-0005-0000-0000-0000E3400000}"/>
    <cellStyle name="Gut 86 2" xfId="17629" xr:uid="{00000000-0005-0000-0000-0000E4400000}"/>
    <cellStyle name="Gut 86_est. MEAT" xfId="24413" xr:uid="{00000000-0005-0000-0000-0000E5400000}"/>
    <cellStyle name="Gut 87" xfId="8214" xr:uid="{00000000-0005-0000-0000-0000E6400000}"/>
    <cellStyle name="Gut 87 2" xfId="17630" xr:uid="{00000000-0005-0000-0000-0000E7400000}"/>
    <cellStyle name="Gut 87_est. MEAT" xfId="24414" xr:uid="{00000000-0005-0000-0000-0000E8400000}"/>
    <cellStyle name="Gut 88" xfId="8215" xr:uid="{00000000-0005-0000-0000-0000E9400000}"/>
    <cellStyle name="Gut 88 2" xfId="17631" xr:uid="{00000000-0005-0000-0000-0000EA400000}"/>
    <cellStyle name="Gut 88_est. MEAT" xfId="24415" xr:uid="{00000000-0005-0000-0000-0000EB400000}"/>
    <cellStyle name="Gut 89" xfId="8216" xr:uid="{00000000-0005-0000-0000-0000EC400000}"/>
    <cellStyle name="Gut 89 2" xfId="17632" xr:uid="{00000000-0005-0000-0000-0000ED400000}"/>
    <cellStyle name="Gut 89_est. MEAT" xfId="24416" xr:uid="{00000000-0005-0000-0000-0000EE400000}"/>
    <cellStyle name="Gut 9" xfId="8217" xr:uid="{00000000-0005-0000-0000-0000EF400000}"/>
    <cellStyle name="Gut 9 2" xfId="8218" xr:uid="{00000000-0005-0000-0000-0000F0400000}"/>
    <cellStyle name="Gut 9 2 2" xfId="17634" xr:uid="{00000000-0005-0000-0000-0000F1400000}"/>
    <cellStyle name="Gut 9 2_est. MEAT" xfId="24417" xr:uid="{00000000-0005-0000-0000-0000F2400000}"/>
    <cellStyle name="Gut 9 3" xfId="17633" xr:uid="{00000000-0005-0000-0000-0000F3400000}"/>
    <cellStyle name="Gut 9_2012-2019" xfId="12481" xr:uid="{00000000-0005-0000-0000-0000F4400000}"/>
    <cellStyle name="Gut 90" xfId="8219" xr:uid="{00000000-0005-0000-0000-0000F5400000}"/>
    <cellStyle name="Gut 90 2" xfId="17635" xr:uid="{00000000-0005-0000-0000-0000F6400000}"/>
    <cellStyle name="Gut 90_est. MEAT" xfId="24418" xr:uid="{00000000-0005-0000-0000-0000F7400000}"/>
    <cellStyle name="Gut 91" xfId="8220" xr:uid="{00000000-0005-0000-0000-0000F8400000}"/>
    <cellStyle name="Gut 91 2" xfId="17636" xr:uid="{00000000-0005-0000-0000-0000F9400000}"/>
    <cellStyle name="Gut 91_est. MEAT" xfId="24419" xr:uid="{00000000-0005-0000-0000-0000FA400000}"/>
    <cellStyle name="Gut 92" xfId="8221" xr:uid="{00000000-0005-0000-0000-0000FB400000}"/>
    <cellStyle name="Gut 92 2" xfId="17637" xr:uid="{00000000-0005-0000-0000-0000FC400000}"/>
    <cellStyle name="Gut 92_est. MEAT" xfId="24420" xr:uid="{00000000-0005-0000-0000-0000FD400000}"/>
    <cellStyle name="Gut 93" xfId="8222" xr:uid="{00000000-0005-0000-0000-0000FE400000}"/>
    <cellStyle name="Gut 93 2" xfId="17638" xr:uid="{00000000-0005-0000-0000-0000FF400000}"/>
    <cellStyle name="Gut 93_est. MEAT" xfId="24421" xr:uid="{00000000-0005-0000-0000-000000410000}"/>
    <cellStyle name="Gut 94" xfId="8223" xr:uid="{00000000-0005-0000-0000-000001410000}"/>
    <cellStyle name="Gut 94 2" xfId="17639" xr:uid="{00000000-0005-0000-0000-000002410000}"/>
    <cellStyle name="Gut 94_est. MEAT" xfId="24422" xr:uid="{00000000-0005-0000-0000-000003410000}"/>
    <cellStyle name="Gut 95" xfId="8224" xr:uid="{00000000-0005-0000-0000-000004410000}"/>
    <cellStyle name="Gut 95 2" xfId="17640" xr:uid="{00000000-0005-0000-0000-000005410000}"/>
    <cellStyle name="Gut 95_est. MEAT" xfId="24423" xr:uid="{00000000-0005-0000-0000-000006410000}"/>
    <cellStyle name="Gut 96" xfId="8225" xr:uid="{00000000-0005-0000-0000-000007410000}"/>
    <cellStyle name="Gut 96 2" xfId="17641" xr:uid="{00000000-0005-0000-0000-000008410000}"/>
    <cellStyle name="Gut 96_est. MEAT" xfId="24424" xr:uid="{00000000-0005-0000-0000-000009410000}"/>
    <cellStyle name="Gut 97" xfId="8226" xr:uid="{00000000-0005-0000-0000-00000A410000}"/>
    <cellStyle name="Gut 97 2" xfId="17642" xr:uid="{00000000-0005-0000-0000-00000B410000}"/>
    <cellStyle name="Gut 97_est. MEAT" xfId="24425" xr:uid="{00000000-0005-0000-0000-00000C410000}"/>
    <cellStyle name="Gut 98" xfId="8227" xr:uid="{00000000-0005-0000-0000-00000D410000}"/>
    <cellStyle name="Gut 98 2" xfId="17643" xr:uid="{00000000-0005-0000-0000-00000E410000}"/>
    <cellStyle name="Gut 98_est. MEAT" xfId="24426" xr:uid="{00000000-0005-0000-0000-00000F410000}"/>
    <cellStyle name="Gut 99" xfId="8228" xr:uid="{00000000-0005-0000-0000-000010410000}"/>
    <cellStyle name="Gut 99 2" xfId="17644" xr:uid="{00000000-0005-0000-0000-000011410000}"/>
    <cellStyle name="Gut 99_est. MEAT" xfId="24427" xr:uid="{00000000-0005-0000-0000-000012410000}"/>
    <cellStyle name="Gut_2012-2019" xfId="12468" xr:uid="{00000000-0005-0000-0000-000013410000}"/>
    <cellStyle name="Heading 1" xfId="24428" xr:uid="{00000000-0005-0000-0000-000014410000}"/>
    <cellStyle name="Heading 1 2" xfId="8229" xr:uid="{00000000-0005-0000-0000-000015410000}"/>
    <cellStyle name="Heading 1 2 2" xfId="17645" xr:uid="{00000000-0005-0000-0000-000016410000}"/>
    <cellStyle name="Heading 1 2_est. MEAT" xfId="24429" xr:uid="{00000000-0005-0000-0000-000017410000}"/>
    <cellStyle name="Heading 1_AE_FC_QuoteMaster" xfId="24430" xr:uid="{00000000-0005-0000-0000-000018410000}"/>
    <cellStyle name="Heading 2" xfId="24431" xr:uid="{00000000-0005-0000-0000-000019410000}"/>
    <cellStyle name="Heading 2 2" xfId="8230" xr:uid="{00000000-0005-0000-0000-00001A410000}"/>
    <cellStyle name="Heading 2 2 2" xfId="17646" xr:uid="{00000000-0005-0000-0000-00001B410000}"/>
    <cellStyle name="Heading 2 2_est. MEAT" xfId="24432" xr:uid="{00000000-0005-0000-0000-00001C410000}"/>
    <cellStyle name="Heading 2_AE_FC_QuoteMaster" xfId="24433" xr:uid="{00000000-0005-0000-0000-00001D410000}"/>
    <cellStyle name="Heading 3" xfId="24434" xr:uid="{00000000-0005-0000-0000-00001E410000}"/>
    <cellStyle name="Heading 3 2" xfId="8231" xr:uid="{00000000-0005-0000-0000-00001F410000}"/>
    <cellStyle name="Heading 3 2 2" xfId="17647" xr:uid="{00000000-0005-0000-0000-000020410000}"/>
    <cellStyle name="Heading 3 2_est. MEAT" xfId="24435" xr:uid="{00000000-0005-0000-0000-000021410000}"/>
    <cellStyle name="Heading 3_AE_FC_QuoteMaster" xfId="24436" xr:uid="{00000000-0005-0000-0000-000022410000}"/>
    <cellStyle name="Heading 4" xfId="24437" xr:uid="{00000000-0005-0000-0000-000023410000}"/>
    <cellStyle name="Heading 4 2" xfId="8232" xr:uid="{00000000-0005-0000-0000-000024410000}"/>
    <cellStyle name="Heading 4 2 2" xfId="17648" xr:uid="{00000000-0005-0000-0000-000025410000}"/>
    <cellStyle name="Heading 4 2_est. MEAT" xfId="24438" xr:uid="{00000000-0005-0000-0000-000026410000}"/>
    <cellStyle name="Heading 4_AE_FC_QuoteMaster" xfId="24439" xr:uid="{00000000-0005-0000-0000-000027410000}"/>
    <cellStyle name="hellgrau" xfId="8233" xr:uid="{00000000-0005-0000-0000-000028410000}"/>
    <cellStyle name="hellgrau 2" xfId="17649" xr:uid="{00000000-0005-0000-0000-000029410000}"/>
    <cellStyle name="hellgrau_est. MEAT" xfId="24440" xr:uid="{00000000-0005-0000-0000-00002A410000}"/>
    <cellStyle name="Input 2" xfId="8234" xr:uid="{00000000-0005-0000-0000-00002B410000}"/>
    <cellStyle name="Input 2 2" xfId="17650" xr:uid="{00000000-0005-0000-0000-00002C410000}"/>
    <cellStyle name="Input 2_est. MEAT" xfId="24441" xr:uid="{00000000-0005-0000-0000-00002D410000}"/>
    <cellStyle name="Komma 2" xfId="8235" xr:uid="{00000000-0005-0000-0000-00002E410000}"/>
    <cellStyle name="Komma 2 2" xfId="17651" xr:uid="{00000000-0005-0000-0000-00002F410000}"/>
    <cellStyle name="Komma 2_est. MEAT" xfId="24442" xr:uid="{00000000-0005-0000-0000-000030410000}"/>
    <cellStyle name="Komma 3" xfId="8236" xr:uid="{00000000-0005-0000-0000-000031410000}"/>
    <cellStyle name="Komma 3 2" xfId="17652" xr:uid="{00000000-0005-0000-0000-000032410000}"/>
    <cellStyle name="Komma 3_est. MEAT" xfId="24443" xr:uid="{00000000-0005-0000-0000-000033410000}"/>
    <cellStyle name="kW (0)" xfId="8237" xr:uid="{00000000-0005-0000-0000-000034410000}"/>
    <cellStyle name="kW (0) 2" xfId="17653" xr:uid="{00000000-0005-0000-0000-000035410000}"/>
    <cellStyle name="kW (0)_est. MEAT" xfId="24444" xr:uid="{00000000-0005-0000-0000-000036410000}"/>
    <cellStyle name="kW (0,00)" xfId="8238" xr:uid="{00000000-0005-0000-0000-000037410000}"/>
    <cellStyle name="kW (0,00) 2" xfId="17654" xr:uid="{00000000-0005-0000-0000-000038410000}"/>
    <cellStyle name="kW (0,00)_est. MEAT" xfId="24445" xr:uid="{00000000-0005-0000-0000-000039410000}"/>
    <cellStyle name="Lien hypertexte" xfId="3" builtinId="8"/>
    <cellStyle name="Linked Cell" xfId="24446" xr:uid="{00000000-0005-0000-0000-00003B410000}"/>
    <cellStyle name="Linked Cell 2" xfId="8239" xr:uid="{00000000-0005-0000-0000-00003C410000}"/>
    <cellStyle name="Linked Cell 2 2" xfId="17655" xr:uid="{00000000-0005-0000-0000-00003D410000}"/>
    <cellStyle name="Linked Cell 2_est. MEAT" xfId="24447" xr:uid="{00000000-0005-0000-0000-00003E410000}"/>
    <cellStyle name="Linked Cell_AE_FC_QuoteMaster" xfId="24448" xr:uid="{00000000-0005-0000-0000-00003F410000}"/>
    <cellStyle name="Monétaire" xfId="1" builtinId="4"/>
    <cellStyle name="Neutral 10" xfId="8240" xr:uid="{00000000-0005-0000-0000-000040410000}"/>
    <cellStyle name="Neutral 10 2" xfId="8241" xr:uid="{00000000-0005-0000-0000-000041410000}"/>
    <cellStyle name="Neutral 10 2 2" xfId="17657" xr:uid="{00000000-0005-0000-0000-000042410000}"/>
    <cellStyle name="Neutral 10 2_est. MEAT" xfId="24449" xr:uid="{00000000-0005-0000-0000-000043410000}"/>
    <cellStyle name="Neutral 10 3" xfId="17656" xr:uid="{00000000-0005-0000-0000-000044410000}"/>
    <cellStyle name="Neutral 10_2012-2019" xfId="12482" xr:uid="{00000000-0005-0000-0000-000045410000}"/>
    <cellStyle name="Neutral 100" xfId="8242" xr:uid="{00000000-0005-0000-0000-000046410000}"/>
    <cellStyle name="Neutral 100 2" xfId="17658" xr:uid="{00000000-0005-0000-0000-000047410000}"/>
    <cellStyle name="Neutral 100_est. MEAT" xfId="24450" xr:uid="{00000000-0005-0000-0000-000048410000}"/>
    <cellStyle name="Neutral 101" xfId="8243" xr:uid="{00000000-0005-0000-0000-000049410000}"/>
    <cellStyle name="Neutral 101 2" xfId="17659" xr:uid="{00000000-0005-0000-0000-00004A410000}"/>
    <cellStyle name="Neutral 101_est. MEAT" xfId="24451" xr:uid="{00000000-0005-0000-0000-00004B410000}"/>
    <cellStyle name="Neutral 102" xfId="8244" xr:uid="{00000000-0005-0000-0000-00004C410000}"/>
    <cellStyle name="Neutral 102 2" xfId="17660" xr:uid="{00000000-0005-0000-0000-00004D410000}"/>
    <cellStyle name="Neutral 102_est. MEAT" xfId="24452" xr:uid="{00000000-0005-0000-0000-00004E410000}"/>
    <cellStyle name="Neutral 103" xfId="8245" xr:uid="{00000000-0005-0000-0000-00004F410000}"/>
    <cellStyle name="Neutral 103 2" xfId="17661" xr:uid="{00000000-0005-0000-0000-000050410000}"/>
    <cellStyle name="Neutral 103_est. MEAT" xfId="24453" xr:uid="{00000000-0005-0000-0000-000051410000}"/>
    <cellStyle name="Neutral 104" xfId="8246" xr:uid="{00000000-0005-0000-0000-000052410000}"/>
    <cellStyle name="Neutral 104 2" xfId="17662" xr:uid="{00000000-0005-0000-0000-000053410000}"/>
    <cellStyle name="Neutral 104_est. MEAT" xfId="24454" xr:uid="{00000000-0005-0000-0000-000054410000}"/>
    <cellStyle name="Neutral 105" xfId="8247" xr:uid="{00000000-0005-0000-0000-000055410000}"/>
    <cellStyle name="Neutral 105 2" xfId="17663" xr:uid="{00000000-0005-0000-0000-000056410000}"/>
    <cellStyle name="Neutral 105_est. MEAT" xfId="24455" xr:uid="{00000000-0005-0000-0000-000057410000}"/>
    <cellStyle name="Neutral 106" xfId="8248" xr:uid="{00000000-0005-0000-0000-000058410000}"/>
    <cellStyle name="Neutral 106 2" xfId="17664" xr:uid="{00000000-0005-0000-0000-000059410000}"/>
    <cellStyle name="Neutral 106_est. MEAT" xfId="24456" xr:uid="{00000000-0005-0000-0000-00005A410000}"/>
    <cellStyle name="Neutral 107" xfId="8249" xr:uid="{00000000-0005-0000-0000-00005B410000}"/>
    <cellStyle name="Neutral 107 2" xfId="17665" xr:uid="{00000000-0005-0000-0000-00005C410000}"/>
    <cellStyle name="Neutral 107_est. MEAT" xfId="24457" xr:uid="{00000000-0005-0000-0000-00005D410000}"/>
    <cellStyle name="Neutral 108" xfId="8250" xr:uid="{00000000-0005-0000-0000-00005E410000}"/>
    <cellStyle name="Neutral 108 2" xfId="17666" xr:uid="{00000000-0005-0000-0000-00005F410000}"/>
    <cellStyle name="Neutral 108_est. MEAT" xfId="24458" xr:uid="{00000000-0005-0000-0000-000060410000}"/>
    <cellStyle name="Neutral 109" xfId="8251" xr:uid="{00000000-0005-0000-0000-000061410000}"/>
    <cellStyle name="Neutral 109 2" xfId="17667" xr:uid="{00000000-0005-0000-0000-000062410000}"/>
    <cellStyle name="Neutral 109_est. MEAT" xfId="24459" xr:uid="{00000000-0005-0000-0000-000063410000}"/>
    <cellStyle name="Neutral 11" xfId="8252" xr:uid="{00000000-0005-0000-0000-000064410000}"/>
    <cellStyle name="Neutral 11 2" xfId="8253" xr:uid="{00000000-0005-0000-0000-000065410000}"/>
    <cellStyle name="Neutral 11 2 2" xfId="17669" xr:uid="{00000000-0005-0000-0000-000066410000}"/>
    <cellStyle name="Neutral 11 2_est. MEAT" xfId="24460" xr:uid="{00000000-0005-0000-0000-000067410000}"/>
    <cellStyle name="Neutral 11 3" xfId="17668" xr:uid="{00000000-0005-0000-0000-000068410000}"/>
    <cellStyle name="Neutral 11_2012-2019" xfId="12483" xr:uid="{00000000-0005-0000-0000-000069410000}"/>
    <cellStyle name="Neutral 110" xfId="8254" xr:uid="{00000000-0005-0000-0000-00006A410000}"/>
    <cellStyle name="Neutral 110 2" xfId="17670" xr:uid="{00000000-0005-0000-0000-00006B410000}"/>
    <cellStyle name="Neutral 110_est. MEAT" xfId="24461" xr:uid="{00000000-0005-0000-0000-00006C410000}"/>
    <cellStyle name="Neutral 111" xfId="8255" xr:uid="{00000000-0005-0000-0000-00006D410000}"/>
    <cellStyle name="Neutral 111 2" xfId="17671" xr:uid="{00000000-0005-0000-0000-00006E410000}"/>
    <cellStyle name="Neutral 111_est. MEAT" xfId="24462" xr:uid="{00000000-0005-0000-0000-00006F410000}"/>
    <cellStyle name="Neutral 112" xfId="8256" xr:uid="{00000000-0005-0000-0000-000070410000}"/>
    <cellStyle name="Neutral 112 2" xfId="17672" xr:uid="{00000000-0005-0000-0000-000071410000}"/>
    <cellStyle name="Neutral 112_est. MEAT" xfId="24463" xr:uid="{00000000-0005-0000-0000-000072410000}"/>
    <cellStyle name="Neutral 113" xfId="8257" xr:uid="{00000000-0005-0000-0000-000073410000}"/>
    <cellStyle name="Neutral 113 2" xfId="17673" xr:uid="{00000000-0005-0000-0000-000074410000}"/>
    <cellStyle name="Neutral 113_est. MEAT" xfId="24464" xr:uid="{00000000-0005-0000-0000-000075410000}"/>
    <cellStyle name="Neutral 114" xfId="8258" xr:uid="{00000000-0005-0000-0000-000076410000}"/>
    <cellStyle name="Neutral 114 2" xfId="17674" xr:uid="{00000000-0005-0000-0000-000077410000}"/>
    <cellStyle name="Neutral 114_est. MEAT" xfId="24465" xr:uid="{00000000-0005-0000-0000-000078410000}"/>
    <cellStyle name="Neutral 115" xfId="8259" xr:uid="{00000000-0005-0000-0000-000079410000}"/>
    <cellStyle name="Neutral 115 2" xfId="17675" xr:uid="{00000000-0005-0000-0000-00007A410000}"/>
    <cellStyle name="Neutral 115_est. MEAT" xfId="24466" xr:uid="{00000000-0005-0000-0000-00007B410000}"/>
    <cellStyle name="Neutral 116" xfId="8260" xr:uid="{00000000-0005-0000-0000-00007C410000}"/>
    <cellStyle name="Neutral 116 2" xfId="17676" xr:uid="{00000000-0005-0000-0000-00007D410000}"/>
    <cellStyle name="Neutral 116_est. MEAT" xfId="24467" xr:uid="{00000000-0005-0000-0000-00007E410000}"/>
    <cellStyle name="Neutral 117" xfId="8261" xr:uid="{00000000-0005-0000-0000-00007F410000}"/>
    <cellStyle name="Neutral 117 2" xfId="17677" xr:uid="{00000000-0005-0000-0000-000080410000}"/>
    <cellStyle name="Neutral 117_est. MEAT" xfId="24468" xr:uid="{00000000-0005-0000-0000-000081410000}"/>
    <cellStyle name="Neutral 118" xfId="8262" xr:uid="{00000000-0005-0000-0000-000082410000}"/>
    <cellStyle name="Neutral 118 2" xfId="17678" xr:uid="{00000000-0005-0000-0000-000083410000}"/>
    <cellStyle name="Neutral 118_est. MEAT" xfId="24469" xr:uid="{00000000-0005-0000-0000-000084410000}"/>
    <cellStyle name="Neutral 119" xfId="8263" xr:uid="{00000000-0005-0000-0000-000085410000}"/>
    <cellStyle name="Neutral 119 2" xfId="17679" xr:uid="{00000000-0005-0000-0000-000086410000}"/>
    <cellStyle name="Neutral 119_est. MEAT" xfId="24470" xr:uid="{00000000-0005-0000-0000-000087410000}"/>
    <cellStyle name="Neutral 12" xfId="8264" xr:uid="{00000000-0005-0000-0000-000088410000}"/>
    <cellStyle name="Neutral 12 2" xfId="8265" xr:uid="{00000000-0005-0000-0000-000089410000}"/>
    <cellStyle name="Neutral 12 2 2" xfId="17681" xr:uid="{00000000-0005-0000-0000-00008A410000}"/>
    <cellStyle name="Neutral 12 2_est. MEAT" xfId="24471" xr:uid="{00000000-0005-0000-0000-00008B410000}"/>
    <cellStyle name="Neutral 12 3" xfId="17680" xr:uid="{00000000-0005-0000-0000-00008C410000}"/>
    <cellStyle name="Neutral 12_2012-2019" xfId="12484" xr:uid="{00000000-0005-0000-0000-00008D410000}"/>
    <cellStyle name="Neutral 120" xfId="8266" xr:uid="{00000000-0005-0000-0000-00008E410000}"/>
    <cellStyle name="Neutral 120 2" xfId="17682" xr:uid="{00000000-0005-0000-0000-00008F410000}"/>
    <cellStyle name="Neutral 120_est. MEAT" xfId="24472" xr:uid="{00000000-0005-0000-0000-000090410000}"/>
    <cellStyle name="Neutral 121" xfId="8267" xr:uid="{00000000-0005-0000-0000-000091410000}"/>
    <cellStyle name="Neutral 121 2" xfId="17683" xr:uid="{00000000-0005-0000-0000-000092410000}"/>
    <cellStyle name="Neutral 121_est. MEAT" xfId="24473" xr:uid="{00000000-0005-0000-0000-000093410000}"/>
    <cellStyle name="Neutral 122" xfId="8268" xr:uid="{00000000-0005-0000-0000-000094410000}"/>
    <cellStyle name="Neutral 122 2" xfId="17684" xr:uid="{00000000-0005-0000-0000-000095410000}"/>
    <cellStyle name="Neutral 122_est. MEAT" xfId="24474" xr:uid="{00000000-0005-0000-0000-000096410000}"/>
    <cellStyle name="Neutral 123" xfId="8269" xr:uid="{00000000-0005-0000-0000-000097410000}"/>
    <cellStyle name="Neutral 123 2" xfId="17685" xr:uid="{00000000-0005-0000-0000-000098410000}"/>
    <cellStyle name="Neutral 123_est. MEAT" xfId="24475" xr:uid="{00000000-0005-0000-0000-000099410000}"/>
    <cellStyle name="Neutral 124" xfId="8270" xr:uid="{00000000-0005-0000-0000-00009A410000}"/>
    <cellStyle name="Neutral 124 2" xfId="17686" xr:uid="{00000000-0005-0000-0000-00009B410000}"/>
    <cellStyle name="Neutral 124_est. MEAT" xfId="24476" xr:uid="{00000000-0005-0000-0000-00009C410000}"/>
    <cellStyle name="Neutral 125" xfId="8271" xr:uid="{00000000-0005-0000-0000-00009D410000}"/>
    <cellStyle name="Neutral 125 2" xfId="17687" xr:uid="{00000000-0005-0000-0000-00009E410000}"/>
    <cellStyle name="Neutral 125_est. MEAT" xfId="24477" xr:uid="{00000000-0005-0000-0000-00009F410000}"/>
    <cellStyle name="Neutral 126" xfId="8272" xr:uid="{00000000-0005-0000-0000-0000A0410000}"/>
    <cellStyle name="Neutral 126 2" xfId="17688" xr:uid="{00000000-0005-0000-0000-0000A1410000}"/>
    <cellStyle name="Neutral 126_est. MEAT" xfId="24478" xr:uid="{00000000-0005-0000-0000-0000A2410000}"/>
    <cellStyle name="Neutral 127" xfId="8273" xr:uid="{00000000-0005-0000-0000-0000A3410000}"/>
    <cellStyle name="Neutral 127 2" xfId="17689" xr:uid="{00000000-0005-0000-0000-0000A4410000}"/>
    <cellStyle name="Neutral 127_est. MEAT" xfId="24479" xr:uid="{00000000-0005-0000-0000-0000A5410000}"/>
    <cellStyle name="Neutral 128" xfId="8274" xr:uid="{00000000-0005-0000-0000-0000A6410000}"/>
    <cellStyle name="Neutral 128 2" xfId="17690" xr:uid="{00000000-0005-0000-0000-0000A7410000}"/>
    <cellStyle name="Neutral 128_est. MEAT" xfId="24480" xr:uid="{00000000-0005-0000-0000-0000A8410000}"/>
    <cellStyle name="Neutral 129" xfId="8275" xr:uid="{00000000-0005-0000-0000-0000A9410000}"/>
    <cellStyle name="Neutral 129 2" xfId="17691" xr:uid="{00000000-0005-0000-0000-0000AA410000}"/>
    <cellStyle name="Neutral 129_est. MEAT" xfId="24481" xr:uid="{00000000-0005-0000-0000-0000AB410000}"/>
    <cellStyle name="Neutral 13" xfId="8276" xr:uid="{00000000-0005-0000-0000-0000AC410000}"/>
    <cellStyle name="Neutral 13 2" xfId="8277" xr:uid="{00000000-0005-0000-0000-0000AD410000}"/>
    <cellStyle name="Neutral 13 2 2" xfId="17693" xr:uid="{00000000-0005-0000-0000-0000AE410000}"/>
    <cellStyle name="Neutral 13 2_est. MEAT" xfId="24482" xr:uid="{00000000-0005-0000-0000-0000AF410000}"/>
    <cellStyle name="Neutral 13 3" xfId="17692" xr:uid="{00000000-0005-0000-0000-0000B0410000}"/>
    <cellStyle name="Neutral 13_2012-2019" xfId="12485" xr:uid="{00000000-0005-0000-0000-0000B1410000}"/>
    <cellStyle name="Neutral 130" xfId="8278" xr:uid="{00000000-0005-0000-0000-0000B2410000}"/>
    <cellStyle name="Neutral 130 2" xfId="17694" xr:uid="{00000000-0005-0000-0000-0000B3410000}"/>
    <cellStyle name="Neutral 130_est. MEAT" xfId="24483" xr:uid="{00000000-0005-0000-0000-0000B4410000}"/>
    <cellStyle name="Neutral 131" xfId="8279" xr:uid="{00000000-0005-0000-0000-0000B5410000}"/>
    <cellStyle name="Neutral 131 2" xfId="17695" xr:uid="{00000000-0005-0000-0000-0000B6410000}"/>
    <cellStyle name="Neutral 131_est. MEAT" xfId="24484" xr:uid="{00000000-0005-0000-0000-0000B7410000}"/>
    <cellStyle name="Neutral 132" xfId="8280" xr:uid="{00000000-0005-0000-0000-0000B8410000}"/>
    <cellStyle name="Neutral 132 2" xfId="17696" xr:uid="{00000000-0005-0000-0000-0000B9410000}"/>
    <cellStyle name="Neutral 132_est. MEAT" xfId="24485" xr:uid="{00000000-0005-0000-0000-0000BA410000}"/>
    <cellStyle name="Neutral 133" xfId="8281" xr:uid="{00000000-0005-0000-0000-0000BB410000}"/>
    <cellStyle name="Neutral 133 2" xfId="17697" xr:uid="{00000000-0005-0000-0000-0000BC410000}"/>
    <cellStyle name="Neutral 133_est. MEAT" xfId="24486" xr:uid="{00000000-0005-0000-0000-0000BD410000}"/>
    <cellStyle name="Neutral 134" xfId="8282" xr:uid="{00000000-0005-0000-0000-0000BE410000}"/>
    <cellStyle name="Neutral 134 2" xfId="17698" xr:uid="{00000000-0005-0000-0000-0000BF410000}"/>
    <cellStyle name="Neutral 134_est. MEAT" xfId="24487" xr:uid="{00000000-0005-0000-0000-0000C0410000}"/>
    <cellStyle name="Neutral 135" xfId="8283" xr:uid="{00000000-0005-0000-0000-0000C1410000}"/>
    <cellStyle name="Neutral 135 2" xfId="17699" xr:uid="{00000000-0005-0000-0000-0000C2410000}"/>
    <cellStyle name="Neutral 135_est. MEAT" xfId="24488" xr:uid="{00000000-0005-0000-0000-0000C3410000}"/>
    <cellStyle name="Neutral 136" xfId="8284" xr:uid="{00000000-0005-0000-0000-0000C4410000}"/>
    <cellStyle name="Neutral 136 2" xfId="17700" xr:uid="{00000000-0005-0000-0000-0000C5410000}"/>
    <cellStyle name="Neutral 136_est. MEAT" xfId="24489" xr:uid="{00000000-0005-0000-0000-0000C6410000}"/>
    <cellStyle name="Neutral 137" xfId="8285" xr:uid="{00000000-0005-0000-0000-0000C7410000}"/>
    <cellStyle name="Neutral 137 2" xfId="17701" xr:uid="{00000000-0005-0000-0000-0000C8410000}"/>
    <cellStyle name="Neutral 137_est. MEAT" xfId="24490" xr:uid="{00000000-0005-0000-0000-0000C9410000}"/>
    <cellStyle name="Neutral 138" xfId="8286" xr:uid="{00000000-0005-0000-0000-0000CA410000}"/>
    <cellStyle name="Neutral 138 2" xfId="17702" xr:uid="{00000000-0005-0000-0000-0000CB410000}"/>
    <cellStyle name="Neutral 138_est. MEAT" xfId="24491" xr:uid="{00000000-0005-0000-0000-0000CC410000}"/>
    <cellStyle name="Neutral 139" xfId="8287" xr:uid="{00000000-0005-0000-0000-0000CD410000}"/>
    <cellStyle name="Neutral 139 2" xfId="17703" xr:uid="{00000000-0005-0000-0000-0000CE410000}"/>
    <cellStyle name="Neutral 139_est. MEAT" xfId="24492" xr:uid="{00000000-0005-0000-0000-0000CF410000}"/>
    <cellStyle name="Neutral 14" xfId="8288" xr:uid="{00000000-0005-0000-0000-0000D0410000}"/>
    <cellStyle name="Neutral 14 2" xfId="8289" xr:uid="{00000000-0005-0000-0000-0000D1410000}"/>
    <cellStyle name="Neutral 14 2 2" xfId="17705" xr:uid="{00000000-0005-0000-0000-0000D2410000}"/>
    <cellStyle name="Neutral 14 2_est. MEAT" xfId="24493" xr:uid="{00000000-0005-0000-0000-0000D3410000}"/>
    <cellStyle name="Neutral 14 3" xfId="17704" xr:uid="{00000000-0005-0000-0000-0000D4410000}"/>
    <cellStyle name="Neutral 14_2012-2019" xfId="12486" xr:uid="{00000000-0005-0000-0000-0000D5410000}"/>
    <cellStyle name="Neutral 140" xfId="8290" xr:uid="{00000000-0005-0000-0000-0000D6410000}"/>
    <cellStyle name="Neutral 140 2" xfId="17706" xr:uid="{00000000-0005-0000-0000-0000D7410000}"/>
    <cellStyle name="Neutral 140_est. MEAT" xfId="24494" xr:uid="{00000000-0005-0000-0000-0000D8410000}"/>
    <cellStyle name="Neutral 141" xfId="8291" xr:uid="{00000000-0005-0000-0000-0000D9410000}"/>
    <cellStyle name="Neutral 141 2" xfId="17707" xr:uid="{00000000-0005-0000-0000-0000DA410000}"/>
    <cellStyle name="Neutral 141_est. MEAT" xfId="24495" xr:uid="{00000000-0005-0000-0000-0000DB410000}"/>
    <cellStyle name="Neutral 142" xfId="8292" xr:uid="{00000000-0005-0000-0000-0000DC410000}"/>
    <cellStyle name="Neutral 142 2" xfId="17708" xr:uid="{00000000-0005-0000-0000-0000DD410000}"/>
    <cellStyle name="Neutral 142_est. MEAT" xfId="24496" xr:uid="{00000000-0005-0000-0000-0000DE410000}"/>
    <cellStyle name="Neutral 143" xfId="8293" xr:uid="{00000000-0005-0000-0000-0000DF410000}"/>
    <cellStyle name="Neutral 143 2" xfId="17709" xr:uid="{00000000-0005-0000-0000-0000E0410000}"/>
    <cellStyle name="Neutral 143_est. MEAT" xfId="24497" xr:uid="{00000000-0005-0000-0000-0000E1410000}"/>
    <cellStyle name="Neutral 144" xfId="8294" xr:uid="{00000000-0005-0000-0000-0000E2410000}"/>
    <cellStyle name="Neutral 144 2" xfId="17710" xr:uid="{00000000-0005-0000-0000-0000E3410000}"/>
    <cellStyle name="Neutral 144_est. MEAT" xfId="24498" xr:uid="{00000000-0005-0000-0000-0000E4410000}"/>
    <cellStyle name="Neutral 145" xfId="8295" xr:uid="{00000000-0005-0000-0000-0000E5410000}"/>
    <cellStyle name="Neutral 145 2" xfId="17711" xr:uid="{00000000-0005-0000-0000-0000E6410000}"/>
    <cellStyle name="Neutral 145_est. MEAT" xfId="24499" xr:uid="{00000000-0005-0000-0000-0000E7410000}"/>
    <cellStyle name="Neutral 146" xfId="8296" xr:uid="{00000000-0005-0000-0000-0000E8410000}"/>
    <cellStyle name="Neutral 146 2" xfId="17712" xr:uid="{00000000-0005-0000-0000-0000E9410000}"/>
    <cellStyle name="Neutral 146_est. MEAT" xfId="24500" xr:uid="{00000000-0005-0000-0000-0000EA410000}"/>
    <cellStyle name="Neutral 147" xfId="8297" xr:uid="{00000000-0005-0000-0000-0000EB410000}"/>
    <cellStyle name="Neutral 147 2" xfId="17713" xr:uid="{00000000-0005-0000-0000-0000EC410000}"/>
    <cellStyle name="Neutral 147_est. MEAT" xfId="24501" xr:uid="{00000000-0005-0000-0000-0000ED410000}"/>
    <cellStyle name="Neutral 148" xfId="8298" xr:uid="{00000000-0005-0000-0000-0000EE410000}"/>
    <cellStyle name="Neutral 148 2" xfId="17714" xr:uid="{00000000-0005-0000-0000-0000EF410000}"/>
    <cellStyle name="Neutral 148_est. MEAT" xfId="24502" xr:uid="{00000000-0005-0000-0000-0000F0410000}"/>
    <cellStyle name="Neutral 149" xfId="8299" xr:uid="{00000000-0005-0000-0000-0000F1410000}"/>
    <cellStyle name="Neutral 149 2" xfId="17715" xr:uid="{00000000-0005-0000-0000-0000F2410000}"/>
    <cellStyle name="Neutral 149_est. MEAT" xfId="24503" xr:uid="{00000000-0005-0000-0000-0000F3410000}"/>
    <cellStyle name="Neutral 15" xfId="8300" xr:uid="{00000000-0005-0000-0000-0000F4410000}"/>
    <cellStyle name="Neutral 15 2" xfId="17716" xr:uid="{00000000-0005-0000-0000-0000F5410000}"/>
    <cellStyle name="Neutral 15_est. MEAT" xfId="24504" xr:uid="{00000000-0005-0000-0000-0000F6410000}"/>
    <cellStyle name="Neutral 150" xfId="8301" xr:uid="{00000000-0005-0000-0000-0000F7410000}"/>
    <cellStyle name="Neutral 150 2" xfId="17717" xr:uid="{00000000-0005-0000-0000-0000F8410000}"/>
    <cellStyle name="Neutral 150_est. MEAT" xfId="24505" xr:uid="{00000000-0005-0000-0000-0000F9410000}"/>
    <cellStyle name="Neutral 151" xfId="8302" xr:uid="{00000000-0005-0000-0000-0000FA410000}"/>
    <cellStyle name="Neutral 151 2" xfId="17718" xr:uid="{00000000-0005-0000-0000-0000FB410000}"/>
    <cellStyle name="Neutral 151_est. MEAT" xfId="24506" xr:uid="{00000000-0005-0000-0000-0000FC410000}"/>
    <cellStyle name="Neutral 16" xfId="8303" xr:uid="{00000000-0005-0000-0000-0000FD410000}"/>
    <cellStyle name="Neutral 16 2" xfId="17719" xr:uid="{00000000-0005-0000-0000-0000FE410000}"/>
    <cellStyle name="Neutral 16_est. MEAT" xfId="24507" xr:uid="{00000000-0005-0000-0000-0000FF410000}"/>
    <cellStyle name="Neutral 17" xfId="8304" xr:uid="{00000000-0005-0000-0000-000000420000}"/>
    <cellStyle name="Neutral 17 2" xfId="17720" xr:uid="{00000000-0005-0000-0000-000001420000}"/>
    <cellStyle name="Neutral 17_est. MEAT" xfId="24508" xr:uid="{00000000-0005-0000-0000-000002420000}"/>
    <cellStyle name="Neutral 18" xfId="8305" xr:uid="{00000000-0005-0000-0000-000003420000}"/>
    <cellStyle name="Neutral 18 2" xfId="17721" xr:uid="{00000000-0005-0000-0000-000004420000}"/>
    <cellStyle name="Neutral 18_est. MEAT" xfId="24509" xr:uid="{00000000-0005-0000-0000-000005420000}"/>
    <cellStyle name="Neutral 19" xfId="8306" xr:uid="{00000000-0005-0000-0000-000006420000}"/>
    <cellStyle name="Neutral 19 2" xfId="17722" xr:uid="{00000000-0005-0000-0000-000007420000}"/>
    <cellStyle name="Neutral 19_est. MEAT" xfId="24510" xr:uid="{00000000-0005-0000-0000-000008420000}"/>
    <cellStyle name="Neutral 2" xfId="8307" xr:uid="{00000000-0005-0000-0000-000009420000}"/>
    <cellStyle name="Neutral 2 2" xfId="8308" xr:uid="{00000000-0005-0000-0000-00000A420000}"/>
    <cellStyle name="Neutral 2 2 2" xfId="17724" xr:uid="{00000000-0005-0000-0000-00000B420000}"/>
    <cellStyle name="Neutral 2 2_est. MEAT" xfId="24511" xr:uid="{00000000-0005-0000-0000-00000C420000}"/>
    <cellStyle name="Neutral 2 3" xfId="17723" xr:uid="{00000000-0005-0000-0000-00000D420000}"/>
    <cellStyle name="Neutral 2_2012-2019" xfId="12487" xr:uid="{00000000-0005-0000-0000-00000E420000}"/>
    <cellStyle name="Neutral 20" xfId="8309" xr:uid="{00000000-0005-0000-0000-00000F420000}"/>
    <cellStyle name="Neutral 20 2" xfId="17725" xr:uid="{00000000-0005-0000-0000-000010420000}"/>
    <cellStyle name="Neutral 20_est. MEAT" xfId="24512" xr:uid="{00000000-0005-0000-0000-000011420000}"/>
    <cellStyle name="Neutral 21" xfId="8310" xr:uid="{00000000-0005-0000-0000-000012420000}"/>
    <cellStyle name="Neutral 21 2" xfId="17726" xr:uid="{00000000-0005-0000-0000-000013420000}"/>
    <cellStyle name="Neutral 21_est. MEAT" xfId="24513" xr:uid="{00000000-0005-0000-0000-000014420000}"/>
    <cellStyle name="Neutral 22" xfId="8311" xr:uid="{00000000-0005-0000-0000-000015420000}"/>
    <cellStyle name="Neutral 22 2" xfId="17727" xr:uid="{00000000-0005-0000-0000-000016420000}"/>
    <cellStyle name="Neutral 22_est. MEAT" xfId="24514" xr:uid="{00000000-0005-0000-0000-000017420000}"/>
    <cellStyle name="Neutral 23" xfId="8312" xr:uid="{00000000-0005-0000-0000-000018420000}"/>
    <cellStyle name="Neutral 23 2" xfId="17728" xr:uid="{00000000-0005-0000-0000-000019420000}"/>
    <cellStyle name="Neutral 23_est. MEAT" xfId="24515" xr:uid="{00000000-0005-0000-0000-00001A420000}"/>
    <cellStyle name="Neutral 24" xfId="8313" xr:uid="{00000000-0005-0000-0000-00001B420000}"/>
    <cellStyle name="Neutral 24 2" xfId="17729" xr:uid="{00000000-0005-0000-0000-00001C420000}"/>
    <cellStyle name="Neutral 24_est. MEAT" xfId="24516" xr:uid="{00000000-0005-0000-0000-00001D420000}"/>
    <cellStyle name="Neutral 25" xfId="8314" xr:uid="{00000000-0005-0000-0000-00001E420000}"/>
    <cellStyle name="Neutral 25 2" xfId="17730" xr:uid="{00000000-0005-0000-0000-00001F420000}"/>
    <cellStyle name="Neutral 25_est. MEAT" xfId="24517" xr:uid="{00000000-0005-0000-0000-000020420000}"/>
    <cellStyle name="Neutral 26" xfId="8315" xr:uid="{00000000-0005-0000-0000-000021420000}"/>
    <cellStyle name="Neutral 26 2" xfId="17731" xr:uid="{00000000-0005-0000-0000-000022420000}"/>
    <cellStyle name="Neutral 26_est. MEAT" xfId="24518" xr:uid="{00000000-0005-0000-0000-000023420000}"/>
    <cellStyle name="Neutral 27" xfId="8316" xr:uid="{00000000-0005-0000-0000-000024420000}"/>
    <cellStyle name="Neutral 27 2" xfId="17732" xr:uid="{00000000-0005-0000-0000-000025420000}"/>
    <cellStyle name="Neutral 27_est. MEAT" xfId="24519" xr:uid="{00000000-0005-0000-0000-000026420000}"/>
    <cellStyle name="Neutral 28" xfId="8317" xr:uid="{00000000-0005-0000-0000-000027420000}"/>
    <cellStyle name="Neutral 28 2" xfId="17733" xr:uid="{00000000-0005-0000-0000-000028420000}"/>
    <cellStyle name="Neutral 28_est. MEAT" xfId="24520" xr:uid="{00000000-0005-0000-0000-000029420000}"/>
    <cellStyle name="Neutral 29" xfId="8318" xr:uid="{00000000-0005-0000-0000-00002A420000}"/>
    <cellStyle name="Neutral 29 2" xfId="17734" xr:uid="{00000000-0005-0000-0000-00002B420000}"/>
    <cellStyle name="Neutral 29_est. MEAT" xfId="24521" xr:uid="{00000000-0005-0000-0000-00002C420000}"/>
    <cellStyle name="Neutral 3" xfId="8319" xr:uid="{00000000-0005-0000-0000-00002D420000}"/>
    <cellStyle name="Neutral 3 2" xfId="8320" xr:uid="{00000000-0005-0000-0000-00002E420000}"/>
    <cellStyle name="Neutral 3 2 2" xfId="17736" xr:uid="{00000000-0005-0000-0000-00002F420000}"/>
    <cellStyle name="Neutral 3 2_est. MEAT" xfId="24522" xr:uid="{00000000-0005-0000-0000-000030420000}"/>
    <cellStyle name="Neutral 3 3" xfId="17735" xr:uid="{00000000-0005-0000-0000-000031420000}"/>
    <cellStyle name="Neutral 3_2012-2019" xfId="12488" xr:uid="{00000000-0005-0000-0000-000032420000}"/>
    <cellStyle name="Neutral 30" xfId="8321" xr:uid="{00000000-0005-0000-0000-000033420000}"/>
    <cellStyle name="Neutral 30 2" xfId="17737" xr:uid="{00000000-0005-0000-0000-000034420000}"/>
    <cellStyle name="Neutral 30_est. MEAT" xfId="24523" xr:uid="{00000000-0005-0000-0000-000035420000}"/>
    <cellStyle name="Neutral 31" xfId="8322" xr:uid="{00000000-0005-0000-0000-000036420000}"/>
    <cellStyle name="Neutral 31 2" xfId="17738" xr:uid="{00000000-0005-0000-0000-000037420000}"/>
    <cellStyle name="Neutral 31_est. MEAT" xfId="24524" xr:uid="{00000000-0005-0000-0000-000038420000}"/>
    <cellStyle name="Neutral 32" xfId="8323" xr:uid="{00000000-0005-0000-0000-000039420000}"/>
    <cellStyle name="Neutral 32 2" xfId="17739" xr:uid="{00000000-0005-0000-0000-00003A420000}"/>
    <cellStyle name="Neutral 32_est. MEAT" xfId="24525" xr:uid="{00000000-0005-0000-0000-00003B420000}"/>
    <cellStyle name="Neutral 33" xfId="8324" xr:uid="{00000000-0005-0000-0000-00003C420000}"/>
    <cellStyle name="Neutral 33 2" xfId="17740" xr:uid="{00000000-0005-0000-0000-00003D420000}"/>
    <cellStyle name="Neutral 33_est. MEAT" xfId="24526" xr:uid="{00000000-0005-0000-0000-00003E420000}"/>
    <cellStyle name="Neutral 34" xfId="8325" xr:uid="{00000000-0005-0000-0000-00003F420000}"/>
    <cellStyle name="Neutral 34 2" xfId="17741" xr:uid="{00000000-0005-0000-0000-000040420000}"/>
    <cellStyle name="Neutral 34_est. MEAT" xfId="24527" xr:uid="{00000000-0005-0000-0000-000041420000}"/>
    <cellStyle name="Neutral 35" xfId="8326" xr:uid="{00000000-0005-0000-0000-000042420000}"/>
    <cellStyle name="Neutral 35 2" xfId="17742" xr:uid="{00000000-0005-0000-0000-000043420000}"/>
    <cellStyle name="Neutral 35_est. MEAT" xfId="24528" xr:uid="{00000000-0005-0000-0000-000044420000}"/>
    <cellStyle name="Neutral 36" xfId="8327" xr:uid="{00000000-0005-0000-0000-000045420000}"/>
    <cellStyle name="Neutral 36 2" xfId="17743" xr:uid="{00000000-0005-0000-0000-000046420000}"/>
    <cellStyle name="Neutral 36_est. MEAT" xfId="24529" xr:uid="{00000000-0005-0000-0000-000047420000}"/>
    <cellStyle name="Neutral 37" xfId="8328" xr:uid="{00000000-0005-0000-0000-000048420000}"/>
    <cellStyle name="Neutral 37 2" xfId="17744" xr:uid="{00000000-0005-0000-0000-000049420000}"/>
    <cellStyle name="Neutral 37_est. MEAT" xfId="24530" xr:uid="{00000000-0005-0000-0000-00004A420000}"/>
    <cellStyle name="Neutral 38" xfId="8329" xr:uid="{00000000-0005-0000-0000-00004B420000}"/>
    <cellStyle name="Neutral 38 2" xfId="17745" xr:uid="{00000000-0005-0000-0000-00004C420000}"/>
    <cellStyle name="Neutral 38_est. MEAT" xfId="24531" xr:uid="{00000000-0005-0000-0000-00004D420000}"/>
    <cellStyle name="Neutral 39" xfId="8330" xr:uid="{00000000-0005-0000-0000-00004E420000}"/>
    <cellStyle name="Neutral 39 2" xfId="17746" xr:uid="{00000000-0005-0000-0000-00004F420000}"/>
    <cellStyle name="Neutral 39_est. MEAT" xfId="24532" xr:uid="{00000000-0005-0000-0000-000050420000}"/>
    <cellStyle name="Neutral 4" xfId="8331" xr:uid="{00000000-0005-0000-0000-000051420000}"/>
    <cellStyle name="Neutral 4 2" xfId="8332" xr:uid="{00000000-0005-0000-0000-000052420000}"/>
    <cellStyle name="Neutral 4 2 2" xfId="17748" xr:uid="{00000000-0005-0000-0000-000053420000}"/>
    <cellStyle name="Neutral 4 2_est. MEAT" xfId="24533" xr:uid="{00000000-0005-0000-0000-000054420000}"/>
    <cellStyle name="Neutral 4 3" xfId="17747" xr:uid="{00000000-0005-0000-0000-000055420000}"/>
    <cellStyle name="Neutral 4_2012-2019" xfId="12489" xr:uid="{00000000-0005-0000-0000-000056420000}"/>
    <cellStyle name="Neutral 40" xfId="8333" xr:uid="{00000000-0005-0000-0000-000057420000}"/>
    <cellStyle name="Neutral 40 2" xfId="17749" xr:uid="{00000000-0005-0000-0000-000058420000}"/>
    <cellStyle name="Neutral 40_est. MEAT" xfId="24534" xr:uid="{00000000-0005-0000-0000-000059420000}"/>
    <cellStyle name="Neutral 41" xfId="8334" xr:uid="{00000000-0005-0000-0000-00005A420000}"/>
    <cellStyle name="Neutral 41 2" xfId="17750" xr:uid="{00000000-0005-0000-0000-00005B420000}"/>
    <cellStyle name="Neutral 41_est. MEAT" xfId="24535" xr:uid="{00000000-0005-0000-0000-00005C420000}"/>
    <cellStyle name="Neutral 42" xfId="8335" xr:uid="{00000000-0005-0000-0000-00005D420000}"/>
    <cellStyle name="Neutral 42 2" xfId="17751" xr:uid="{00000000-0005-0000-0000-00005E420000}"/>
    <cellStyle name="Neutral 42_est. MEAT" xfId="24536" xr:uid="{00000000-0005-0000-0000-00005F420000}"/>
    <cellStyle name="Neutral 43" xfId="8336" xr:uid="{00000000-0005-0000-0000-000060420000}"/>
    <cellStyle name="Neutral 43 2" xfId="17752" xr:uid="{00000000-0005-0000-0000-000061420000}"/>
    <cellStyle name="Neutral 43_est. MEAT" xfId="24537" xr:uid="{00000000-0005-0000-0000-000062420000}"/>
    <cellStyle name="Neutral 44" xfId="8337" xr:uid="{00000000-0005-0000-0000-000063420000}"/>
    <cellStyle name="Neutral 44 2" xfId="17753" xr:uid="{00000000-0005-0000-0000-000064420000}"/>
    <cellStyle name="Neutral 44_est. MEAT" xfId="24538" xr:uid="{00000000-0005-0000-0000-000065420000}"/>
    <cellStyle name="Neutral 45" xfId="8338" xr:uid="{00000000-0005-0000-0000-000066420000}"/>
    <cellStyle name="Neutral 45 2" xfId="17754" xr:uid="{00000000-0005-0000-0000-000067420000}"/>
    <cellStyle name="Neutral 45_est. MEAT" xfId="24539" xr:uid="{00000000-0005-0000-0000-000068420000}"/>
    <cellStyle name="Neutral 46" xfId="8339" xr:uid="{00000000-0005-0000-0000-000069420000}"/>
    <cellStyle name="Neutral 46 2" xfId="17755" xr:uid="{00000000-0005-0000-0000-00006A420000}"/>
    <cellStyle name="Neutral 46_est. MEAT" xfId="24540" xr:uid="{00000000-0005-0000-0000-00006B420000}"/>
    <cellStyle name="Neutral 47" xfId="8340" xr:uid="{00000000-0005-0000-0000-00006C420000}"/>
    <cellStyle name="Neutral 47 2" xfId="17756" xr:uid="{00000000-0005-0000-0000-00006D420000}"/>
    <cellStyle name="Neutral 47_est. MEAT" xfId="24541" xr:uid="{00000000-0005-0000-0000-00006E420000}"/>
    <cellStyle name="Neutral 48" xfId="8341" xr:uid="{00000000-0005-0000-0000-00006F420000}"/>
    <cellStyle name="Neutral 48 2" xfId="17757" xr:uid="{00000000-0005-0000-0000-000070420000}"/>
    <cellStyle name="Neutral 48_est. MEAT" xfId="24542" xr:uid="{00000000-0005-0000-0000-000071420000}"/>
    <cellStyle name="Neutral 49" xfId="8342" xr:uid="{00000000-0005-0000-0000-000072420000}"/>
    <cellStyle name="Neutral 49 2" xfId="17758" xr:uid="{00000000-0005-0000-0000-000073420000}"/>
    <cellStyle name="Neutral 49_est. MEAT" xfId="24543" xr:uid="{00000000-0005-0000-0000-000074420000}"/>
    <cellStyle name="Neutral 5" xfId="8343" xr:uid="{00000000-0005-0000-0000-000075420000}"/>
    <cellStyle name="Neutral 5 2" xfId="8344" xr:uid="{00000000-0005-0000-0000-000076420000}"/>
    <cellStyle name="Neutral 5 2 2" xfId="17760" xr:uid="{00000000-0005-0000-0000-000077420000}"/>
    <cellStyle name="Neutral 5 2_est. MEAT" xfId="24544" xr:uid="{00000000-0005-0000-0000-000078420000}"/>
    <cellStyle name="Neutral 5 3" xfId="17759" xr:uid="{00000000-0005-0000-0000-000079420000}"/>
    <cellStyle name="Neutral 5_2012-2019" xfId="12490" xr:uid="{00000000-0005-0000-0000-00007A420000}"/>
    <cellStyle name="Neutral 50" xfId="8345" xr:uid="{00000000-0005-0000-0000-00007B420000}"/>
    <cellStyle name="Neutral 50 2" xfId="17761" xr:uid="{00000000-0005-0000-0000-00007C420000}"/>
    <cellStyle name="Neutral 50_est. MEAT" xfId="24545" xr:uid="{00000000-0005-0000-0000-00007D420000}"/>
    <cellStyle name="Neutral 51" xfId="8346" xr:uid="{00000000-0005-0000-0000-00007E420000}"/>
    <cellStyle name="Neutral 51 2" xfId="17762" xr:uid="{00000000-0005-0000-0000-00007F420000}"/>
    <cellStyle name="Neutral 51_est. MEAT" xfId="24546" xr:uid="{00000000-0005-0000-0000-000080420000}"/>
    <cellStyle name="Neutral 52" xfId="8347" xr:uid="{00000000-0005-0000-0000-000081420000}"/>
    <cellStyle name="Neutral 52 2" xfId="17763" xr:uid="{00000000-0005-0000-0000-000082420000}"/>
    <cellStyle name="Neutral 52_est. MEAT" xfId="24547" xr:uid="{00000000-0005-0000-0000-000083420000}"/>
    <cellStyle name="Neutral 53" xfId="8348" xr:uid="{00000000-0005-0000-0000-000084420000}"/>
    <cellStyle name="Neutral 53 2" xfId="17764" xr:uid="{00000000-0005-0000-0000-000085420000}"/>
    <cellStyle name="Neutral 53_est. MEAT" xfId="24548" xr:uid="{00000000-0005-0000-0000-000086420000}"/>
    <cellStyle name="Neutral 54" xfId="8349" xr:uid="{00000000-0005-0000-0000-000087420000}"/>
    <cellStyle name="Neutral 54 2" xfId="17765" xr:uid="{00000000-0005-0000-0000-000088420000}"/>
    <cellStyle name="Neutral 54_est. MEAT" xfId="24549" xr:uid="{00000000-0005-0000-0000-000089420000}"/>
    <cellStyle name="Neutral 55" xfId="8350" xr:uid="{00000000-0005-0000-0000-00008A420000}"/>
    <cellStyle name="Neutral 55 2" xfId="17766" xr:uid="{00000000-0005-0000-0000-00008B420000}"/>
    <cellStyle name="Neutral 55_est. MEAT" xfId="24550" xr:uid="{00000000-0005-0000-0000-00008C420000}"/>
    <cellStyle name="Neutral 56" xfId="8351" xr:uid="{00000000-0005-0000-0000-00008D420000}"/>
    <cellStyle name="Neutral 56 2" xfId="17767" xr:uid="{00000000-0005-0000-0000-00008E420000}"/>
    <cellStyle name="Neutral 56_est. MEAT" xfId="24551" xr:uid="{00000000-0005-0000-0000-00008F420000}"/>
    <cellStyle name="Neutral 57" xfId="8352" xr:uid="{00000000-0005-0000-0000-000090420000}"/>
    <cellStyle name="Neutral 57 2" xfId="17768" xr:uid="{00000000-0005-0000-0000-000091420000}"/>
    <cellStyle name="Neutral 57_est. MEAT" xfId="24552" xr:uid="{00000000-0005-0000-0000-000092420000}"/>
    <cellStyle name="Neutral 58" xfId="8353" xr:uid="{00000000-0005-0000-0000-000093420000}"/>
    <cellStyle name="Neutral 58 2" xfId="17769" xr:uid="{00000000-0005-0000-0000-000094420000}"/>
    <cellStyle name="Neutral 58_est. MEAT" xfId="24553" xr:uid="{00000000-0005-0000-0000-000095420000}"/>
    <cellStyle name="Neutral 59" xfId="8354" xr:uid="{00000000-0005-0000-0000-000096420000}"/>
    <cellStyle name="Neutral 59 2" xfId="17770" xr:uid="{00000000-0005-0000-0000-000097420000}"/>
    <cellStyle name="Neutral 59_est. MEAT" xfId="24554" xr:uid="{00000000-0005-0000-0000-000098420000}"/>
    <cellStyle name="Neutral 6" xfId="8355" xr:uid="{00000000-0005-0000-0000-000099420000}"/>
    <cellStyle name="Neutral 6 2" xfId="8356" xr:uid="{00000000-0005-0000-0000-00009A420000}"/>
    <cellStyle name="Neutral 6 2 2" xfId="17772" xr:uid="{00000000-0005-0000-0000-00009B420000}"/>
    <cellStyle name="Neutral 6 2_est. MEAT" xfId="24555" xr:uid="{00000000-0005-0000-0000-00009C420000}"/>
    <cellStyle name="Neutral 6 3" xfId="17771" xr:uid="{00000000-0005-0000-0000-00009D420000}"/>
    <cellStyle name="Neutral 6_2012-2019" xfId="12491" xr:uid="{00000000-0005-0000-0000-00009E420000}"/>
    <cellStyle name="Neutral 60" xfId="8357" xr:uid="{00000000-0005-0000-0000-00009F420000}"/>
    <cellStyle name="Neutral 60 2" xfId="17773" xr:uid="{00000000-0005-0000-0000-0000A0420000}"/>
    <cellStyle name="Neutral 60_est. MEAT" xfId="24556" xr:uid="{00000000-0005-0000-0000-0000A1420000}"/>
    <cellStyle name="Neutral 61" xfId="8358" xr:uid="{00000000-0005-0000-0000-0000A2420000}"/>
    <cellStyle name="Neutral 61 2" xfId="17774" xr:uid="{00000000-0005-0000-0000-0000A3420000}"/>
    <cellStyle name="Neutral 61_est. MEAT" xfId="24557" xr:uid="{00000000-0005-0000-0000-0000A4420000}"/>
    <cellStyle name="Neutral 62" xfId="8359" xr:uid="{00000000-0005-0000-0000-0000A5420000}"/>
    <cellStyle name="Neutral 62 2" xfId="17775" xr:uid="{00000000-0005-0000-0000-0000A6420000}"/>
    <cellStyle name="Neutral 62_est. MEAT" xfId="24558" xr:uid="{00000000-0005-0000-0000-0000A7420000}"/>
    <cellStyle name="Neutral 63" xfId="8360" xr:uid="{00000000-0005-0000-0000-0000A8420000}"/>
    <cellStyle name="Neutral 63 2" xfId="17776" xr:uid="{00000000-0005-0000-0000-0000A9420000}"/>
    <cellStyle name="Neutral 63_est. MEAT" xfId="24559" xr:uid="{00000000-0005-0000-0000-0000AA420000}"/>
    <cellStyle name="Neutral 64" xfId="8361" xr:uid="{00000000-0005-0000-0000-0000AB420000}"/>
    <cellStyle name="Neutral 64 2" xfId="17777" xr:uid="{00000000-0005-0000-0000-0000AC420000}"/>
    <cellStyle name="Neutral 64_est. MEAT" xfId="24560" xr:uid="{00000000-0005-0000-0000-0000AD420000}"/>
    <cellStyle name="Neutral 65" xfId="8362" xr:uid="{00000000-0005-0000-0000-0000AE420000}"/>
    <cellStyle name="Neutral 65 2" xfId="17778" xr:uid="{00000000-0005-0000-0000-0000AF420000}"/>
    <cellStyle name="Neutral 65_est. MEAT" xfId="24561" xr:uid="{00000000-0005-0000-0000-0000B0420000}"/>
    <cellStyle name="Neutral 66" xfId="8363" xr:uid="{00000000-0005-0000-0000-0000B1420000}"/>
    <cellStyle name="Neutral 66 2" xfId="17779" xr:uid="{00000000-0005-0000-0000-0000B2420000}"/>
    <cellStyle name="Neutral 66_est. MEAT" xfId="24562" xr:uid="{00000000-0005-0000-0000-0000B3420000}"/>
    <cellStyle name="Neutral 67" xfId="8364" xr:uid="{00000000-0005-0000-0000-0000B4420000}"/>
    <cellStyle name="Neutral 67 2" xfId="17780" xr:uid="{00000000-0005-0000-0000-0000B5420000}"/>
    <cellStyle name="Neutral 67_est. MEAT" xfId="24563" xr:uid="{00000000-0005-0000-0000-0000B6420000}"/>
    <cellStyle name="Neutral 68" xfId="8365" xr:uid="{00000000-0005-0000-0000-0000B7420000}"/>
    <cellStyle name="Neutral 68 2" xfId="17781" xr:uid="{00000000-0005-0000-0000-0000B8420000}"/>
    <cellStyle name="Neutral 68_est. MEAT" xfId="24564" xr:uid="{00000000-0005-0000-0000-0000B9420000}"/>
    <cellStyle name="Neutral 69" xfId="8366" xr:uid="{00000000-0005-0000-0000-0000BA420000}"/>
    <cellStyle name="Neutral 69 2" xfId="17782" xr:uid="{00000000-0005-0000-0000-0000BB420000}"/>
    <cellStyle name="Neutral 69_est. MEAT" xfId="24565" xr:uid="{00000000-0005-0000-0000-0000BC420000}"/>
    <cellStyle name="Neutral 7" xfId="8367" xr:uid="{00000000-0005-0000-0000-0000BD420000}"/>
    <cellStyle name="Neutral 7 2" xfId="8368" xr:uid="{00000000-0005-0000-0000-0000BE420000}"/>
    <cellStyle name="Neutral 7 2 2" xfId="17784" xr:uid="{00000000-0005-0000-0000-0000BF420000}"/>
    <cellStyle name="Neutral 7 2_est. MEAT" xfId="24566" xr:uid="{00000000-0005-0000-0000-0000C0420000}"/>
    <cellStyle name="Neutral 7 3" xfId="17783" xr:uid="{00000000-0005-0000-0000-0000C1420000}"/>
    <cellStyle name="Neutral 7_2012-2019" xfId="12492" xr:uid="{00000000-0005-0000-0000-0000C2420000}"/>
    <cellStyle name="Neutral 70" xfId="8369" xr:uid="{00000000-0005-0000-0000-0000C3420000}"/>
    <cellStyle name="Neutral 70 2" xfId="17785" xr:uid="{00000000-0005-0000-0000-0000C4420000}"/>
    <cellStyle name="Neutral 70_est. MEAT" xfId="24567" xr:uid="{00000000-0005-0000-0000-0000C5420000}"/>
    <cellStyle name="Neutral 71" xfId="8370" xr:uid="{00000000-0005-0000-0000-0000C6420000}"/>
    <cellStyle name="Neutral 71 2" xfId="17786" xr:uid="{00000000-0005-0000-0000-0000C7420000}"/>
    <cellStyle name="Neutral 71_est. MEAT" xfId="24568" xr:uid="{00000000-0005-0000-0000-0000C8420000}"/>
    <cellStyle name="Neutral 72" xfId="8371" xr:uid="{00000000-0005-0000-0000-0000C9420000}"/>
    <cellStyle name="Neutral 72 2" xfId="17787" xr:uid="{00000000-0005-0000-0000-0000CA420000}"/>
    <cellStyle name="Neutral 72_est. MEAT" xfId="24569" xr:uid="{00000000-0005-0000-0000-0000CB420000}"/>
    <cellStyle name="Neutral 73" xfId="8372" xr:uid="{00000000-0005-0000-0000-0000CC420000}"/>
    <cellStyle name="Neutral 73 2" xfId="17788" xr:uid="{00000000-0005-0000-0000-0000CD420000}"/>
    <cellStyle name="Neutral 73_est. MEAT" xfId="24570" xr:uid="{00000000-0005-0000-0000-0000CE420000}"/>
    <cellStyle name="Neutral 74" xfId="8373" xr:uid="{00000000-0005-0000-0000-0000CF420000}"/>
    <cellStyle name="Neutral 74 2" xfId="17789" xr:uid="{00000000-0005-0000-0000-0000D0420000}"/>
    <cellStyle name="Neutral 74_est. MEAT" xfId="24571" xr:uid="{00000000-0005-0000-0000-0000D1420000}"/>
    <cellStyle name="Neutral 75" xfId="8374" xr:uid="{00000000-0005-0000-0000-0000D2420000}"/>
    <cellStyle name="Neutral 75 2" xfId="17790" xr:uid="{00000000-0005-0000-0000-0000D3420000}"/>
    <cellStyle name="Neutral 75_est. MEAT" xfId="24572" xr:uid="{00000000-0005-0000-0000-0000D4420000}"/>
    <cellStyle name="Neutral 76" xfId="8375" xr:uid="{00000000-0005-0000-0000-0000D5420000}"/>
    <cellStyle name="Neutral 76 2" xfId="17791" xr:uid="{00000000-0005-0000-0000-0000D6420000}"/>
    <cellStyle name="Neutral 76_est. MEAT" xfId="24573" xr:uid="{00000000-0005-0000-0000-0000D7420000}"/>
    <cellStyle name="Neutral 77" xfId="8376" xr:uid="{00000000-0005-0000-0000-0000D8420000}"/>
    <cellStyle name="Neutral 77 2" xfId="17792" xr:uid="{00000000-0005-0000-0000-0000D9420000}"/>
    <cellStyle name="Neutral 77_est. MEAT" xfId="24574" xr:uid="{00000000-0005-0000-0000-0000DA420000}"/>
    <cellStyle name="Neutral 78" xfId="8377" xr:uid="{00000000-0005-0000-0000-0000DB420000}"/>
    <cellStyle name="Neutral 78 2" xfId="17793" xr:uid="{00000000-0005-0000-0000-0000DC420000}"/>
    <cellStyle name="Neutral 78_est. MEAT" xfId="24575" xr:uid="{00000000-0005-0000-0000-0000DD420000}"/>
    <cellStyle name="Neutral 79" xfId="8378" xr:uid="{00000000-0005-0000-0000-0000DE420000}"/>
    <cellStyle name="Neutral 79 2" xfId="17794" xr:uid="{00000000-0005-0000-0000-0000DF420000}"/>
    <cellStyle name="Neutral 79_est. MEAT" xfId="24576" xr:uid="{00000000-0005-0000-0000-0000E0420000}"/>
    <cellStyle name="Neutral 8" xfId="8379" xr:uid="{00000000-0005-0000-0000-0000E1420000}"/>
    <cellStyle name="Neutral 8 2" xfId="8380" xr:uid="{00000000-0005-0000-0000-0000E2420000}"/>
    <cellStyle name="Neutral 8 2 2" xfId="17796" xr:uid="{00000000-0005-0000-0000-0000E3420000}"/>
    <cellStyle name="Neutral 8 2_est. MEAT" xfId="24577" xr:uid="{00000000-0005-0000-0000-0000E4420000}"/>
    <cellStyle name="Neutral 8 3" xfId="17795" xr:uid="{00000000-0005-0000-0000-0000E5420000}"/>
    <cellStyle name="Neutral 8_2012-2019" xfId="12493" xr:uid="{00000000-0005-0000-0000-0000E6420000}"/>
    <cellStyle name="Neutral 80" xfId="8381" xr:uid="{00000000-0005-0000-0000-0000E7420000}"/>
    <cellStyle name="Neutral 80 2" xfId="17797" xr:uid="{00000000-0005-0000-0000-0000E8420000}"/>
    <cellStyle name="Neutral 80_est. MEAT" xfId="24578" xr:uid="{00000000-0005-0000-0000-0000E9420000}"/>
    <cellStyle name="Neutral 81" xfId="8382" xr:uid="{00000000-0005-0000-0000-0000EA420000}"/>
    <cellStyle name="Neutral 81 2" xfId="17798" xr:uid="{00000000-0005-0000-0000-0000EB420000}"/>
    <cellStyle name="Neutral 81_est. MEAT" xfId="24579" xr:uid="{00000000-0005-0000-0000-0000EC420000}"/>
    <cellStyle name="Neutral 82" xfId="8383" xr:uid="{00000000-0005-0000-0000-0000ED420000}"/>
    <cellStyle name="Neutral 82 2" xfId="17799" xr:uid="{00000000-0005-0000-0000-0000EE420000}"/>
    <cellStyle name="Neutral 82_est. MEAT" xfId="24580" xr:uid="{00000000-0005-0000-0000-0000EF420000}"/>
    <cellStyle name="Neutral 83" xfId="8384" xr:uid="{00000000-0005-0000-0000-0000F0420000}"/>
    <cellStyle name="Neutral 83 2" xfId="17800" xr:uid="{00000000-0005-0000-0000-0000F1420000}"/>
    <cellStyle name="Neutral 83_est. MEAT" xfId="24581" xr:uid="{00000000-0005-0000-0000-0000F2420000}"/>
    <cellStyle name="Neutral 84" xfId="8385" xr:uid="{00000000-0005-0000-0000-0000F3420000}"/>
    <cellStyle name="Neutral 84 2" xfId="17801" xr:uid="{00000000-0005-0000-0000-0000F4420000}"/>
    <cellStyle name="Neutral 84_est. MEAT" xfId="24582" xr:uid="{00000000-0005-0000-0000-0000F5420000}"/>
    <cellStyle name="Neutral 85" xfId="8386" xr:uid="{00000000-0005-0000-0000-0000F6420000}"/>
    <cellStyle name="Neutral 85 2" xfId="17802" xr:uid="{00000000-0005-0000-0000-0000F7420000}"/>
    <cellStyle name="Neutral 85_est. MEAT" xfId="24583" xr:uid="{00000000-0005-0000-0000-0000F8420000}"/>
    <cellStyle name="Neutral 86" xfId="8387" xr:uid="{00000000-0005-0000-0000-0000F9420000}"/>
    <cellStyle name="Neutral 86 2" xfId="17803" xr:uid="{00000000-0005-0000-0000-0000FA420000}"/>
    <cellStyle name="Neutral 86_est. MEAT" xfId="24584" xr:uid="{00000000-0005-0000-0000-0000FB420000}"/>
    <cellStyle name="Neutral 87" xfId="8388" xr:uid="{00000000-0005-0000-0000-0000FC420000}"/>
    <cellStyle name="Neutral 87 2" xfId="17804" xr:uid="{00000000-0005-0000-0000-0000FD420000}"/>
    <cellStyle name="Neutral 87_est. MEAT" xfId="24585" xr:uid="{00000000-0005-0000-0000-0000FE420000}"/>
    <cellStyle name="Neutral 88" xfId="8389" xr:uid="{00000000-0005-0000-0000-0000FF420000}"/>
    <cellStyle name="Neutral 88 2" xfId="17805" xr:uid="{00000000-0005-0000-0000-000000430000}"/>
    <cellStyle name="Neutral 88_est. MEAT" xfId="24586" xr:uid="{00000000-0005-0000-0000-000001430000}"/>
    <cellStyle name="Neutral 89" xfId="8390" xr:uid="{00000000-0005-0000-0000-000002430000}"/>
    <cellStyle name="Neutral 89 2" xfId="17806" xr:uid="{00000000-0005-0000-0000-000003430000}"/>
    <cellStyle name="Neutral 89_est. MEAT" xfId="24587" xr:uid="{00000000-0005-0000-0000-000004430000}"/>
    <cellStyle name="Neutral 9" xfId="8391" xr:uid="{00000000-0005-0000-0000-000005430000}"/>
    <cellStyle name="Neutral 9 2" xfId="8392" xr:uid="{00000000-0005-0000-0000-000006430000}"/>
    <cellStyle name="Neutral 9 2 2" xfId="17808" xr:uid="{00000000-0005-0000-0000-000007430000}"/>
    <cellStyle name="Neutral 9 2_est. MEAT" xfId="24588" xr:uid="{00000000-0005-0000-0000-000008430000}"/>
    <cellStyle name="Neutral 9 3" xfId="17807" xr:uid="{00000000-0005-0000-0000-000009430000}"/>
    <cellStyle name="Neutral 9_2012-2019" xfId="12494" xr:uid="{00000000-0005-0000-0000-00000A430000}"/>
    <cellStyle name="Neutral 90" xfId="8393" xr:uid="{00000000-0005-0000-0000-00000B430000}"/>
    <cellStyle name="Neutral 90 2" xfId="17809" xr:uid="{00000000-0005-0000-0000-00000C430000}"/>
    <cellStyle name="Neutral 90_est. MEAT" xfId="24589" xr:uid="{00000000-0005-0000-0000-00000D430000}"/>
    <cellStyle name="Neutral 91" xfId="8394" xr:uid="{00000000-0005-0000-0000-00000E430000}"/>
    <cellStyle name="Neutral 91 2" xfId="17810" xr:uid="{00000000-0005-0000-0000-00000F430000}"/>
    <cellStyle name="Neutral 91_est. MEAT" xfId="24590" xr:uid="{00000000-0005-0000-0000-000010430000}"/>
    <cellStyle name="Neutral 92" xfId="8395" xr:uid="{00000000-0005-0000-0000-000011430000}"/>
    <cellStyle name="Neutral 92 2" xfId="17811" xr:uid="{00000000-0005-0000-0000-000012430000}"/>
    <cellStyle name="Neutral 92_est. MEAT" xfId="24591" xr:uid="{00000000-0005-0000-0000-000013430000}"/>
    <cellStyle name="Neutral 93" xfId="8396" xr:uid="{00000000-0005-0000-0000-000014430000}"/>
    <cellStyle name="Neutral 93 2" xfId="17812" xr:uid="{00000000-0005-0000-0000-000015430000}"/>
    <cellStyle name="Neutral 93_est. MEAT" xfId="24592" xr:uid="{00000000-0005-0000-0000-000016430000}"/>
    <cellStyle name="Neutral 94" xfId="8397" xr:uid="{00000000-0005-0000-0000-000017430000}"/>
    <cellStyle name="Neutral 94 2" xfId="17813" xr:uid="{00000000-0005-0000-0000-000018430000}"/>
    <cellStyle name="Neutral 94_est. MEAT" xfId="24593" xr:uid="{00000000-0005-0000-0000-000019430000}"/>
    <cellStyle name="Neutral 95" xfId="8398" xr:uid="{00000000-0005-0000-0000-00001A430000}"/>
    <cellStyle name="Neutral 95 2" xfId="17814" xr:uid="{00000000-0005-0000-0000-00001B430000}"/>
    <cellStyle name="Neutral 95_est. MEAT" xfId="24594" xr:uid="{00000000-0005-0000-0000-00001C430000}"/>
    <cellStyle name="Neutral 96" xfId="8399" xr:uid="{00000000-0005-0000-0000-00001D430000}"/>
    <cellStyle name="Neutral 96 2" xfId="17815" xr:uid="{00000000-0005-0000-0000-00001E430000}"/>
    <cellStyle name="Neutral 96_est. MEAT" xfId="24595" xr:uid="{00000000-0005-0000-0000-00001F430000}"/>
    <cellStyle name="Neutral 97" xfId="8400" xr:uid="{00000000-0005-0000-0000-000020430000}"/>
    <cellStyle name="Neutral 97 2" xfId="17816" xr:uid="{00000000-0005-0000-0000-000021430000}"/>
    <cellStyle name="Neutral 97_est. MEAT" xfId="24596" xr:uid="{00000000-0005-0000-0000-000022430000}"/>
    <cellStyle name="Neutral 98" xfId="8401" xr:uid="{00000000-0005-0000-0000-000023430000}"/>
    <cellStyle name="Neutral 98 2" xfId="17817" xr:uid="{00000000-0005-0000-0000-000024430000}"/>
    <cellStyle name="Neutral 98_est. MEAT" xfId="24597" xr:uid="{00000000-0005-0000-0000-000025430000}"/>
    <cellStyle name="Neutral 99" xfId="8402" xr:uid="{00000000-0005-0000-0000-000026430000}"/>
    <cellStyle name="Neutral 99 2" xfId="17818" xr:uid="{00000000-0005-0000-0000-000027430000}"/>
    <cellStyle name="Neutral 99_est. MEAT" xfId="24598" xr:uid="{00000000-0005-0000-0000-000028430000}"/>
    <cellStyle name="Normal" xfId="0" builtinId="0"/>
    <cellStyle name="Normal 10" xfId="8403" xr:uid="{00000000-0005-0000-0000-000029430000}"/>
    <cellStyle name="Normal 10 2" xfId="8404" xr:uid="{00000000-0005-0000-0000-00002A430000}"/>
    <cellStyle name="Normal 10 2 2" xfId="8405" xr:uid="{00000000-0005-0000-0000-00002B430000}"/>
    <cellStyle name="Normal 10 2 2 2" xfId="17821" xr:uid="{00000000-0005-0000-0000-00002C430000}"/>
    <cellStyle name="Normal 10 2 2_est. MEAT" xfId="24599" xr:uid="{00000000-0005-0000-0000-00002D430000}"/>
    <cellStyle name="Normal 10 2 3" xfId="17820" xr:uid="{00000000-0005-0000-0000-00002E430000}"/>
    <cellStyle name="Normal 10 2_2012-2019" xfId="12496" xr:uid="{00000000-0005-0000-0000-00002F430000}"/>
    <cellStyle name="Normal 10 3" xfId="8406" xr:uid="{00000000-0005-0000-0000-000030430000}"/>
    <cellStyle name="Normal 10 3 2" xfId="17822" xr:uid="{00000000-0005-0000-0000-000031430000}"/>
    <cellStyle name="Normal 10 3_est. MEAT" xfId="24600" xr:uid="{00000000-0005-0000-0000-000032430000}"/>
    <cellStyle name="Normal 10 4" xfId="17819" xr:uid="{00000000-0005-0000-0000-000033430000}"/>
    <cellStyle name="Normal 10_2012-2019" xfId="12495" xr:uid="{00000000-0005-0000-0000-000034430000}"/>
    <cellStyle name="Normal 100" xfId="8407" xr:uid="{00000000-0005-0000-0000-000035430000}"/>
    <cellStyle name="Normal 100 2" xfId="8408" xr:uid="{00000000-0005-0000-0000-000036430000}"/>
    <cellStyle name="Normal 100 2 2" xfId="17824" xr:uid="{00000000-0005-0000-0000-000037430000}"/>
    <cellStyle name="Normal 100 2_est. MEAT" xfId="24601" xr:uid="{00000000-0005-0000-0000-000038430000}"/>
    <cellStyle name="Normal 100 3" xfId="17823" xr:uid="{00000000-0005-0000-0000-000039430000}"/>
    <cellStyle name="Normal 100_2012-2019" xfId="12497" xr:uid="{00000000-0005-0000-0000-00003A430000}"/>
    <cellStyle name="Normal 101" xfId="8409" xr:uid="{00000000-0005-0000-0000-00003B430000}"/>
    <cellStyle name="Normal 101 2" xfId="8410" xr:uid="{00000000-0005-0000-0000-00003C430000}"/>
    <cellStyle name="Normal 101 2 2" xfId="17826" xr:uid="{00000000-0005-0000-0000-00003D430000}"/>
    <cellStyle name="Normal 101 2_est. MEAT" xfId="24602" xr:uid="{00000000-0005-0000-0000-00003E430000}"/>
    <cellStyle name="Normal 101 3" xfId="17825" xr:uid="{00000000-0005-0000-0000-00003F430000}"/>
    <cellStyle name="Normal 101_2012-2019" xfId="12498" xr:uid="{00000000-0005-0000-0000-000040430000}"/>
    <cellStyle name="Normal 102" xfId="8411" xr:uid="{00000000-0005-0000-0000-000041430000}"/>
    <cellStyle name="Normal 102 2" xfId="8412" xr:uid="{00000000-0005-0000-0000-000042430000}"/>
    <cellStyle name="Normal 102 2 2" xfId="17828" xr:uid="{00000000-0005-0000-0000-000043430000}"/>
    <cellStyle name="Normal 102 2_est. MEAT" xfId="24603" xr:uid="{00000000-0005-0000-0000-000044430000}"/>
    <cellStyle name="Normal 102 3" xfId="17827" xr:uid="{00000000-0005-0000-0000-000045430000}"/>
    <cellStyle name="Normal 102_2012-2019" xfId="12499" xr:uid="{00000000-0005-0000-0000-000046430000}"/>
    <cellStyle name="Normal 103" xfId="8413" xr:uid="{00000000-0005-0000-0000-000047430000}"/>
    <cellStyle name="Normal 103 2" xfId="8414" xr:uid="{00000000-0005-0000-0000-000048430000}"/>
    <cellStyle name="Normal 103 2 2" xfId="17830" xr:uid="{00000000-0005-0000-0000-000049430000}"/>
    <cellStyle name="Normal 103 2_est. MEAT" xfId="24604" xr:uid="{00000000-0005-0000-0000-00004A430000}"/>
    <cellStyle name="Normal 103 3" xfId="17829" xr:uid="{00000000-0005-0000-0000-00004B430000}"/>
    <cellStyle name="Normal 103_2012-2019" xfId="12500" xr:uid="{00000000-0005-0000-0000-00004C430000}"/>
    <cellStyle name="Normal 104" xfId="8415" xr:uid="{00000000-0005-0000-0000-00004D430000}"/>
    <cellStyle name="Normal 104 2" xfId="8416" xr:uid="{00000000-0005-0000-0000-00004E430000}"/>
    <cellStyle name="Normal 104 2 2" xfId="17832" xr:uid="{00000000-0005-0000-0000-00004F430000}"/>
    <cellStyle name="Normal 104 2_est. MEAT" xfId="24605" xr:uid="{00000000-0005-0000-0000-000050430000}"/>
    <cellStyle name="Normal 104 3" xfId="17831" xr:uid="{00000000-0005-0000-0000-000051430000}"/>
    <cellStyle name="Normal 104_2012-2019" xfId="12501" xr:uid="{00000000-0005-0000-0000-000052430000}"/>
    <cellStyle name="Normal 105" xfId="8417" xr:uid="{00000000-0005-0000-0000-000053430000}"/>
    <cellStyle name="Normal 105 2" xfId="8418" xr:uid="{00000000-0005-0000-0000-000054430000}"/>
    <cellStyle name="Normal 105 2 2" xfId="17834" xr:uid="{00000000-0005-0000-0000-000055430000}"/>
    <cellStyle name="Normal 105 2_est. MEAT" xfId="24606" xr:uid="{00000000-0005-0000-0000-000056430000}"/>
    <cellStyle name="Normal 105 3" xfId="17833" xr:uid="{00000000-0005-0000-0000-000057430000}"/>
    <cellStyle name="Normal 105_2012-2019" xfId="12502" xr:uid="{00000000-0005-0000-0000-000058430000}"/>
    <cellStyle name="Normal 106" xfId="8419" xr:uid="{00000000-0005-0000-0000-000059430000}"/>
    <cellStyle name="Normal 106 2" xfId="8420" xr:uid="{00000000-0005-0000-0000-00005A430000}"/>
    <cellStyle name="Normal 106 2 2" xfId="17836" xr:uid="{00000000-0005-0000-0000-00005B430000}"/>
    <cellStyle name="Normal 106 2_est. MEAT" xfId="24607" xr:uid="{00000000-0005-0000-0000-00005C430000}"/>
    <cellStyle name="Normal 106 3" xfId="17835" xr:uid="{00000000-0005-0000-0000-00005D430000}"/>
    <cellStyle name="Normal 106_2012-2019" xfId="12503" xr:uid="{00000000-0005-0000-0000-00005E430000}"/>
    <cellStyle name="Normal 107" xfId="8421" xr:uid="{00000000-0005-0000-0000-00005F430000}"/>
    <cellStyle name="Normal 107 2" xfId="8422" xr:uid="{00000000-0005-0000-0000-000060430000}"/>
    <cellStyle name="Normal 107 2 2" xfId="17838" xr:uid="{00000000-0005-0000-0000-000061430000}"/>
    <cellStyle name="Normal 107 2_est. MEAT" xfId="24608" xr:uid="{00000000-0005-0000-0000-000062430000}"/>
    <cellStyle name="Normal 107 3" xfId="17837" xr:uid="{00000000-0005-0000-0000-000063430000}"/>
    <cellStyle name="Normal 107_2012-2019" xfId="12504" xr:uid="{00000000-0005-0000-0000-000064430000}"/>
    <cellStyle name="Normal 108" xfId="8423" xr:uid="{00000000-0005-0000-0000-000065430000}"/>
    <cellStyle name="Normal 108 2" xfId="17839" xr:uid="{00000000-0005-0000-0000-000066430000}"/>
    <cellStyle name="Normal 108_est. MEAT" xfId="24609" xr:uid="{00000000-0005-0000-0000-000067430000}"/>
    <cellStyle name="Normal 109" xfId="8424" xr:uid="{00000000-0005-0000-0000-000068430000}"/>
    <cellStyle name="Normal 109 2" xfId="8425" xr:uid="{00000000-0005-0000-0000-000069430000}"/>
    <cellStyle name="Normal 109 2 2" xfId="17841" xr:uid="{00000000-0005-0000-0000-00006A430000}"/>
    <cellStyle name="Normal 109 2_est. MEAT" xfId="24610" xr:uid="{00000000-0005-0000-0000-00006B430000}"/>
    <cellStyle name="Normal 109 3" xfId="17840" xr:uid="{00000000-0005-0000-0000-00006C430000}"/>
    <cellStyle name="Normal 109_2012-2019" xfId="12505" xr:uid="{00000000-0005-0000-0000-00006D430000}"/>
    <cellStyle name="Normal 11" xfId="8426" xr:uid="{00000000-0005-0000-0000-00006E430000}"/>
    <cellStyle name="Normal 11 2" xfId="8427" xr:uid="{00000000-0005-0000-0000-00006F430000}"/>
    <cellStyle name="Normal 11 2 2" xfId="17843" xr:uid="{00000000-0005-0000-0000-000070430000}"/>
    <cellStyle name="Normal 11 2_est. MEAT" xfId="24611" xr:uid="{00000000-0005-0000-0000-000071430000}"/>
    <cellStyle name="Normal 11 3" xfId="17842" xr:uid="{00000000-0005-0000-0000-000072430000}"/>
    <cellStyle name="Normal 11_2012-2019" xfId="12506" xr:uid="{00000000-0005-0000-0000-000073430000}"/>
    <cellStyle name="Normal 110" xfId="8428" xr:uid="{00000000-0005-0000-0000-000074430000}"/>
    <cellStyle name="Normal 110 2" xfId="8429" xr:uid="{00000000-0005-0000-0000-000075430000}"/>
    <cellStyle name="Normal 110 2 2" xfId="17845" xr:uid="{00000000-0005-0000-0000-000076430000}"/>
    <cellStyle name="Normal 110 2_est. MEAT" xfId="24612" xr:uid="{00000000-0005-0000-0000-000077430000}"/>
    <cellStyle name="Normal 110 3" xfId="17844" xr:uid="{00000000-0005-0000-0000-000078430000}"/>
    <cellStyle name="Normal 110_2012-2019" xfId="12507" xr:uid="{00000000-0005-0000-0000-000079430000}"/>
    <cellStyle name="Normal 111" xfId="8430" xr:uid="{00000000-0005-0000-0000-00007A430000}"/>
    <cellStyle name="Normal 111 2" xfId="8431" xr:uid="{00000000-0005-0000-0000-00007B430000}"/>
    <cellStyle name="Normal 111 2 2" xfId="17847" xr:uid="{00000000-0005-0000-0000-00007C430000}"/>
    <cellStyle name="Normal 111 2_est. MEAT" xfId="24613" xr:uid="{00000000-0005-0000-0000-00007D430000}"/>
    <cellStyle name="Normal 111 3" xfId="17846" xr:uid="{00000000-0005-0000-0000-00007E430000}"/>
    <cellStyle name="Normal 111_2012-2019" xfId="12508" xr:uid="{00000000-0005-0000-0000-00007F430000}"/>
    <cellStyle name="Normal 112" xfId="8432" xr:uid="{00000000-0005-0000-0000-000080430000}"/>
    <cellStyle name="Normal 112 2" xfId="8433" xr:uid="{00000000-0005-0000-0000-000081430000}"/>
    <cellStyle name="Normal 112 2 2" xfId="17849" xr:uid="{00000000-0005-0000-0000-000082430000}"/>
    <cellStyle name="Normal 112 2_est. MEAT" xfId="24614" xr:uid="{00000000-0005-0000-0000-000083430000}"/>
    <cellStyle name="Normal 112 3" xfId="17848" xr:uid="{00000000-0005-0000-0000-000084430000}"/>
    <cellStyle name="Normal 112_2012-2019" xfId="12509" xr:uid="{00000000-0005-0000-0000-000085430000}"/>
    <cellStyle name="Normal 113" xfId="8434" xr:uid="{00000000-0005-0000-0000-000086430000}"/>
    <cellStyle name="Normal 113 2" xfId="8435" xr:uid="{00000000-0005-0000-0000-000087430000}"/>
    <cellStyle name="Normal 113 2 2" xfId="17851" xr:uid="{00000000-0005-0000-0000-000088430000}"/>
    <cellStyle name="Normal 113 2_est. MEAT" xfId="24615" xr:uid="{00000000-0005-0000-0000-000089430000}"/>
    <cellStyle name="Normal 113 3" xfId="17850" xr:uid="{00000000-0005-0000-0000-00008A430000}"/>
    <cellStyle name="Normal 113_2012-2019" xfId="12510" xr:uid="{00000000-0005-0000-0000-00008B430000}"/>
    <cellStyle name="Normal 114" xfId="8436" xr:uid="{00000000-0005-0000-0000-00008C430000}"/>
    <cellStyle name="Normal 114 2" xfId="8437" xr:uid="{00000000-0005-0000-0000-00008D430000}"/>
    <cellStyle name="Normal 114 2 2" xfId="17853" xr:uid="{00000000-0005-0000-0000-00008E430000}"/>
    <cellStyle name="Normal 114 2_est. MEAT" xfId="24616" xr:uid="{00000000-0005-0000-0000-00008F430000}"/>
    <cellStyle name="Normal 114 3" xfId="17852" xr:uid="{00000000-0005-0000-0000-000090430000}"/>
    <cellStyle name="Normal 114_2012-2019" xfId="12511" xr:uid="{00000000-0005-0000-0000-000091430000}"/>
    <cellStyle name="Normal 115" xfId="8438" xr:uid="{00000000-0005-0000-0000-000092430000}"/>
    <cellStyle name="Normal 115 2" xfId="8439" xr:uid="{00000000-0005-0000-0000-000093430000}"/>
    <cellStyle name="Normal 115 2 2" xfId="17855" xr:uid="{00000000-0005-0000-0000-000094430000}"/>
    <cellStyle name="Normal 115 2_est. MEAT" xfId="24617" xr:uid="{00000000-0005-0000-0000-000095430000}"/>
    <cellStyle name="Normal 115 3" xfId="17854" xr:uid="{00000000-0005-0000-0000-000096430000}"/>
    <cellStyle name="Normal 115_2012-2019" xfId="12512" xr:uid="{00000000-0005-0000-0000-000097430000}"/>
    <cellStyle name="Normal 116" xfId="8440" xr:uid="{00000000-0005-0000-0000-000098430000}"/>
    <cellStyle name="Normal 116 2" xfId="8441" xr:uid="{00000000-0005-0000-0000-000099430000}"/>
    <cellStyle name="Normal 116 2 2" xfId="17857" xr:uid="{00000000-0005-0000-0000-00009A430000}"/>
    <cellStyle name="Normal 116 2_est. MEAT" xfId="24618" xr:uid="{00000000-0005-0000-0000-00009B430000}"/>
    <cellStyle name="Normal 116 3" xfId="17856" xr:uid="{00000000-0005-0000-0000-00009C430000}"/>
    <cellStyle name="Normal 116_2012-2019" xfId="12513" xr:uid="{00000000-0005-0000-0000-00009D430000}"/>
    <cellStyle name="Normal 117" xfId="8442" xr:uid="{00000000-0005-0000-0000-00009E430000}"/>
    <cellStyle name="Normal 117 2" xfId="8443" xr:uid="{00000000-0005-0000-0000-00009F430000}"/>
    <cellStyle name="Normal 117 2 2" xfId="17859" xr:uid="{00000000-0005-0000-0000-0000A0430000}"/>
    <cellStyle name="Normal 117 2_est. MEAT" xfId="24619" xr:uid="{00000000-0005-0000-0000-0000A1430000}"/>
    <cellStyle name="Normal 117 3" xfId="17858" xr:uid="{00000000-0005-0000-0000-0000A2430000}"/>
    <cellStyle name="Normal 117_2012-2019" xfId="12514" xr:uid="{00000000-0005-0000-0000-0000A3430000}"/>
    <cellStyle name="Normal 118" xfId="8444" xr:uid="{00000000-0005-0000-0000-0000A4430000}"/>
    <cellStyle name="Normal 118 2" xfId="8445" xr:uid="{00000000-0005-0000-0000-0000A5430000}"/>
    <cellStyle name="Normal 118 2 2" xfId="17861" xr:uid="{00000000-0005-0000-0000-0000A6430000}"/>
    <cellStyle name="Normal 118 2_est. MEAT" xfId="24620" xr:uid="{00000000-0005-0000-0000-0000A7430000}"/>
    <cellStyle name="Normal 118 3" xfId="17860" xr:uid="{00000000-0005-0000-0000-0000A8430000}"/>
    <cellStyle name="Normal 118_2012-2019" xfId="12515" xr:uid="{00000000-0005-0000-0000-0000A9430000}"/>
    <cellStyle name="Normal 119" xfId="8446" xr:uid="{00000000-0005-0000-0000-0000AA430000}"/>
    <cellStyle name="Normal 119 2" xfId="8447" xr:uid="{00000000-0005-0000-0000-0000AB430000}"/>
    <cellStyle name="Normal 119 2 2" xfId="17863" xr:uid="{00000000-0005-0000-0000-0000AC430000}"/>
    <cellStyle name="Normal 119 2_est. MEAT" xfId="24621" xr:uid="{00000000-0005-0000-0000-0000AD430000}"/>
    <cellStyle name="Normal 119 3" xfId="17862" xr:uid="{00000000-0005-0000-0000-0000AE430000}"/>
    <cellStyle name="Normal 119_2012-2019" xfId="12516" xr:uid="{00000000-0005-0000-0000-0000AF430000}"/>
    <cellStyle name="Normal 12" xfId="8448" xr:uid="{00000000-0005-0000-0000-0000B0430000}"/>
    <cellStyle name="Normal 12 2" xfId="8449" xr:uid="{00000000-0005-0000-0000-0000B1430000}"/>
    <cellStyle name="Normal 12 2 2" xfId="17865" xr:uid="{00000000-0005-0000-0000-0000B2430000}"/>
    <cellStyle name="Normal 12 2_est. MEAT" xfId="24622" xr:uid="{00000000-0005-0000-0000-0000B3430000}"/>
    <cellStyle name="Normal 12 3" xfId="17864" xr:uid="{00000000-0005-0000-0000-0000B4430000}"/>
    <cellStyle name="Normal 12_2012-2019" xfId="12517" xr:uid="{00000000-0005-0000-0000-0000B5430000}"/>
    <cellStyle name="Normal 120" xfId="8450" xr:uid="{00000000-0005-0000-0000-0000B6430000}"/>
    <cellStyle name="Normal 120 2" xfId="8451" xr:uid="{00000000-0005-0000-0000-0000B7430000}"/>
    <cellStyle name="Normal 120 2 2" xfId="17867" xr:uid="{00000000-0005-0000-0000-0000B8430000}"/>
    <cellStyle name="Normal 120 2_est. MEAT" xfId="24623" xr:uid="{00000000-0005-0000-0000-0000B9430000}"/>
    <cellStyle name="Normal 120 3" xfId="17866" xr:uid="{00000000-0005-0000-0000-0000BA430000}"/>
    <cellStyle name="Normal 120_2012-2019" xfId="12518" xr:uid="{00000000-0005-0000-0000-0000BB430000}"/>
    <cellStyle name="Normal 121" xfId="8452" xr:uid="{00000000-0005-0000-0000-0000BC430000}"/>
    <cellStyle name="Normal 121 2" xfId="17868" xr:uid="{00000000-0005-0000-0000-0000BD430000}"/>
    <cellStyle name="Normal 121_est. MEAT" xfId="24624" xr:uid="{00000000-0005-0000-0000-0000BE430000}"/>
    <cellStyle name="Normal 122" xfId="8453" xr:uid="{00000000-0005-0000-0000-0000BF430000}"/>
    <cellStyle name="Normal 122 2" xfId="8454" xr:uid="{00000000-0005-0000-0000-0000C0430000}"/>
    <cellStyle name="Normal 122 2 2" xfId="17870" xr:uid="{00000000-0005-0000-0000-0000C1430000}"/>
    <cellStyle name="Normal 122 2_est. MEAT" xfId="24625" xr:uid="{00000000-0005-0000-0000-0000C2430000}"/>
    <cellStyle name="Normal 122 3" xfId="17869" xr:uid="{00000000-0005-0000-0000-0000C3430000}"/>
    <cellStyle name="Normal 122_2012-2019" xfId="12519" xr:uid="{00000000-0005-0000-0000-0000C4430000}"/>
    <cellStyle name="Normal 123" xfId="8455" xr:uid="{00000000-0005-0000-0000-0000C5430000}"/>
    <cellStyle name="Normal 123 2" xfId="8456" xr:uid="{00000000-0005-0000-0000-0000C6430000}"/>
    <cellStyle name="Normal 123 2 2" xfId="17872" xr:uid="{00000000-0005-0000-0000-0000C7430000}"/>
    <cellStyle name="Normal 123 2_est. MEAT" xfId="24626" xr:uid="{00000000-0005-0000-0000-0000C8430000}"/>
    <cellStyle name="Normal 123 3" xfId="17871" xr:uid="{00000000-0005-0000-0000-0000C9430000}"/>
    <cellStyle name="Normal 123_2012-2019" xfId="12520" xr:uid="{00000000-0005-0000-0000-0000CA430000}"/>
    <cellStyle name="Normal 124" xfId="8457" xr:uid="{00000000-0005-0000-0000-0000CB430000}"/>
    <cellStyle name="Normal 124 2" xfId="8458" xr:uid="{00000000-0005-0000-0000-0000CC430000}"/>
    <cellStyle name="Normal 124 2 2" xfId="17874" xr:uid="{00000000-0005-0000-0000-0000CD430000}"/>
    <cellStyle name="Normal 124 2_est. MEAT" xfId="24627" xr:uid="{00000000-0005-0000-0000-0000CE430000}"/>
    <cellStyle name="Normal 124 3" xfId="17873" xr:uid="{00000000-0005-0000-0000-0000CF430000}"/>
    <cellStyle name="Normal 124_2012-2019" xfId="12521" xr:uid="{00000000-0005-0000-0000-0000D0430000}"/>
    <cellStyle name="Normal 125" xfId="8459" xr:uid="{00000000-0005-0000-0000-0000D1430000}"/>
    <cellStyle name="Normal 125 2" xfId="8460" xr:uid="{00000000-0005-0000-0000-0000D2430000}"/>
    <cellStyle name="Normal 125 2 2" xfId="17876" xr:uid="{00000000-0005-0000-0000-0000D3430000}"/>
    <cellStyle name="Normal 125 2_est. MEAT" xfId="24628" xr:uid="{00000000-0005-0000-0000-0000D4430000}"/>
    <cellStyle name="Normal 125 3" xfId="17875" xr:uid="{00000000-0005-0000-0000-0000D5430000}"/>
    <cellStyle name="Normal 125_2012-2019" xfId="12522" xr:uid="{00000000-0005-0000-0000-0000D6430000}"/>
    <cellStyle name="Normal 126" xfId="8461" xr:uid="{00000000-0005-0000-0000-0000D7430000}"/>
    <cellStyle name="Normal 126 2" xfId="8462" xr:uid="{00000000-0005-0000-0000-0000D8430000}"/>
    <cellStyle name="Normal 126 2 2" xfId="17878" xr:uid="{00000000-0005-0000-0000-0000D9430000}"/>
    <cellStyle name="Normal 126 2_est. MEAT" xfId="24629" xr:uid="{00000000-0005-0000-0000-0000DA430000}"/>
    <cellStyle name="Normal 126 3" xfId="17877" xr:uid="{00000000-0005-0000-0000-0000DB430000}"/>
    <cellStyle name="Normal 126_2012-2019" xfId="12523" xr:uid="{00000000-0005-0000-0000-0000DC430000}"/>
    <cellStyle name="Normal 127" xfId="8463" xr:uid="{00000000-0005-0000-0000-0000DD430000}"/>
    <cellStyle name="Normal 127 2" xfId="8464" xr:uid="{00000000-0005-0000-0000-0000DE430000}"/>
    <cellStyle name="Normal 127 2 2" xfId="17880" xr:uid="{00000000-0005-0000-0000-0000DF430000}"/>
    <cellStyle name="Normal 127 2_est. MEAT" xfId="24630" xr:uid="{00000000-0005-0000-0000-0000E0430000}"/>
    <cellStyle name="Normal 127 3" xfId="17879" xr:uid="{00000000-0005-0000-0000-0000E1430000}"/>
    <cellStyle name="Normal 127_2012-2019" xfId="12524" xr:uid="{00000000-0005-0000-0000-0000E2430000}"/>
    <cellStyle name="Normal 128" xfId="8465" xr:uid="{00000000-0005-0000-0000-0000E3430000}"/>
    <cellStyle name="Normal 128 2" xfId="8466" xr:uid="{00000000-0005-0000-0000-0000E4430000}"/>
    <cellStyle name="Normal 128 2 2" xfId="17882" xr:uid="{00000000-0005-0000-0000-0000E5430000}"/>
    <cellStyle name="Normal 128 2_est. MEAT" xfId="24631" xr:uid="{00000000-0005-0000-0000-0000E6430000}"/>
    <cellStyle name="Normal 128 3" xfId="17881" xr:uid="{00000000-0005-0000-0000-0000E7430000}"/>
    <cellStyle name="Normal 128_2012-2019" xfId="12525" xr:uid="{00000000-0005-0000-0000-0000E8430000}"/>
    <cellStyle name="Normal 129" xfId="8467" xr:uid="{00000000-0005-0000-0000-0000E9430000}"/>
    <cellStyle name="Normal 129 2" xfId="17883" xr:uid="{00000000-0005-0000-0000-0000EA430000}"/>
    <cellStyle name="Normal 129_est. MEAT" xfId="24632" xr:uid="{00000000-0005-0000-0000-0000EB430000}"/>
    <cellStyle name="Normal 13" xfId="8468" xr:uid="{00000000-0005-0000-0000-0000EC430000}"/>
    <cellStyle name="Normal 13 2" xfId="8469" xr:uid="{00000000-0005-0000-0000-0000ED430000}"/>
    <cellStyle name="Normal 13 2 2" xfId="8470" xr:uid="{00000000-0005-0000-0000-0000EE430000}"/>
    <cellStyle name="Normal 13 2 2 2" xfId="17886" xr:uid="{00000000-0005-0000-0000-0000EF430000}"/>
    <cellStyle name="Normal 13 2 2_est. MEAT" xfId="24633" xr:uid="{00000000-0005-0000-0000-0000F0430000}"/>
    <cellStyle name="Normal 13 2 3" xfId="17885" xr:uid="{00000000-0005-0000-0000-0000F1430000}"/>
    <cellStyle name="Normal 13 2_2012-2019" xfId="12527" xr:uid="{00000000-0005-0000-0000-0000F2430000}"/>
    <cellStyle name="Normal 13 3" xfId="8471" xr:uid="{00000000-0005-0000-0000-0000F3430000}"/>
    <cellStyle name="Normal 13 3 2" xfId="17887" xr:uid="{00000000-0005-0000-0000-0000F4430000}"/>
    <cellStyle name="Normal 13 3_est. MEAT" xfId="24634" xr:uid="{00000000-0005-0000-0000-0000F5430000}"/>
    <cellStyle name="Normal 13 4" xfId="17884" xr:uid="{00000000-0005-0000-0000-0000F6430000}"/>
    <cellStyle name="Normal 13_2012-2019" xfId="12526" xr:uid="{00000000-0005-0000-0000-0000F7430000}"/>
    <cellStyle name="Normal 130" xfId="8472" xr:uid="{00000000-0005-0000-0000-0000F8430000}"/>
    <cellStyle name="Normal 130 2" xfId="8473" xr:uid="{00000000-0005-0000-0000-0000F9430000}"/>
    <cellStyle name="Normal 130 2 2" xfId="17889" xr:uid="{00000000-0005-0000-0000-0000FA430000}"/>
    <cellStyle name="Normal 130 2_est. MEAT" xfId="24635" xr:uid="{00000000-0005-0000-0000-0000FB430000}"/>
    <cellStyle name="Normal 130 3" xfId="17888" xr:uid="{00000000-0005-0000-0000-0000FC430000}"/>
    <cellStyle name="Normal 130_2012-2019" xfId="12528" xr:uid="{00000000-0005-0000-0000-0000FD430000}"/>
    <cellStyle name="Normal 131" xfId="8474" xr:uid="{00000000-0005-0000-0000-0000FE430000}"/>
    <cellStyle name="Normal 131 2" xfId="8475" xr:uid="{00000000-0005-0000-0000-0000FF430000}"/>
    <cellStyle name="Normal 131 2 2" xfId="17891" xr:uid="{00000000-0005-0000-0000-000000440000}"/>
    <cellStyle name="Normal 131 2_est. MEAT" xfId="24636" xr:uid="{00000000-0005-0000-0000-000001440000}"/>
    <cellStyle name="Normal 131 3" xfId="17890" xr:uid="{00000000-0005-0000-0000-000002440000}"/>
    <cellStyle name="Normal 131_2012-2019" xfId="12529" xr:uid="{00000000-0005-0000-0000-000003440000}"/>
    <cellStyle name="Normal 132" xfId="11627" xr:uid="{00000000-0005-0000-0000-000004440000}"/>
    <cellStyle name="Normal 132 2" xfId="21041" xr:uid="{00000000-0005-0000-0000-000005440000}"/>
    <cellStyle name="Normal 133" xfId="8476" xr:uid="{00000000-0005-0000-0000-000006440000}"/>
    <cellStyle name="Normal 133 2" xfId="8477" xr:uid="{00000000-0005-0000-0000-000007440000}"/>
    <cellStyle name="Normal 133 2 2" xfId="17893" xr:uid="{00000000-0005-0000-0000-000008440000}"/>
    <cellStyle name="Normal 133 2_est. MEAT" xfId="24637" xr:uid="{00000000-0005-0000-0000-000009440000}"/>
    <cellStyle name="Normal 133 3" xfId="17892" xr:uid="{00000000-0005-0000-0000-00000A440000}"/>
    <cellStyle name="Normal 133_2012-2019" xfId="12530" xr:uid="{00000000-0005-0000-0000-00000B440000}"/>
    <cellStyle name="Normal 134" xfId="11629" xr:uid="{00000000-0005-0000-0000-00000C440000}"/>
    <cellStyle name="Normal 134 2" xfId="21043" xr:uid="{00000000-0005-0000-0000-00000D440000}"/>
    <cellStyle name="Normal 135" xfId="8478" xr:uid="{00000000-0005-0000-0000-00000E440000}"/>
    <cellStyle name="Normal 135 2" xfId="8479" xr:uid="{00000000-0005-0000-0000-00000F440000}"/>
    <cellStyle name="Normal 135 2 2" xfId="17895" xr:uid="{00000000-0005-0000-0000-000010440000}"/>
    <cellStyle name="Normal 135 2_est. MEAT" xfId="24638" xr:uid="{00000000-0005-0000-0000-000011440000}"/>
    <cellStyle name="Normal 135 3" xfId="17894" xr:uid="{00000000-0005-0000-0000-000012440000}"/>
    <cellStyle name="Normal 135_2012-2019" xfId="12531" xr:uid="{00000000-0005-0000-0000-000013440000}"/>
    <cellStyle name="Normal 136" xfId="8480" xr:uid="{00000000-0005-0000-0000-000014440000}"/>
    <cellStyle name="Normal 136 2" xfId="8481" xr:uid="{00000000-0005-0000-0000-000015440000}"/>
    <cellStyle name="Normal 136 2 2" xfId="17897" xr:uid="{00000000-0005-0000-0000-000016440000}"/>
    <cellStyle name="Normal 136 2_est. MEAT" xfId="24639" xr:uid="{00000000-0005-0000-0000-000017440000}"/>
    <cellStyle name="Normal 136 3" xfId="17896" xr:uid="{00000000-0005-0000-0000-000018440000}"/>
    <cellStyle name="Normal 136_2012-2019" xfId="12532" xr:uid="{00000000-0005-0000-0000-000019440000}"/>
    <cellStyle name="Normal 137" xfId="26875" xr:uid="{00000000-0005-0000-0000-00001A440000}"/>
    <cellStyle name="Normal 138" xfId="8482" xr:uid="{00000000-0005-0000-0000-00001B440000}"/>
    <cellStyle name="Normal 138 2" xfId="8483" xr:uid="{00000000-0005-0000-0000-00001C440000}"/>
    <cellStyle name="Normal 138 2 2" xfId="17899" xr:uid="{00000000-0005-0000-0000-00001D440000}"/>
    <cellStyle name="Normal 138 2_est. MEAT" xfId="24640" xr:uid="{00000000-0005-0000-0000-00001E440000}"/>
    <cellStyle name="Normal 138 3" xfId="17898" xr:uid="{00000000-0005-0000-0000-00001F440000}"/>
    <cellStyle name="Normal 138_2012-2019" xfId="12533" xr:uid="{00000000-0005-0000-0000-000020440000}"/>
    <cellStyle name="Normal 139" xfId="8484" xr:uid="{00000000-0005-0000-0000-000021440000}"/>
    <cellStyle name="Normal 139 2" xfId="8485" xr:uid="{00000000-0005-0000-0000-000022440000}"/>
    <cellStyle name="Normal 139 2 2" xfId="17901" xr:uid="{00000000-0005-0000-0000-000023440000}"/>
    <cellStyle name="Normal 139 2_est. MEAT" xfId="24641" xr:uid="{00000000-0005-0000-0000-000024440000}"/>
    <cellStyle name="Normal 139 3" xfId="17900" xr:uid="{00000000-0005-0000-0000-000025440000}"/>
    <cellStyle name="Normal 139_2012-2019" xfId="12534" xr:uid="{00000000-0005-0000-0000-000026440000}"/>
    <cellStyle name="Normal 14" xfId="8486" xr:uid="{00000000-0005-0000-0000-000027440000}"/>
    <cellStyle name="Normal 14 2" xfId="8487" xr:uid="{00000000-0005-0000-0000-000028440000}"/>
    <cellStyle name="Normal 14 2 2" xfId="8488" xr:uid="{00000000-0005-0000-0000-000029440000}"/>
    <cellStyle name="Normal 14 2 2 2" xfId="17904" xr:uid="{00000000-0005-0000-0000-00002A440000}"/>
    <cellStyle name="Normal 14 2 2_est. MEAT" xfId="24642" xr:uid="{00000000-0005-0000-0000-00002B440000}"/>
    <cellStyle name="Normal 14 2 3" xfId="17903" xr:uid="{00000000-0005-0000-0000-00002C440000}"/>
    <cellStyle name="Normal 14 2_2012-2019" xfId="12536" xr:uid="{00000000-0005-0000-0000-00002D440000}"/>
    <cellStyle name="Normal 14 3" xfId="8489" xr:uid="{00000000-0005-0000-0000-00002E440000}"/>
    <cellStyle name="Normal 14 3 2" xfId="17905" xr:uid="{00000000-0005-0000-0000-00002F440000}"/>
    <cellStyle name="Normal 14 3_est. MEAT" xfId="24643" xr:uid="{00000000-0005-0000-0000-000030440000}"/>
    <cellStyle name="Normal 14 4" xfId="17902" xr:uid="{00000000-0005-0000-0000-000031440000}"/>
    <cellStyle name="Normal 14_2012-2019" xfId="12535" xr:uid="{00000000-0005-0000-0000-000032440000}"/>
    <cellStyle name="Normal 140" xfId="8490" xr:uid="{00000000-0005-0000-0000-000033440000}"/>
    <cellStyle name="Normal 140 2" xfId="8491" xr:uid="{00000000-0005-0000-0000-000034440000}"/>
    <cellStyle name="Normal 140 2 2" xfId="17907" xr:uid="{00000000-0005-0000-0000-000035440000}"/>
    <cellStyle name="Normal 140 2_est. MEAT" xfId="24644" xr:uid="{00000000-0005-0000-0000-000036440000}"/>
    <cellStyle name="Normal 140 3" xfId="17906" xr:uid="{00000000-0005-0000-0000-000037440000}"/>
    <cellStyle name="Normal 140_2012-2019" xfId="12537" xr:uid="{00000000-0005-0000-0000-000038440000}"/>
    <cellStyle name="Normal 141" xfId="8492" xr:uid="{00000000-0005-0000-0000-000039440000}"/>
    <cellStyle name="Normal 141 2" xfId="8493" xr:uid="{00000000-0005-0000-0000-00003A440000}"/>
    <cellStyle name="Normal 141 2 2" xfId="17909" xr:uid="{00000000-0005-0000-0000-00003B440000}"/>
    <cellStyle name="Normal 141 2_est. MEAT" xfId="24645" xr:uid="{00000000-0005-0000-0000-00003C440000}"/>
    <cellStyle name="Normal 141 3" xfId="17908" xr:uid="{00000000-0005-0000-0000-00003D440000}"/>
    <cellStyle name="Normal 141_2012-2019" xfId="12538" xr:uid="{00000000-0005-0000-0000-00003E440000}"/>
    <cellStyle name="Normal 142" xfId="8494" xr:uid="{00000000-0005-0000-0000-00003F440000}"/>
    <cellStyle name="Normal 142 2" xfId="8495" xr:uid="{00000000-0005-0000-0000-000040440000}"/>
    <cellStyle name="Normal 142 2 2" xfId="17911" xr:uid="{00000000-0005-0000-0000-000041440000}"/>
    <cellStyle name="Normal 142 2_est. MEAT" xfId="24646" xr:uid="{00000000-0005-0000-0000-000042440000}"/>
    <cellStyle name="Normal 142 3" xfId="17910" xr:uid="{00000000-0005-0000-0000-000043440000}"/>
    <cellStyle name="Normal 142_2012-2019" xfId="12539" xr:uid="{00000000-0005-0000-0000-000044440000}"/>
    <cellStyle name="Normal 143" xfId="8496" xr:uid="{00000000-0005-0000-0000-000045440000}"/>
    <cellStyle name="Normal 143 2" xfId="8497" xr:uid="{00000000-0005-0000-0000-000046440000}"/>
    <cellStyle name="Normal 143 2 2" xfId="17913" xr:uid="{00000000-0005-0000-0000-000047440000}"/>
    <cellStyle name="Normal 143 2_est. MEAT" xfId="24647" xr:uid="{00000000-0005-0000-0000-000048440000}"/>
    <cellStyle name="Normal 143 3" xfId="17912" xr:uid="{00000000-0005-0000-0000-000049440000}"/>
    <cellStyle name="Normal 143_2012-2019" xfId="12540" xr:uid="{00000000-0005-0000-0000-00004A440000}"/>
    <cellStyle name="Normal 15" xfId="8498" xr:uid="{00000000-0005-0000-0000-00004B440000}"/>
    <cellStyle name="Normal 15 2" xfId="8499" xr:uid="{00000000-0005-0000-0000-00004C440000}"/>
    <cellStyle name="Normal 15 2 2" xfId="8500" xr:uid="{00000000-0005-0000-0000-00004D440000}"/>
    <cellStyle name="Normal 15 2 2 2" xfId="17916" xr:uid="{00000000-0005-0000-0000-00004E440000}"/>
    <cellStyle name="Normal 15 2 2_est. MEAT" xfId="24648" xr:uid="{00000000-0005-0000-0000-00004F440000}"/>
    <cellStyle name="Normal 15 2 3" xfId="17915" xr:uid="{00000000-0005-0000-0000-000050440000}"/>
    <cellStyle name="Normal 15 2_2012-2019" xfId="12542" xr:uid="{00000000-0005-0000-0000-000051440000}"/>
    <cellStyle name="Normal 15 3" xfId="8501" xr:uid="{00000000-0005-0000-0000-000052440000}"/>
    <cellStyle name="Normal 15 3 2" xfId="17917" xr:uid="{00000000-0005-0000-0000-000053440000}"/>
    <cellStyle name="Normal 15 3_est. MEAT" xfId="24649" xr:uid="{00000000-0005-0000-0000-000054440000}"/>
    <cellStyle name="Normal 15 4" xfId="17914" xr:uid="{00000000-0005-0000-0000-000055440000}"/>
    <cellStyle name="Normal 15_2012-2019" xfId="12541" xr:uid="{00000000-0005-0000-0000-000056440000}"/>
    <cellStyle name="Normal 16" xfId="8502" xr:uid="{00000000-0005-0000-0000-000057440000}"/>
    <cellStyle name="Normal 16 2" xfId="8503" xr:uid="{00000000-0005-0000-0000-000058440000}"/>
    <cellStyle name="Normal 16 2 2" xfId="8504" xr:uid="{00000000-0005-0000-0000-000059440000}"/>
    <cellStyle name="Normal 16 2 2 2" xfId="17920" xr:uid="{00000000-0005-0000-0000-00005A440000}"/>
    <cellStyle name="Normal 16 2 2_est. MEAT" xfId="24650" xr:uid="{00000000-0005-0000-0000-00005B440000}"/>
    <cellStyle name="Normal 16 2 3" xfId="17919" xr:uid="{00000000-0005-0000-0000-00005C440000}"/>
    <cellStyle name="Normal 16 2_2012-2019" xfId="12544" xr:uid="{00000000-0005-0000-0000-00005D440000}"/>
    <cellStyle name="Normal 16 3" xfId="8505" xr:uid="{00000000-0005-0000-0000-00005E440000}"/>
    <cellStyle name="Normal 16 3 2" xfId="17921" xr:uid="{00000000-0005-0000-0000-00005F440000}"/>
    <cellStyle name="Normal 16 3_est. MEAT" xfId="24651" xr:uid="{00000000-0005-0000-0000-000060440000}"/>
    <cellStyle name="Normal 16 4" xfId="17918" xr:uid="{00000000-0005-0000-0000-000061440000}"/>
    <cellStyle name="Normal 16_2012-2019" xfId="12543" xr:uid="{00000000-0005-0000-0000-000062440000}"/>
    <cellStyle name="Normal 17" xfId="8506" xr:uid="{00000000-0005-0000-0000-000063440000}"/>
    <cellStyle name="Normal 17 2" xfId="8507" xr:uid="{00000000-0005-0000-0000-000064440000}"/>
    <cellStyle name="Normal 17 2 2" xfId="17923" xr:uid="{00000000-0005-0000-0000-000065440000}"/>
    <cellStyle name="Normal 17 2_est. MEAT" xfId="24652" xr:uid="{00000000-0005-0000-0000-000066440000}"/>
    <cellStyle name="Normal 17 3" xfId="17922" xr:uid="{00000000-0005-0000-0000-000067440000}"/>
    <cellStyle name="Normal 17_2012-2019" xfId="12545" xr:uid="{00000000-0005-0000-0000-000068440000}"/>
    <cellStyle name="Normal 18" xfId="8508" xr:uid="{00000000-0005-0000-0000-000069440000}"/>
    <cellStyle name="Normal 18 2" xfId="8509" xr:uid="{00000000-0005-0000-0000-00006A440000}"/>
    <cellStyle name="Normal 18 2 2" xfId="8510" xr:uid="{00000000-0005-0000-0000-00006B440000}"/>
    <cellStyle name="Normal 18 2 2 2" xfId="17926" xr:uid="{00000000-0005-0000-0000-00006C440000}"/>
    <cellStyle name="Normal 18 2 2_est. MEAT" xfId="24653" xr:uid="{00000000-0005-0000-0000-00006D440000}"/>
    <cellStyle name="Normal 18 2 3" xfId="17925" xr:uid="{00000000-0005-0000-0000-00006E440000}"/>
    <cellStyle name="Normal 18 2_2012-2019" xfId="12547" xr:uid="{00000000-0005-0000-0000-00006F440000}"/>
    <cellStyle name="Normal 18 3" xfId="8511" xr:uid="{00000000-0005-0000-0000-000070440000}"/>
    <cellStyle name="Normal 18 3 2" xfId="17927" xr:uid="{00000000-0005-0000-0000-000071440000}"/>
    <cellStyle name="Normal 18 3_est. MEAT" xfId="24654" xr:uid="{00000000-0005-0000-0000-000072440000}"/>
    <cellStyle name="Normal 18 4" xfId="17924" xr:uid="{00000000-0005-0000-0000-000073440000}"/>
    <cellStyle name="Normal 18_2012-2019" xfId="12546" xr:uid="{00000000-0005-0000-0000-000074440000}"/>
    <cellStyle name="Normal 19" xfId="8512" xr:uid="{00000000-0005-0000-0000-000075440000}"/>
    <cellStyle name="Normal 19 2" xfId="8513" xr:uid="{00000000-0005-0000-0000-000076440000}"/>
    <cellStyle name="Normal 19 2 2" xfId="8514" xr:uid="{00000000-0005-0000-0000-000077440000}"/>
    <cellStyle name="Normal 19 2 2 2" xfId="17930" xr:uid="{00000000-0005-0000-0000-000078440000}"/>
    <cellStyle name="Normal 19 2 2_est. MEAT" xfId="24655" xr:uid="{00000000-0005-0000-0000-000079440000}"/>
    <cellStyle name="Normal 19 2 3" xfId="17929" xr:uid="{00000000-0005-0000-0000-00007A440000}"/>
    <cellStyle name="Normal 19 2_2012-2019" xfId="12549" xr:uid="{00000000-0005-0000-0000-00007B440000}"/>
    <cellStyle name="Normal 19 3" xfId="8515" xr:uid="{00000000-0005-0000-0000-00007C440000}"/>
    <cellStyle name="Normal 19 3 2" xfId="17931" xr:uid="{00000000-0005-0000-0000-00007D440000}"/>
    <cellStyle name="Normal 19 3_est. MEAT" xfId="24656" xr:uid="{00000000-0005-0000-0000-00007E440000}"/>
    <cellStyle name="Normal 19 4" xfId="17928" xr:uid="{00000000-0005-0000-0000-00007F440000}"/>
    <cellStyle name="Normal 19_2012-2019" xfId="12548" xr:uid="{00000000-0005-0000-0000-000080440000}"/>
    <cellStyle name="Normal 2" xfId="4" xr:uid="{00000000-0005-0000-0000-000081440000}"/>
    <cellStyle name="Normal 2 2" xfId="5" xr:uid="{00000000-0005-0000-0000-000082440000}"/>
    <cellStyle name="Normal 2 2 2" xfId="8516" xr:uid="{00000000-0005-0000-0000-000083440000}"/>
    <cellStyle name="Normal 2 2 2 2" xfId="17932" xr:uid="{00000000-0005-0000-0000-000084440000}"/>
    <cellStyle name="Normal 2 2 2_est. MEAT" xfId="24657" xr:uid="{00000000-0005-0000-0000-000085440000}"/>
    <cellStyle name="Normal 2 2 3" xfId="8517" xr:uid="{00000000-0005-0000-0000-000086440000}"/>
    <cellStyle name="Normal 2 2 3 2" xfId="17933" xr:uid="{00000000-0005-0000-0000-000087440000}"/>
    <cellStyle name="Normal 2 2 3_est. MEAT" xfId="24658" xr:uid="{00000000-0005-0000-0000-000088440000}"/>
    <cellStyle name="Normal 2 2_2012-2019" xfId="12550" xr:uid="{00000000-0005-0000-0000-000089440000}"/>
    <cellStyle name="Normal 2 3" xfId="8518" xr:uid="{00000000-0005-0000-0000-00008A440000}"/>
    <cellStyle name="Normal 2 3 2" xfId="17934" xr:uid="{00000000-0005-0000-0000-00008B440000}"/>
    <cellStyle name="Normal 2 3_est. MEAT" xfId="24659" xr:uid="{00000000-0005-0000-0000-00008C440000}"/>
    <cellStyle name="Normal 2 4" xfId="8519" xr:uid="{00000000-0005-0000-0000-00008D440000}"/>
    <cellStyle name="Normal 2 4 2" xfId="17935" xr:uid="{00000000-0005-0000-0000-00008E440000}"/>
    <cellStyle name="Normal 2 4_est. MEAT" xfId="24660" xr:uid="{00000000-0005-0000-0000-00008F440000}"/>
    <cellStyle name="Normal 2 5" xfId="8520" xr:uid="{00000000-0005-0000-0000-000090440000}"/>
    <cellStyle name="Normal 2 5 2" xfId="17936" xr:uid="{00000000-0005-0000-0000-000091440000}"/>
    <cellStyle name="Normal 2 5_est. MEAT" xfId="24661" xr:uid="{00000000-0005-0000-0000-000092440000}"/>
    <cellStyle name="Normal 2_AE_FC_QuoteMaster" xfId="8521" xr:uid="{00000000-0005-0000-0000-000093440000}"/>
    <cellStyle name="Normal 20" xfId="8522" xr:uid="{00000000-0005-0000-0000-000094440000}"/>
    <cellStyle name="Normal 20 2" xfId="8523" xr:uid="{00000000-0005-0000-0000-000095440000}"/>
    <cellStyle name="Normal 20 2 2" xfId="8524" xr:uid="{00000000-0005-0000-0000-000096440000}"/>
    <cellStyle name="Normal 20 2 2 2" xfId="17939" xr:uid="{00000000-0005-0000-0000-000097440000}"/>
    <cellStyle name="Normal 20 2 2_est. MEAT" xfId="24662" xr:uid="{00000000-0005-0000-0000-000098440000}"/>
    <cellStyle name="Normal 20 2 3" xfId="17938" xr:uid="{00000000-0005-0000-0000-000099440000}"/>
    <cellStyle name="Normal 20 2_2012-2019" xfId="12552" xr:uid="{00000000-0005-0000-0000-00009A440000}"/>
    <cellStyle name="Normal 20 3" xfId="8525" xr:uid="{00000000-0005-0000-0000-00009B440000}"/>
    <cellStyle name="Normal 20 3 2" xfId="17940" xr:uid="{00000000-0005-0000-0000-00009C440000}"/>
    <cellStyle name="Normal 20 3_est. MEAT" xfId="24663" xr:uid="{00000000-0005-0000-0000-00009D440000}"/>
    <cellStyle name="Normal 20 4" xfId="17937" xr:uid="{00000000-0005-0000-0000-00009E440000}"/>
    <cellStyle name="Normal 20_2012-2019" xfId="12551" xr:uid="{00000000-0005-0000-0000-00009F440000}"/>
    <cellStyle name="Normal 21" xfId="8526" xr:uid="{00000000-0005-0000-0000-0000A0440000}"/>
    <cellStyle name="Normal 21 2" xfId="8527" xr:uid="{00000000-0005-0000-0000-0000A1440000}"/>
    <cellStyle name="Normal 21 2 2" xfId="8528" xr:uid="{00000000-0005-0000-0000-0000A2440000}"/>
    <cellStyle name="Normal 21 2 2 2" xfId="17943" xr:uid="{00000000-0005-0000-0000-0000A3440000}"/>
    <cellStyle name="Normal 21 2 2_est. MEAT" xfId="24664" xr:uid="{00000000-0005-0000-0000-0000A4440000}"/>
    <cellStyle name="Normal 21 2 3" xfId="17942" xr:uid="{00000000-0005-0000-0000-0000A5440000}"/>
    <cellStyle name="Normal 21 2_2012-2019" xfId="12554" xr:uid="{00000000-0005-0000-0000-0000A6440000}"/>
    <cellStyle name="Normal 21 3" xfId="8529" xr:uid="{00000000-0005-0000-0000-0000A7440000}"/>
    <cellStyle name="Normal 21 3 2" xfId="17944" xr:uid="{00000000-0005-0000-0000-0000A8440000}"/>
    <cellStyle name="Normal 21 3_est. MEAT" xfId="24665" xr:uid="{00000000-0005-0000-0000-0000A9440000}"/>
    <cellStyle name="Normal 21 4" xfId="17941" xr:uid="{00000000-0005-0000-0000-0000AA440000}"/>
    <cellStyle name="Normal 21_2012-2019" xfId="12553" xr:uid="{00000000-0005-0000-0000-0000AB440000}"/>
    <cellStyle name="Normal 22" xfId="8530" xr:uid="{00000000-0005-0000-0000-0000AC440000}"/>
    <cellStyle name="Normal 22 2" xfId="8531" xr:uid="{00000000-0005-0000-0000-0000AD440000}"/>
    <cellStyle name="Normal 22 2 2" xfId="8532" xr:uid="{00000000-0005-0000-0000-0000AE440000}"/>
    <cellStyle name="Normal 22 2 2 2" xfId="17947" xr:uid="{00000000-0005-0000-0000-0000AF440000}"/>
    <cellStyle name="Normal 22 2 2_est. MEAT" xfId="24666" xr:uid="{00000000-0005-0000-0000-0000B0440000}"/>
    <cellStyle name="Normal 22 2 3" xfId="17946" xr:uid="{00000000-0005-0000-0000-0000B1440000}"/>
    <cellStyle name="Normal 22 2_2012-2019" xfId="12556" xr:uid="{00000000-0005-0000-0000-0000B2440000}"/>
    <cellStyle name="Normal 22 3" xfId="8533" xr:uid="{00000000-0005-0000-0000-0000B3440000}"/>
    <cellStyle name="Normal 22 3 2" xfId="17948" xr:uid="{00000000-0005-0000-0000-0000B4440000}"/>
    <cellStyle name="Normal 22 3_est. MEAT" xfId="24667" xr:uid="{00000000-0005-0000-0000-0000B5440000}"/>
    <cellStyle name="Normal 22 4" xfId="17945" xr:uid="{00000000-0005-0000-0000-0000B6440000}"/>
    <cellStyle name="Normal 22_2012-2019" xfId="12555" xr:uid="{00000000-0005-0000-0000-0000B7440000}"/>
    <cellStyle name="Normal 23" xfId="8534" xr:uid="{00000000-0005-0000-0000-0000B8440000}"/>
    <cellStyle name="Normal 23 2" xfId="8535" xr:uid="{00000000-0005-0000-0000-0000B9440000}"/>
    <cellStyle name="Normal 23 2 2" xfId="8536" xr:uid="{00000000-0005-0000-0000-0000BA440000}"/>
    <cellStyle name="Normal 23 2 2 2" xfId="17951" xr:uid="{00000000-0005-0000-0000-0000BB440000}"/>
    <cellStyle name="Normal 23 2 2_est. MEAT" xfId="24668" xr:uid="{00000000-0005-0000-0000-0000BC440000}"/>
    <cellStyle name="Normal 23 2 3" xfId="17950" xr:uid="{00000000-0005-0000-0000-0000BD440000}"/>
    <cellStyle name="Normal 23 2_2012-2019" xfId="12558" xr:uid="{00000000-0005-0000-0000-0000BE440000}"/>
    <cellStyle name="Normal 23 3" xfId="8537" xr:uid="{00000000-0005-0000-0000-0000BF440000}"/>
    <cellStyle name="Normal 23 3 2" xfId="17952" xr:uid="{00000000-0005-0000-0000-0000C0440000}"/>
    <cellStyle name="Normal 23 3_est. MEAT" xfId="24669" xr:uid="{00000000-0005-0000-0000-0000C1440000}"/>
    <cellStyle name="Normal 23 4" xfId="17949" xr:uid="{00000000-0005-0000-0000-0000C2440000}"/>
    <cellStyle name="Normal 23_2012-2019" xfId="12557" xr:uid="{00000000-0005-0000-0000-0000C3440000}"/>
    <cellStyle name="Normal 24" xfId="8538" xr:uid="{00000000-0005-0000-0000-0000C4440000}"/>
    <cellStyle name="Normal 24 2" xfId="8539" xr:uid="{00000000-0005-0000-0000-0000C5440000}"/>
    <cellStyle name="Normal 24 2 2" xfId="17954" xr:uid="{00000000-0005-0000-0000-0000C6440000}"/>
    <cellStyle name="Normal 24 2_est. MEAT" xfId="24670" xr:uid="{00000000-0005-0000-0000-0000C7440000}"/>
    <cellStyle name="Normal 24 3" xfId="17953" xr:uid="{00000000-0005-0000-0000-0000C8440000}"/>
    <cellStyle name="Normal 24_2012-2019" xfId="12559" xr:uid="{00000000-0005-0000-0000-0000C9440000}"/>
    <cellStyle name="Normal 25" xfId="8540" xr:uid="{00000000-0005-0000-0000-0000CA440000}"/>
    <cellStyle name="Normal 25 2" xfId="8541" xr:uid="{00000000-0005-0000-0000-0000CB440000}"/>
    <cellStyle name="Normal 25 2 2" xfId="8542" xr:uid="{00000000-0005-0000-0000-0000CC440000}"/>
    <cellStyle name="Normal 25 2 2 2" xfId="17957" xr:uid="{00000000-0005-0000-0000-0000CD440000}"/>
    <cellStyle name="Normal 25 2 2_est. MEAT" xfId="24671" xr:uid="{00000000-0005-0000-0000-0000CE440000}"/>
    <cellStyle name="Normal 25 2 3" xfId="17956" xr:uid="{00000000-0005-0000-0000-0000CF440000}"/>
    <cellStyle name="Normal 25 2_2012-2019" xfId="12561" xr:uid="{00000000-0005-0000-0000-0000D0440000}"/>
    <cellStyle name="Normal 25 3" xfId="8543" xr:uid="{00000000-0005-0000-0000-0000D1440000}"/>
    <cellStyle name="Normal 25 3 2" xfId="17958" xr:uid="{00000000-0005-0000-0000-0000D2440000}"/>
    <cellStyle name="Normal 25 3_est. MEAT" xfId="24672" xr:uid="{00000000-0005-0000-0000-0000D3440000}"/>
    <cellStyle name="Normal 25 4" xfId="17955" xr:uid="{00000000-0005-0000-0000-0000D4440000}"/>
    <cellStyle name="Normal 25_2012-2019" xfId="12560" xr:uid="{00000000-0005-0000-0000-0000D5440000}"/>
    <cellStyle name="Normal 26" xfId="8544" xr:uid="{00000000-0005-0000-0000-0000D6440000}"/>
    <cellStyle name="Normal 26 2" xfId="8545" xr:uid="{00000000-0005-0000-0000-0000D7440000}"/>
    <cellStyle name="Normal 26 2 2" xfId="8546" xr:uid="{00000000-0005-0000-0000-0000D8440000}"/>
    <cellStyle name="Normal 26 2 2 2" xfId="17961" xr:uid="{00000000-0005-0000-0000-0000D9440000}"/>
    <cellStyle name="Normal 26 2 2_est. MEAT" xfId="24673" xr:uid="{00000000-0005-0000-0000-0000DA440000}"/>
    <cellStyle name="Normal 26 2 3" xfId="17960" xr:uid="{00000000-0005-0000-0000-0000DB440000}"/>
    <cellStyle name="Normal 26 2_2012-2019" xfId="12563" xr:uid="{00000000-0005-0000-0000-0000DC440000}"/>
    <cellStyle name="Normal 26 3" xfId="8547" xr:uid="{00000000-0005-0000-0000-0000DD440000}"/>
    <cellStyle name="Normal 26 3 2" xfId="17962" xr:uid="{00000000-0005-0000-0000-0000DE440000}"/>
    <cellStyle name="Normal 26 3_est. MEAT" xfId="24674" xr:uid="{00000000-0005-0000-0000-0000DF440000}"/>
    <cellStyle name="Normal 26 4" xfId="17959" xr:uid="{00000000-0005-0000-0000-0000E0440000}"/>
    <cellStyle name="Normal 26_2012-2019" xfId="12562" xr:uid="{00000000-0005-0000-0000-0000E1440000}"/>
    <cellStyle name="Normal 27" xfId="8548" xr:uid="{00000000-0005-0000-0000-0000E2440000}"/>
    <cellStyle name="Normal 27 2" xfId="8549" xr:uid="{00000000-0005-0000-0000-0000E3440000}"/>
    <cellStyle name="Normal 27 2 2" xfId="8550" xr:uid="{00000000-0005-0000-0000-0000E4440000}"/>
    <cellStyle name="Normal 27 2 2 2" xfId="17965" xr:uid="{00000000-0005-0000-0000-0000E5440000}"/>
    <cellStyle name="Normal 27 2 2_est. MEAT" xfId="24675" xr:uid="{00000000-0005-0000-0000-0000E6440000}"/>
    <cellStyle name="Normal 27 2 3" xfId="17964" xr:uid="{00000000-0005-0000-0000-0000E7440000}"/>
    <cellStyle name="Normal 27 2_2012-2019" xfId="12565" xr:uid="{00000000-0005-0000-0000-0000E8440000}"/>
    <cellStyle name="Normal 27 3" xfId="8551" xr:uid="{00000000-0005-0000-0000-0000E9440000}"/>
    <cellStyle name="Normal 27 3 2" xfId="17966" xr:uid="{00000000-0005-0000-0000-0000EA440000}"/>
    <cellStyle name="Normal 27 3_est. MEAT" xfId="24676" xr:uid="{00000000-0005-0000-0000-0000EB440000}"/>
    <cellStyle name="Normal 27 4" xfId="17963" xr:uid="{00000000-0005-0000-0000-0000EC440000}"/>
    <cellStyle name="Normal 27_2012-2019" xfId="12564" xr:uid="{00000000-0005-0000-0000-0000ED440000}"/>
    <cellStyle name="Normal 28" xfId="8552" xr:uid="{00000000-0005-0000-0000-0000EE440000}"/>
    <cellStyle name="Normal 28 2" xfId="8553" xr:uid="{00000000-0005-0000-0000-0000EF440000}"/>
    <cellStyle name="Normal 28 2 2" xfId="8554" xr:uid="{00000000-0005-0000-0000-0000F0440000}"/>
    <cellStyle name="Normal 28 2 2 2" xfId="17969" xr:uid="{00000000-0005-0000-0000-0000F1440000}"/>
    <cellStyle name="Normal 28 2 2_est. MEAT" xfId="24677" xr:uid="{00000000-0005-0000-0000-0000F2440000}"/>
    <cellStyle name="Normal 28 2 3" xfId="17968" xr:uid="{00000000-0005-0000-0000-0000F3440000}"/>
    <cellStyle name="Normal 28 2_2012-2019" xfId="12567" xr:uid="{00000000-0005-0000-0000-0000F4440000}"/>
    <cellStyle name="Normal 28 3" xfId="8555" xr:uid="{00000000-0005-0000-0000-0000F5440000}"/>
    <cellStyle name="Normal 28 3 2" xfId="17970" xr:uid="{00000000-0005-0000-0000-0000F6440000}"/>
    <cellStyle name="Normal 28 3_est. MEAT" xfId="24678" xr:uid="{00000000-0005-0000-0000-0000F7440000}"/>
    <cellStyle name="Normal 28 4" xfId="17967" xr:uid="{00000000-0005-0000-0000-0000F8440000}"/>
    <cellStyle name="Normal 28_2012-2019" xfId="12566" xr:uid="{00000000-0005-0000-0000-0000F9440000}"/>
    <cellStyle name="Normal 29" xfId="8556" xr:uid="{00000000-0005-0000-0000-0000FA440000}"/>
    <cellStyle name="Normal 29 2" xfId="8557" xr:uid="{00000000-0005-0000-0000-0000FB440000}"/>
    <cellStyle name="Normal 29 2 2" xfId="8558" xr:uid="{00000000-0005-0000-0000-0000FC440000}"/>
    <cellStyle name="Normal 29 2 2 2" xfId="17973" xr:uid="{00000000-0005-0000-0000-0000FD440000}"/>
    <cellStyle name="Normal 29 2 2_est. MEAT" xfId="24679" xr:uid="{00000000-0005-0000-0000-0000FE440000}"/>
    <cellStyle name="Normal 29 2 3" xfId="17972" xr:uid="{00000000-0005-0000-0000-0000FF440000}"/>
    <cellStyle name="Normal 29 2_2012-2019" xfId="12569" xr:uid="{00000000-0005-0000-0000-000000450000}"/>
    <cellStyle name="Normal 29 3" xfId="8559" xr:uid="{00000000-0005-0000-0000-000001450000}"/>
    <cellStyle name="Normal 29 3 2" xfId="17974" xr:uid="{00000000-0005-0000-0000-000002450000}"/>
    <cellStyle name="Normal 29 3_est. MEAT" xfId="24680" xr:uid="{00000000-0005-0000-0000-000003450000}"/>
    <cellStyle name="Normal 29 4" xfId="17971" xr:uid="{00000000-0005-0000-0000-000004450000}"/>
    <cellStyle name="Normal 29_2012-2019" xfId="12568" xr:uid="{00000000-0005-0000-0000-000005450000}"/>
    <cellStyle name="Normal 3" xfId="6" xr:uid="{00000000-0005-0000-0000-000006450000}"/>
    <cellStyle name="Normal 3 2" xfId="8560" xr:uid="{00000000-0005-0000-0000-000007450000}"/>
    <cellStyle name="Normal 3 2 2" xfId="8561" xr:uid="{00000000-0005-0000-0000-000008450000}"/>
    <cellStyle name="Normal 3 2 2 2" xfId="8562" xr:uid="{00000000-0005-0000-0000-000009450000}"/>
    <cellStyle name="Normal 3 2 2 2 2" xfId="17977" xr:uid="{00000000-0005-0000-0000-00000A450000}"/>
    <cellStyle name="Normal 3 2 2 2_est. MEAT" xfId="24681" xr:uid="{00000000-0005-0000-0000-00000B450000}"/>
    <cellStyle name="Normal 3 2 2 3" xfId="17976" xr:uid="{00000000-0005-0000-0000-00000C450000}"/>
    <cellStyle name="Normal 3 2 2_2012-2019" xfId="12572" xr:uid="{00000000-0005-0000-0000-00000D450000}"/>
    <cellStyle name="Normal 3 2 3" xfId="8563" xr:uid="{00000000-0005-0000-0000-00000E450000}"/>
    <cellStyle name="Normal 3 2 3 2" xfId="17978" xr:uid="{00000000-0005-0000-0000-00000F450000}"/>
    <cellStyle name="Normal 3 2 3_est. MEAT" xfId="24682" xr:uid="{00000000-0005-0000-0000-000010450000}"/>
    <cellStyle name="Normal 3 2 4" xfId="17975" xr:uid="{00000000-0005-0000-0000-000011450000}"/>
    <cellStyle name="Normal 3 2_2012-2019" xfId="12571" xr:uid="{00000000-0005-0000-0000-000012450000}"/>
    <cellStyle name="Normal 3 3" xfId="8564" xr:uid="{00000000-0005-0000-0000-000013450000}"/>
    <cellStyle name="Normal 3 3 2" xfId="8565" xr:uid="{00000000-0005-0000-0000-000014450000}"/>
    <cellStyle name="Normal 3 3 2 2" xfId="17980" xr:uid="{00000000-0005-0000-0000-000015450000}"/>
    <cellStyle name="Normal 3 3 2_est. MEAT" xfId="24683" xr:uid="{00000000-0005-0000-0000-000016450000}"/>
    <cellStyle name="Normal 3 3 3" xfId="17979" xr:uid="{00000000-0005-0000-0000-000017450000}"/>
    <cellStyle name="Normal 3 3_2012-2019" xfId="12573" xr:uid="{00000000-0005-0000-0000-000018450000}"/>
    <cellStyle name="Normal 3 4" xfId="8566" xr:uid="{00000000-0005-0000-0000-000019450000}"/>
    <cellStyle name="Normal 3 4 2" xfId="17981" xr:uid="{00000000-0005-0000-0000-00001A450000}"/>
    <cellStyle name="Normal 3 4_est. MEAT" xfId="24684" xr:uid="{00000000-0005-0000-0000-00001B450000}"/>
    <cellStyle name="Normal 3 5" xfId="8567" xr:uid="{00000000-0005-0000-0000-00001C450000}"/>
    <cellStyle name="Normal 3 5 2" xfId="17982" xr:uid="{00000000-0005-0000-0000-00001D450000}"/>
    <cellStyle name="Normal 3 5_est. MEAT" xfId="24685" xr:uid="{00000000-0005-0000-0000-00001E450000}"/>
    <cellStyle name="Normal 3 6" xfId="8568" xr:uid="{00000000-0005-0000-0000-00001F450000}"/>
    <cellStyle name="Normal 3 6 2" xfId="17983" xr:uid="{00000000-0005-0000-0000-000020450000}"/>
    <cellStyle name="Normal 3 6_est. MEAT" xfId="24686" xr:uid="{00000000-0005-0000-0000-000021450000}"/>
    <cellStyle name="Normal 3 7" xfId="13446" xr:uid="{00000000-0005-0000-0000-000022450000}"/>
    <cellStyle name="Normal 3 8" xfId="26877" xr:uid="{00000000-0005-0000-0000-000023450000}"/>
    <cellStyle name="Normal 3_2012-2019" xfId="12570" xr:uid="{00000000-0005-0000-0000-000024450000}"/>
    <cellStyle name="Normal 30" xfId="8569" xr:uid="{00000000-0005-0000-0000-000025450000}"/>
    <cellStyle name="Normal 30 2" xfId="8570" xr:uid="{00000000-0005-0000-0000-000026450000}"/>
    <cellStyle name="Normal 30 2 2" xfId="8571" xr:uid="{00000000-0005-0000-0000-000027450000}"/>
    <cellStyle name="Normal 30 2 2 2" xfId="17986" xr:uid="{00000000-0005-0000-0000-000028450000}"/>
    <cellStyle name="Normal 30 2 2_est. MEAT" xfId="24687" xr:uid="{00000000-0005-0000-0000-000029450000}"/>
    <cellStyle name="Normal 30 2 3" xfId="17985" xr:uid="{00000000-0005-0000-0000-00002A450000}"/>
    <cellStyle name="Normal 30 2_2012-2019" xfId="12575" xr:uid="{00000000-0005-0000-0000-00002B450000}"/>
    <cellStyle name="Normal 30 3" xfId="8572" xr:uid="{00000000-0005-0000-0000-00002C450000}"/>
    <cellStyle name="Normal 30 3 2" xfId="17987" xr:uid="{00000000-0005-0000-0000-00002D450000}"/>
    <cellStyle name="Normal 30 3_est. MEAT" xfId="24688" xr:uid="{00000000-0005-0000-0000-00002E450000}"/>
    <cellStyle name="Normal 30 4" xfId="17984" xr:uid="{00000000-0005-0000-0000-00002F450000}"/>
    <cellStyle name="Normal 30_2012-2019" xfId="12574" xr:uid="{00000000-0005-0000-0000-000030450000}"/>
    <cellStyle name="Normal 31" xfId="8573" xr:uid="{00000000-0005-0000-0000-000031450000}"/>
    <cellStyle name="Normal 31 2" xfId="8574" xr:uid="{00000000-0005-0000-0000-000032450000}"/>
    <cellStyle name="Normal 31 2 2" xfId="17989" xr:uid="{00000000-0005-0000-0000-000033450000}"/>
    <cellStyle name="Normal 31 2_est. MEAT" xfId="24689" xr:uid="{00000000-0005-0000-0000-000034450000}"/>
    <cellStyle name="Normal 31 3" xfId="17988" xr:uid="{00000000-0005-0000-0000-000035450000}"/>
    <cellStyle name="Normal 31_2012-2019" xfId="12576" xr:uid="{00000000-0005-0000-0000-000036450000}"/>
    <cellStyle name="Normal 32" xfId="8575" xr:uid="{00000000-0005-0000-0000-000037450000}"/>
    <cellStyle name="Normal 32 2" xfId="8576" xr:uid="{00000000-0005-0000-0000-000038450000}"/>
    <cellStyle name="Normal 32 2 2" xfId="8577" xr:uid="{00000000-0005-0000-0000-000039450000}"/>
    <cellStyle name="Normal 32 2 2 2" xfId="17992" xr:uid="{00000000-0005-0000-0000-00003A450000}"/>
    <cellStyle name="Normal 32 2 2_est. MEAT" xfId="24690" xr:uid="{00000000-0005-0000-0000-00003B450000}"/>
    <cellStyle name="Normal 32 2 3" xfId="17991" xr:uid="{00000000-0005-0000-0000-00003C450000}"/>
    <cellStyle name="Normal 32 2_2012-2019" xfId="12578" xr:uid="{00000000-0005-0000-0000-00003D450000}"/>
    <cellStyle name="Normal 32 3" xfId="8578" xr:uid="{00000000-0005-0000-0000-00003E450000}"/>
    <cellStyle name="Normal 32 3 2" xfId="17993" xr:uid="{00000000-0005-0000-0000-00003F450000}"/>
    <cellStyle name="Normal 32 3_est. MEAT" xfId="24691" xr:uid="{00000000-0005-0000-0000-000040450000}"/>
    <cellStyle name="Normal 32 4" xfId="17990" xr:uid="{00000000-0005-0000-0000-000041450000}"/>
    <cellStyle name="Normal 32_2012-2019" xfId="12577" xr:uid="{00000000-0005-0000-0000-000042450000}"/>
    <cellStyle name="Normal 33" xfId="8579" xr:uid="{00000000-0005-0000-0000-000043450000}"/>
    <cellStyle name="Normal 33 2" xfId="8580" xr:uid="{00000000-0005-0000-0000-000044450000}"/>
    <cellStyle name="Normal 33 2 2" xfId="8581" xr:uid="{00000000-0005-0000-0000-000045450000}"/>
    <cellStyle name="Normal 33 2 2 2" xfId="17996" xr:uid="{00000000-0005-0000-0000-000046450000}"/>
    <cellStyle name="Normal 33 2 2_est. MEAT" xfId="24692" xr:uid="{00000000-0005-0000-0000-000047450000}"/>
    <cellStyle name="Normal 33 2 3" xfId="17995" xr:uid="{00000000-0005-0000-0000-000048450000}"/>
    <cellStyle name="Normal 33 2_2012-2019" xfId="12580" xr:uid="{00000000-0005-0000-0000-000049450000}"/>
    <cellStyle name="Normal 33 3" xfId="8582" xr:uid="{00000000-0005-0000-0000-00004A450000}"/>
    <cellStyle name="Normal 33 3 2" xfId="17997" xr:uid="{00000000-0005-0000-0000-00004B450000}"/>
    <cellStyle name="Normal 33 3_est. MEAT" xfId="24693" xr:uid="{00000000-0005-0000-0000-00004C450000}"/>
    <cellStyle name="Normal 33 4" xfId="17994" xr:uid="{00000000-0005-0000-0000-00004D450000}"/>
    <cellStyle name="Normal 33_2012-2019" xfId="12579" xr:uid="{00000000-0005-0000-0000-00004E450000}"/>
    <cellStyle name="Normal 34" xfId="8583" xr:uid="{00000000-0005-0000-0000-00004F450000}"/>
    <cellStyle name="Normal 34 2" xfId="8584" xr:uid="{00000000-0005-0000-0000-000050450000}"/>
    <cellStyle name="Normal 34 2 2" xfId="8585" xr:uid="{00000000-0005-0000-0000-000051450000}"/>
    <cellStyle name="Normal 34 2 2 2" xfId="18000" xr:uid="{00000000-0005-0000-0000-000052450000}"/>
    <cellStyle name="Normal 34 2 2_est. MEAT" xfId="24694" xr:uid="{00000000-0005-0000-0000-000053450000}"/>
    <cellStyle name="Normal 34 2 3" xfId="17999" xr:uid="{00000000-0005-0000-0000-000054450000}"/>
    <cellStyle name="Normal 34 2_2012-2019" xfId="12582" xr:uid="{00000000-0005-0000-0000-000055450000}"/>
    <cellStyle name="Normal 34 3" xfId="8586" xr:uid="{00000000-0005-0000-0000-000056450000}"/>
    <cellStyle name="Normal 34 3 2" xfId="18001" xr:uid="{00000000-0005-0000-0000-000057450000}"/>
    <cellStyle name="Normal 34 3_est. MEAT" xfId="24695" xr:uid="{00000000-0005-0000-0000-000058450000}"/>
    <cellStyle name="Normal 34 4" xfId="17998" xr:uid="{00000000-0005-0000-0000-000059450000}"/>
    <cellStyle name="Normal 34_2012-2019" xfId="12581" xr:uid="{00000000-0005-0000-0000-00005A450000}"/>
    <cellStyle name="Normal 35" xfId="8587" xr:uid="{00000000-0005-0000-0000-00005B450000}"/>
    <cellStyle name="Normal 35 2" xfId="8588" xr:uid="{00000000-0005-0000-0000-00005C450000}"/>
    <cellStyle name="Normal 35 2 2" xfId="8589" xr:uid="{00000000-0005-0000-0000-00005D450000}"/>
    <cellStyle name="Normal 35 2 2 2" xfId="18004" xr:uid="{00000000-0005-0000-0000-00005E450000}"/>
    <cellStyle name="Normal 35 2 2_est. MEAT" xfId="24696" xr:uid="{00000000-0005-0000-0000-00005F450000}"/>
    <cellStyle name="Normal 35 2 3" xfId="18003" xr:uid="{00000000-0005-0000-0000-000060450000}"/>
    <cellStyle name="Normal 35 2_2012-2019" xfId="12584" xr:uid="{00000000-0005-0000-0000-000061450000}"/>
    <cellStyle name="Normal 35 3" xfId="8590" xr:uid="{00000000-0005-0000-0000-000062450000}"/>
    <cellStyle name="Normal 35 3 2" xfId="18005" xr:uid="{00000000-0005-0000-0000-000063450000}"/>
    <cellStyle name="Normal 35 3_est. MEAT" xfId="24697" xr:uid="{00000000-0005-0000-0000-000064450000}"/>
    <cellStyle name="Normal 35 4" xfId="18002" xr:uid="{00000000-0005-0000-0000-000065450000}"/>
    <cellStyle name="Normal 35_2012-2019" xfId="12583" xr:uid="{00000000-0005-0000-0000-000066450000}"/>
    <cellStyle name="Normal 36" xfId="8591" xr:uid="{00000000-0005-0000-0000-000067450000}"/>
    <cellStyle name="Normal 36 2" xfId="8592" xr:uid="{00000000-0005-0000-0000-000068450000}"/>
    <cellStyle name="Normal 36 2 2" xfId="8593" xr:uid="{00000000-0005-0000-0000-000069450000}"/>
    <cellStyle name="Normal 36 2 2 2" xfId="18008" xr:uid="{00000000-0005-0000-0000-00006A450000}"/>
    <cellStyle name="Normal 36 2 2_est. MEAT" xfId="24698" xr:uid="{00000000-0005-0000-0000-00006B450000}"/>
    <cellStyle name="Normal 36 2 3" xfId="18007" xr:uid="{00000000-0005-0000-0000-00006C450000}"/>
    <cellStyle name="Normal 36 2_2012-2019" xfId="12586" xr:uid="{00000000-0005-0000-0000-00006D450000}"/>
    <cellStyle name="Normal 36 3" xfId="8594" xr:uid="{00000000-0005-0000-0000-00006E450000}"/>
    <cellStyle name="Normal 36 3 2" xfId="18009" xr:uid="{00000000-0005-0000-0000-00006F450000}"/>
    <cellStyle name="Normal 36 3_est. MEAT" xfId="24699" xr:uid="{00000000-0005-0000-0000-000070450000}"/>
    <cellStyle name="Normal 36 4" xfId="18006" xr:uid="{00000000-0005-0000-0000-000071450000}"/>
    <cellStyle name="Normal 36_2012-2019" xfId="12585" xr:uid="{00000000-0005-0000-0000-000072450000}"/>
    <cellStyle name="Normal 37" xfId="8595" xr:uid="{00000000-0005-0000-0000-000073450000}"/>
    <cellStyle name="Normal 37 2" xfId="8596" xr:uid="{00000000-0005-0000-0000-000074450000}"/>
    <cellStyle name="Normal 37 2 2" xfId="8597" xr:uid="{00000000-0005-0000-0000-000075450000}"/>
    <cellStyle name="Normal 37 2 2 2" xfId="18012" xr:uid="{00000000-0005-0000-0000-000076450000}"/>
    <cellStyle name="Normal 37 2 2_est. MEAT" xfId="24700" xr:uid="{00000000-0005-0000-0000-000077450000}"/>
    <cellStyle name="Normal 37 2 3" xfId="18011" xr:uid="{00000000-0005-0000-0000-000078450000}"/>
    <cellStyle name="Normal 37 2_2012-2019" xfId="12588" xr:uid="{00000000-0005-0000-0000-000079450000}"/>
    <cellStyle name="Normal 37 3" xfId="8598" xr:uid="{00000000-0005-0000-0000-00007A450000}"/>
    <cellStyle name="Normal 37 3 2" xfId="18013" xr:uid="{00000000-0005-0000-0000-00007B450000}"/>
    <cellStyle name="Normal 37 3_est. MEAT" xfId="24701" xr:uid="{00000000-0005-0000-0000-00007C450000}"/>
    <cellStyle name="Normal 37 4" xfId="18010" xr:uid="{00000000-0005-0000-0000-00007D450000}"/>
    <cellStyle name="Normal 37_2012-2019" xfId="12587" xr:uid="{00000000-0005-0000-0000-00007E450000}"/>
    <cellStyle name="Normal 38" xfId="8599" xr:uid="{00000000-0005-0000-0000-00007F450000}"/>
    <cellStyle name="Normal 38 2" xfId="8600" xr:uid="{00000000-0005-0000-0000-000080450000}"/>
    <cellStyle name="Normal 38 2 2" xfId="8601" xr:uid="{00000000-0005-0000-0000-000081450000}"/>
    <cellStyle name="Normal 38 2 2 2" xfId="18016" xr:uid="{00000000-0005-0000-0000-000082450000}"/>
    <cellStyle name="Normal 38 2 2_est. MEAT" xfId="24702" xr:uid="{00000000-0005-0000-0000-000083450000}"/>
    <cellStyle name="Normal 38 2 3" xfId="18015" xr:uid="{00000000-0005-0000-0000-000084450000}"/>
    <cellStyle name="Normal 38 2_2012-2019" xfId="12590" xr:uid="{00000000-0005-0000-0000-000085450000}"/>
    <cellStyle name="Normal 38 3" xfId="8602" xr:uid="{00000000-0005-0000-0000-000086450000}"/>
    <cellStyle name="Normal 38 3 2" xfId="18017" xr:uid="{00000000-0005-0000-0000-000087450000}"/>
    <cellStyle name="Normal 38 3_est. MEAT" xfId="24703" xr:uid="{00000000-0005-0000-0000-000088450000}"/>
    <cellStyle name="Normal 38 4" xfId="18014" xr:uid="{00000000-0005-0000-0000-000089450000}"/>
    <cellStyle name="Normal 38_2012-2019" xfId="12589" xr:uid="{00000000-0005-0000-0000-00008A450000}"/>
    <cellStyle name="Normal 39" xfId="8603" xr:uid="{00000000-0005-0000-0000-00008B450000}"/>
    <cellStyle name="Normal 39 2" xfId="8604" xr:uid="{00000000-0005-0000-0000-00008C450000}"/>
    <cellStyle name="Normal 39 2 2" xfId="8605" xr:uid="{00000000-0005-0000-0000-00008D450000}"/>
    <cellStyle name="Normal 39 2 2 2" xfId="18020" xr:uid="{00000000-0005-0000-0000-00008E450000}"/>
    <cellStyle name="Normal 39 2 2_est. MEAT" xfId="24704" xr:uid="{00000000-0005-0000-0000-00008F450000}"/>
    <cellStyle name="Normal 39 2 3" xfId="18019" xr:uid="{00000000-0005-0000-0000-000090450000}"/>
    <cellStyle name="Normal 39 2_2012-2019" xfId="12592" xr:uid="{00000000-0005-0000-0000-000091450000}"/>
    <cellStyle name="Normal 39 3" xfId="8606" xr:uid="{00000000-0005-0000-0000-000092450000}"/>
    <cellStyle name="Normal 39 3 2" xfId="18021" xr:uid="{00000000-0005-0000-0000-000093450000}"/>
    <cellStyle name="Normal 39 3_est. MEAT" xfId="24705" xr:uid="{00000000-0005-0000-0000-000094450000}"/>
    <cellStyle name="Normal 39 4" xfId="18018" xr:uid="{00000000-0005-0000-0000-000095450000}"/>
    <cellStyle name="Normal 39_2012-2019" xfId="12591" xr:uid="{00000000-0005-0000-0000-000096450000}"/>
    <cellStyle name="Normal 4" xfId="8607" xr:uid="{00000000-0005-0000-0000-000097450000}"/>
    <cellStyle name="Normal 4 2" xfId="8608" xr:uid="{00000000-0005-0000-0000-000098450000}"/>
    <cellStyle name="Normal 4 2 2" xfId="8609" xr:uid="{00000000-0005-0000-0000-000099450000}"/>
    <cellStyle name="Normal 4 2 2 2" xfId="8610" xr:uid="{00000000-0005-0000-0000-00009A450000}"/>
    <cellStyle name="Normal 4 2 2 2 2" xfId="18025" xr:uid="{00000000-0005-0000-0000-00009B450000}"/>
    <cellStyle name="Normal 4 2 2 2_est. MEAT" xfId="24706" xr:uid="{00000000-0005-0000-0000-00009C450000}"/>
    <cellStyle name="Normal 4 2 2 3" xfId="18024" xr:uid="{00000000-0005-0000-0000-00009D450000}"/>
    <cellStyle name="Normal 4 2 2_2012-2019" xfId="12595" xr:uid="{00000000-0005-0000-0000-00009E450000}"/>
    <cellStyle name="Normal 4 2 3" xfId="8611" xr:uid="{00000000-0005-0000-0000-00009F450000}"/>
    <cellStyle name="Normal 4 2 3 2" xfId="18026" xr:uid="{00000000-0005-0000-0000-0000A0450000}"/>
    <cellStyle name="Normal 4 2 3_est. MEAT" xfId="24707" xr:uid="{00000000-0005-0000-0000-0000A1450000}"/>
    <cellStyle name="Normal 4 2 4" xfId="18023" xr:uid="{00000000-0005-0000-0000-0000A2450000}"/>
    <cellStyle name="Normal 4 2_2012-2019" xfId="12594" xr:uid="{00000000-0005-0000-0000-0000A3450000}"/>
    <cellStyle name="Normal 4 3" xfId="8612" xr:uid="{00000000-0005-0000-0000-0000A4450000}"/>
    <cellStyle name="Normal 4 3 2" xfId="8613" xr:uid="{00000000-0005-0000-0000-0000A5450000}"/>
    <cellStyle name="Normal 4 3 2 2" xfId="18028" xr:uid="{00000000-0005-0000-0000-0000A6450000}"/>
    <cellStyle name="Normal 4 3 2_est. MEAT" xfId="24708" xr:uid="{00000000-0005-0000-0000-0000A7450000}"/>
    <cellStyle name="Normal 4 3 3" xfId="18027" xr:uid="{00000000-0005-0000-0000-0000A8450000}"/>
    <cellStyle name="Normal 4 3_2012-2019" xfId="12596" xr:uid="{00000000-0005-0000-0000-0000A9450000}"/>
    <cellStyle name="Normal 4 4" xfId="8614" xr:uid="{00000000-0005-0000-0000-0000AA450000}"/>
    <cellStyle name="Normal 4 4 2" xfId="18029" xr:uid="{00000000-0005-0000-0000-0000AB450000}"/>
    <cellStyle name="Normal 4 4_est. MEAT" xfId="24709" xr:uid="{00000000-0005-0000-0000-0000AC450000}"/>
    <cellStyle name="Normal 4 5" xfId="18022" xr:uid="{00000000-0005-0000-0000-0000AD450000}"/>
    <cellStyle name="Normal 4_2012-2019" xfId="12593" xr:uid="{00000000-0005-0000-0000-0000AE450000}"/>
    <cellStyle name="Normal 40" xfId="8615" xr:uid="{00000000-0005-0000-0000-0000AF450000}"/>
    <cellStyle name="Normal 40 2" xfId="8616" xr:uid="{00000000-0005-0000-0000-0000B0450000}"/>
    <cellStyle name="Normal 40 2 2" xfId="8617" xr:uid="{00000000-0005-0000-0000-0000B1450000}"/>
    <cellStyle name="Normal 40 2 2 2" xfId="18032" xr:uid="{00000000-0005-0000-0000-0000B2450000}"/>
    <cellStyle name="Normal 40 2 2_est. MEAT" xfId="24710" xr:uid="{00000000-0005-0000-0000-0000B3450000}"/>
    <cellStyle name="Normal 40 2 3" xfId="18031" xr:uid="{00000000-0005-0000-0000-0000B4450000}"/>
    <cellStyle name="Normal 40 2_2012-2019" xfId="12598" xr:uid="{00000000-0005-0000-0000-0000B5450000}"/>
    <cellStyle name="Normal 40 3" xfId="8618" xr:uid="{00000000-0005-0000-0000-0000B6450000}"/>
    <cellStyle name="Normal 40 3 2" xfId="18033" xr:uid="{00000000-0005-0000-0000-0000B7450000}"/>
    <cellStyle name="Normal 40 3_est. MEAT" xfId="24711" xr:uid="{00000000-0005-0000-0000-0000B8450000}"/>
    <cellStyle name="Normal 40 4" xfId="18030" xr:uid="{00000000-0005-0000-0000-0000B9450000}"/>
    <cellStyle name="Normal 40_2012-2019" xfId="12597" xr:uid="{00000000-0005-0000-0000-0000BA450000}"/>
    <cellStyle name="Normal 41" xfId="8619" xr:uid="{00000000-0005-0000-0000-0000BB450000}"/>
    <cellStyle name="Normal 41 2" xfId="8620" xr:uid="{00000000-0005-0000-0000-0000BC450000}"/>
    <cellStyle name="Normal 41 2 2" xfId="8621" xr:uid="{00000000-0005-0000-0000-0000BD450000}"/>
    <cellStyle name="Normal 41 2 2 2" xfId="18036" xr:uid="{00000000-0005-0000-0000-0000BE450000}"/>
    <cellStyle name="Normal 41 2 2_est. MEAT" xfId="24712" xr:uid="{00000000-0005-0000-0000-0000BF450000}"/>
    <cellStyle name="Normal 41 2 3" xfId="18035" xr:uid="{00000000-0005-0000-0000-0000C0450000}"/>
    <cellStyle name="Normal 41 2_2012-2019" xfId="12600" xr:uid="{00000000-0005-0000-0000-0000C1450000}"/>
    <cellStyle name="Normal 41 3" xfId="8622" xr:uid="{00000000-0005-0000-0000-0000C2450000}"/>
    <cellStyle name="Normal 41 3 2" xfId="18037" xr:uid="{00000000-0005-0000-0000-0000C3450000}"/>
    <cellStyle name="Normal 41 3_est. MEAT" xfId="24713" xr:uid="{00000000-0005-0000-0000-0000C4450000}"/>
    <cellStyle name="Normal 41 4" xfId="18034" xr:uid="{00000000-0005-0000-0000-0000C5450000}"/>
    <cellStyle name="Normal 41_2012-2019" xfId="12599" xr:uid="{00000000-0005-0000-0000-0000C6450000}"/>
    <cellStyle name="Normal 42" xfId="8623" xr:uid="{00000000-0005-0000-0000-0000C7450000}"/>
    <cellStyle name="Normal 42 2" xfId="8624" xr:uid="{00000000-0005-0000-0000-0000C8450000}"/>
    <cellStyle name="Normal 42 2 2" xfId="8625" xr:uid="{00000000-0005-0000-0000-0000C9450000}"/>
    <cellStyle name="Normal 42 2 2 2" xfId="18040" xr:uid="{00000000-0005-0000-0000-0000CA450000}"/>
    <cellStyle name="Normal 42 2 2_est. MEAT" xfId="24714" xr:uid="{00000000-0005-0000-0000-0000CB450000}"/>
    <cellStyle name="Normal 42 2 3" xfId="18039" xr:uid="{00000000-0005-0000-0000-0000CC450000}"/>
    <cellStyle name="Normal 42 2_2012-2019" xfId="12602" xr:uid="{00000000-0005-0000-0000-0000CD450000}"/>
    <cellStyle name="Normal 42 3" xfId="8626" xr:uid="{00000000-0005-0000-0000-0000CE450000}"/>
    <cellStyle name="Normal 42 3 2" xfId="18041" xr:uid="{00000000-0005-0000-0000-0000CF450000}"/>
    <cellStyle name="Normal 42 3_est. MEAT" xfId="24715" xr:uid="{00000000-0005-0000-0000-0000D0450000}"/>
    <cellStyle name="Normal 42 4" xfId="18038" xr:uid="{00000000-0005-0000-0000-0000D1450000}"/>
    <cellStyle name="Normal 42_2012-2019" xfId="12601" xr:uid="{00000000-0005-0000-0000-0000D2450000}"/>
    <cellStyle name="Normal 43" xfId="8627" xr:uid="{00000000-0005-0000-0000-0000D3450000}"/>
    <cellStyle name="Normal 43 2" xfId="8628" xr:uid="{00000000-0005-0000-0000-0000D4450000}"/>
    <cellStyle name="Normal 43 2 2" xfId="8629" xr:uid="{00000000-0005-0000-0000-0000D5450000}"/>
    <cellStyle name="Normal 43 2 2 2" xfId="18044" xr:uid="{00000000-0005-0000-0000-0000D6450000}"/>
    <cellStyle name="Normal 43 2 2_est. MEAT" xfId="24716" xr:uid="{00000000-0005-0000-0000-0000D7450000}"/>
    <cellStyle name="Normal 43 2 3" xfId="18043" xr:uid="{00000000-0005-0000-0000-0000D8450000}"/>
    <cellStyle name="Normal 43 2_2012-2019" xfId="12604" xr:uid="{00000000-0005-0000-0000-0000D9450000}"/>
    <cellStyle name="Normal 43 3" xfId="8630" xr:uid="{00000000-0005-0000-0000-0000DA450000}"/>
    <cellStyle name="Normal 43 3 2" xfId="18045" xr:uid="{00000000-0005-0000-0000-0000DB450000}"/>
    <cellStyle name="Normal 43 3_est. MEAT" xfId="24717" xr:uid="{00000000-0005-0000-0000-0000DC450000}"/>
    <cellStyle name="Normal 43 4" xfId="18042" xr:uid="{00000000-0005-0000-0000-0000DD450000}"/>
    <cellStyle name="Normal 43_2012-2019" xfId="12603" xr:uid="{00000000-0005-0000-0000-0000DE450000}"/>
    <cellStyle name="Normal 44" xfId="8631" xr:uid="{00000000-0005-0000-0000-0000DF450000}"/>
    <cellStyle name="Normal 44 2" xfId="8632" xr:uid="{00000000-0005-0000-0000-0000E0450000}"/>
    <cellStyle name="Normal 44 2 2" xfId="8633" xr:uid="{00000000-0005-0000-0000-0000E1450000}"/>
    <cellStyle name="Normal 44 2 2 2" xfId="18048" xr:uid="{00000000-0005-0000-0000-0000E2450000}"/>
    <cellStyle name="Normal 44 2 2_est. MEAT" xfId="24718" xr:uid="{00000000-0005-0000-0000-0000E3450000}"/>
    <cellStyle name="Normal 44 2 3" xfId="18047" xr:uid="{00000000-0005-0000-0000-0000E4450000}"/>
    <cellStyle name="Normal 44 2_2012-2019" xfId="12606" xr:uid="{00000000-0005-0000-0000-0000E5450000}"/>
    <cellStyle name="Normal 44 3" xfId="8634" xr:uid="{00000000-0005-0000-0000-0000E6450000}"/>
    <cellStyle name="Normal 44 3 2" xfId="18049" xr:uid="{00000000-0005-0000-0000-0000E7450000}"/>
    <cellStyle name="Normal 44 3_est. MEAT" xfId="24719" xr:uid="{00000000-0005-0000-0000-0000E8450000}"/>
    <cellStyle name="Normal 44 4" xfId="18046" xr:uid="{00000000-0005-0000-0000-0000E9450000}"/>
    <cellStyle name="Normal 44_2012-2019" xfId="12605" xr:uid="{00000000-0005-0000-0000-0000EA450000}"/>
    <cellStyle name="Normal 45" xfId="8635" xr:uid="{00000000-0005-0000-0000-0000EB450000}"/>
    <cellStyle name="Normal 45 2" xfId="8636" xr:uid="{00000000-0005-0000-0000-0000EC450000}"/>
    <cellStyle name="Normal 45 2 2" xfId="8637" xr:uid="{00000000-0005-0000-0000-0000ED450000}"/>
    <cellStyle name="Normal 45 2 2 2" xfId="18052" xr:uid="{00000000-0005-0000-0000-0000EE450000}"/>
    <cellStyle name="Normal 45 2 2_est. MEAT" xfId="24720" xr:uid="{00000000-0005-0000-0000-0000EF450000}"/>
    <cellStyle name="Normal 45 2 3" xfId="18051" xr:uid="{00000000-0005-0000-0000-0000F0450000}"/>
    <cellStyle name="Normal 45 2_2012-2019" xfId="12608" xr:uid="{00000000-0005-0000-0000-0000F1450000}"/>
    <cellStyle name="Normal 45 3" xfId="8638" xr:uid="{00000000-0005-0000-0000-0000F2450000}"/>
    <cellStyle name="Normal 45 3 2" xfId="18053" xr:uid="{00000000-0005-0000-0000-0000F3450000}"/>
    <cellStyle name="Normal 45 3_est. MEAT" xfId="24721" xr:uid="{00000000-0005-0000-0000-0000F4450000}"/>
    <cellStyle name="Normal 45 4" xfId="18050" xr:uid="{00000000-0005-0000-0000-0000F5450000}"/>
    <cellStyle name="Normal 45_2012-2019" xfId="12607" xr:uid="{00000000-0005-0000-0000-0000F6450000}"/>
    <cellStyle name="Normal 46" xfId="8639" xr:uid="{00000000-0005-0000-0000-0000F7450000}"/>
    <cellStyle name="Normal 46 2" xfId="8640" xr:uid="{00000000-0005-0000-0000-0000F8450000}"/>
    <cellStyle name="Normal 46 2 2" xfId="8641" xr:uid="{00000000-0005-0000-0000-0000F9450000}"/>
    <cellStyle name="Normal 46 2 2 2" xfId="18056" xr:uid="{00000000-0005-0000-0000-0000FA450000}"/>
    <cellStyle name="Normal 46 2 2_est. MEAT" xfId="24722" xr:uid="{00000000-0005-0000-0000-0000FB450000}"/>
    <cellStyle name="Normal 46 2 3" xfId="18055" xr:uid="{00000000-0005-0000-0000-0000FC450000}"/>
    <cellStyle name="Normal 46 2_2012-2019" xfId="12610" xr:uid="{00000000-0005-0000-0000-0000FD450000}"/>
    <cellStyle name="Normal 46 3" xfId="8642" xr:uid="{00000000-0005-0000-0000-0000FE450000}"/>
    <cellStyle name="Normal 46 3 2" xfId="18057" xr:uid="{00000000-0005-0000-0000-0000FF450000}"/>
    <cellStyle name="Normal 46 3_est. MEAT" xfId="24723" xr:uid="{00000000-0005-0000-0000-000000460000}"/>
    <cellStyle name="Normal 46 4" xfId="18054" xr:uid="{00000000-0005-0000-0000-000001460000}"/>
    <cellStyle name="Normal 46_2012-2019" xfId="12609" xr:uid="{00000000-0005-0000-0000-000002460000}"/>
    <cellStyle name="Normal 47" xfId="8643" xr:uid="{00000000-0005-0000-0000-000003460000}"/>
    <cellStyle name="Normal 47 2" xfId="8644" xr:uid="{00000000-0005-0000-0000-000004460000}"/>
    <cellStyle name="Normal 47 2 2" xfId="8645" xr:uid="{00000000-0005-0000-0000-000005460000}"/>
    <cellStyle name="Normal 47 2 2 2" xfId="18060" xr:uid="{00000000-0005-0000-0000-000006460000}"/>
    <cellStyle name="Normal 47 2 2_est. MEAT" xfId="24724" xr:uid="{00000000-0005-0000-0000-000007460000}"/>
    <cellStyle name="Normal 47 2 3" xfId="18059" xr:uid="{00000000-0005-0000-0000-000008460000}"/>
    <cellStyle name="Normal 47 2_2012-2019" xfId="12612" xr:uid="{00000000-0005-0000-0000-000009460000}"/>
    <cellStyle name="Normal 47 3" xfId="8646" xr:uid="{00000000-0005-0000-0000-00000A460000}"/>
    <cellStyle name="Normal 47 3 2" xfId="18061" xr:uid="{00000000-0005-0000-0000-00000B460000}"/>
    <cellStyle name="Normal 47 3_est. MEAT" xfId="24725" xr:uid="{00000000-0005-0000-0000-00000C460000}"/>
    <cellStyle name="Normal 47 4" xfId="18058" xr:uid="{00000000-0005-0000-0000-00000D460000}"/>
    <cellStyle name="Normal 47_2012-2019" xfId="12611" xr:uid="{00000000-0005-0000-0000-00000E460000}"/>
    <cellStyle name="Normal 48" xfId="8647" xr:uid="{00000000-0005-0000-0000-00000F460000}"/>
    <cellStyle name="Normal 48 2" xfId="8648" xr:uid="{00000000-0005-0000-0000-000010460000}"/>
    <cellStyle name="Normal 48 2 2" xfId="8649" xr:uid="{00000000-0005-0000-0000-000011460000}"/>
    <cellStyle name="Normal 48 2 2 2" xfId="18064" xr:uid="{00000000-0005-0000-0000-000012460000}"/>
    <cellStyle name="Normal 48 2 2_est. MEAT" xfId="24726" xr:uid="{00000000-0005-0000-0000-000013460000}"/>
    <cellStyle name="Normal 48 2 3" xfId="18063" xr:uid="{00000000-0005-0000-0000-000014460000}"/>
    <cellStyle name="Normal 48 2_2012-2019" xfId="12614" xr:uid="{00000000-0005-0000-0000-000015460000}"/>
    <cellStyle name="Normal 48 3" xfId="8650" xr:uid="{00000000-0005-0000-0000-000016460000}"/>
    <cellStyle name="Normal 48 3 2" xfId="18065" xr:uid="{00000000-0005-0000-0000-000017460000}"/>
    <cellStyle name="Normal 48 3_est. MEAT" xfId="24727" xr:uid="{00000000-0005-0000-0000-000018460000}"/>
    <cellStyle name="Normal 48 4" xfId="18062" xr:uid="{00000000-0005-0000-0000-000019460000}"/>
    <cellStyle name="Normal 48_2012-2019" xfId="12613" xr:uid="{00000000-0005-0000-0000-00001A460000}"/>
    <cellStyle name="Normal 49" xfId="8651" xr:uid="{00000000-0005-0000-0000-00001B460000}"/>
    <cellStyle name="Normal 49 2" xfId="8652" xr:uid="{00000000-0005-0000-0000-00001C460000}"/>
    <cellStyle name="Normal 49 2 2" xfId="18067" xr:uid="{00000000-0005-0000-0000-00001D460000}"/>
    <cellStyle name="Normal 49 2_est. MEAT" xfId="24728" xr:uid="{00000000-0005-0000-0000-00001E460000}"/>
    <cellStyle name="Normal 49 3" xfId="18066" xr:uid="{00000000-0005-0000-0000-00001F460000}"/>
    <cellStyle name="Normal 49_2012-2019" xfId="12615" xr:uid="{00000000-0005-0000-0000-000020460000}"/>
    <cellStyle name="Normal 5" xfId="8653" xr:uid="{00000000-0005-0000-0000-000021460000}"/>
    <cellStyle name="Normal 5 2" xfId="8654" xr:uid="{00000000-0005-0000-0000-000022460000}"/>
    <cellStyle name="Normal 5 2 2" xfId="8655" xr:uid="{00000000-0005-0000-0000-000023460000}"/>
    <cellStyle name="Normal 5 2 2 2" xfId="8656" xr:uid="{00000000-0005-0000-0000-000024460000}"/>
    <cellStyle name="Normal 5 2 2 2 2" xfId="18071" xr:uid="{00000000-0005-0000-0000-000025460000}"/>
    <cellStyle name="Normal 5 2 2 2_est. MEAT" xfId="24729" xr:uid="{00000000-0005-0000-0000-000026460000}"/>
    <cellStyle name="Normal 5 2 2 3" xfId="18070" xr:uid="{00000000-0005-0000-0000-000027460000}"/>
    <cellStyle name="Normal 5 2 2_2012-2019" xfId="12618" xr:uid="{00000000-0005-0000-0000-000028460000}"/>
    <cellStyle name="Normal 5 2 3" xfId="8657" xr:uid="{00000000-0005-0000-0000-000029460000}"/>
    <cellStyle name="Normal 5 2 3 2" xfId="18072" xr:uid="{00000000-0005-0000-0000-00002A460000}"/>
    <cellStyle name="Normal 5 2 3_est. MEAT" xfId="24730" xr:uid="{00000000-0005-0000-0000-00002B460000}"/>
    <cellStyle name="Normal 5 2 4" xfId="18069" xr:uid="{00000000-0005-0000-0000-00002C460000}"/>
    <cellStyle name="Normal 5 2_2012-2019" xfId="12617" xr:uid="{00000000-0005-0000-0000-00002D460000}"/>
    <cellStyle name="Normal 5 3" xfId="8658" xr:uid="{00000000-0005-0000-0000-00002E460000}"/>
    <cellStyle name="Normal 5 3 2" xfId="8659" xr:uid="{00000000-0005-0000-0000-00002F460000}"/>
    <cellStyle name="Normal 5 3 2 2" xfId="18074" xr:uid="{00000000-0005-0000-0000-000030460000}"/>
    <cellStyle name="Normal 5 3 2_est. MEAT" xfId="24731" xr:uid="{00000000-0005-0000-0000-000031460000}"/>
    <cellStyle name="Normal 5 3 3" xfId="18073" xr:uid="{00000000-0005-0000-0000-000032460000}"/>
    <cellStyle name="Normal 5 3_2012-2019" xfId="12619" xr:uid="{00000000-0005-0000-0000-000033460000}"/>
    <cellStyle name="Normal 5 4" xfId="8660" xr:uid="{00000000-0005-0000-0000-000034460000}"/>
    <cellStyle name="Normal 5 4 2" xfId="18075" xr:uid="{00000000-0005-0000-0000-000035460000}"/>
    <cellStyle name="Normal 5 4_est. MEAT" xfId="24732" xr:uid="{00000000-0005-0000-0000-000036460000}"/>
    <cellStyle name="Normal 5 5" xfId="18068" xr:uid="{00000000-0005-0000-0000-000037460000}"/>
    <cellStyle name="Normal 5_2012-2019" xfId="12616" xr:uid="{00000000-0005-0000-0000-000038460000}"/>
    <cellStyle name="Normal 50" xfId="8661" xr:uid="{00000000-0005-0000-0000-000039460000}"/>
    <cellStyle name="Normal 50 2" xfId="8662" xr:uid="{00000000-0005-0000-0000-00003A460000}"/>
    <cellStyle name="Normal 50 2 2" xfId="8663" xr:uid="{00000000-0005-0000-0000-00003B460000}"/>
    <cellStyle name="Normal 50 2 2 2" xfId="18078" xr:uid="{00000000-0005-0000-0000-00003C460000}"/>
    <cellStyle name="Normal 50 2 2_est. MEAT" xfId="24733" xr:uid="{00000000-0005-0000-0000-00003D460000}"/>
    <cellStyle name="Normal 50 2 3" xfId="18077" xr:uid="{00000000-0005-0000-0000-00003E460000}"/>
    <cellStyle name="Normal 50 2_2012-2019" xfId="12621" xr:uid="{00000000-0005-0000-0000-00003F460000}"/>
    <cellStyle name="Normal 50 3" xfId="8664" xr:uid="{00000000-0005-0000-0000-000040460000}"/>
    <cellStyle name="Normal 50 3 2" xfId="18079" xr:uid="{00000000-0005-0000-0000-000041460000}"/>
    <cellStyle name="Normal 50 3_est. MEAT" xfId="24734" xr:uid="{00000000-0005-0000-0000-000042460000}"/>
    <cellStyle name="Normal 50 4" xfId="18076" xr:uid="{00000000-0005-0000-0000-000043460000}"/>
    <cellStyle name="Normal 50_2012-2019" xfId="12620" xr:uid="{00000000-0005-0000-0000-000044460000}"/>
    <cellStyle name="Normal 51" xfId="8665" xr:uid="{00000000-0005-0000-0000-000045460000}"/>
    <cellStyle name="Normal 51 2" xfId="8666" xr:uid="{00000000-0005-0000-0000-000046460000}"/>
    <cellStyle name="Normal 51 2 2" xfId="18081" xr:uid="{00000000-0005-0000-0000-000047460000}"/>
    <cellStyle name="Normal 51 2_est. MEAT" xfId="24735" xr:uid="{00000000-0005-0000-0000-000048460000}"/>
    <cellStyle name="Normal 51 3" xfId="18080" xr:uid="{00000000-0005-0000-0000-000049460000}"/>
    <cellStyle name="Normal 51_2012-2019" xfId="12622" xr:uid="{00000000-0005-0000-0000-00004A460000}"/>
    <cellStyle name="Normal 52" xfId="8667" xr:uid="{00000000-0005-0000-0000-00004B460000}"/>
    <cellStyle name="Normal 52 2" xfId="8668" xr:uid="{00000000-0005-0000-0000-00004C460000}"/>
    <cellStyle name="Normal 52 2 2" xfId="18083" xr:uid="{00000000-0005-0000-0000-00004D460000}"/>
    <cellStyle name="Normal 52 2_est. MEAT" xfId="24736" xr:uid="{00000000-0005-0000-0000-00004E460000}"/>
    <cellStyle name="Normal 52 3" xfId="18082" xr:uid="{00000000-0005-0000-0000-00004F460000}"/>
    <cellStyle name="Normal 52_2012-2019" xfId="12623" xr:uid="{00000000-0005-0000-0000-000050460000}"/>
    <cellStyle name="Normal 53" xfId="8669" xr:uid="{00000000-0005-0000-0000-000051460000}"/>
    <cellStyle name="Normal 53 2" xfId="8670" xr:uid="{00000000-0005-0000-0000-000052460000}"/>
    <cellStyle name="Normal 53 2 2" xfId="18085" xr:uid="{00000000-0005-0000-0000-000053460000}"/>
    <cellStyle name="Normal 53 2_est. MEAT" xfId="24737" xr:uid="{00000000-0005-0000-0000-000054460000}"/>
    <cellStyle name="Normal 53 3" xfId="18084" xr:uid="{00000000-0005-0000-0000-000055460000}"/>
    <cellStyle name="Normal 53_2012-2019" xfId="12624" xr:uid="{00000000-0005-0000-0000-000056460000}"/>
    <cellStyle name="Normal 54" xfId="8671" xr:uid="{00000000-0005-0000-0000-000057460000}"/>
    <cellStyle name="Normal 54 2" xfId="8672" xr:uid="{00000000-0005-0000-0000-000058460000}"/>
    <cellStyle name="Normal 54 2 2" xfId="18087" xr:uid="{00000000-0005-0000-0000-000059460000}"/>
    <cellStyle name="Normal 54 2_est. MEAT" xfId="24738" xr:uid="{00000000-0005-0000-0000-00005A460000}"/>
    <cellStyle name="Normal 54 3" xfId="18086" xr:uid="{00000000-0005-0000-0000-00005B460000}"/>
    <cellStyle name="Normal 54_2012-2019" xfId="12625" xr:uid="{00000000-0005-0000-0000-00005C460000}"/>
    <cellStyle name="Normal 55" xfId="8673" xr:uid="{00000000-0005-0000-0000-00005D460000}"/>
    <cellStyle name="Normal 55 2" xfId="8674" xr:uid="{00000000-0005-0000-0000-00005E460000}"/>
    <cellStyle name="Normal 55 2 2" xfId="18089" xr:uid="{00000000-0005-0000-0000-00005F460000}"/>
    <cellStyle name="Normal 55 2_est. MEAT" xfId="24739" xr:uid="{00000000-0005-0000-0000-000060460000}"/>
    <cellStyle name="Normal 55 3" xfId="18088" xr:uid="{00000000-0005-0000-0000-000061460000}"/>
    <cellStyle name="Normal 55_2012-2019" xfId="12626" xr:uid="{00000000-0005-0000-0000-000062460000}"/>
    <cellStyle name="Normal 56" xfId="8675" xr:uid="{00000000-0005-0000-0000-000063460000}"/>
    <cellStyle name="Normal 56 2" xfId="8676" xr:uid="{00000000-0005-0000-0000-000064460000}"/>
    <cellStyle name="Normal 56 2 2" xfId="18091" xr:uid="{00000000-0005-0000-0000-000065460000}"/>
    <cellStyle name="Normal 56 2_est. MEAT" xfId="24740" xr:uid="{00000000-0005-0000-0000-000066460000}"/>
    <cellStyle name="Normal 56 3" xfId="18090" xr:uid="{00000000-0005-0000-0000-000067460000}"/>
    <cellStyle name="Normal 56_2012-2019" xfId="12627" xr:uid="{00000000-0005-0000-0000-000068460000}"/>
    <cellStyle name="Normal 57" xfId="8677" xr:uid="{00000000-0005-0000-0000-000069460000}"/>
    <cellStyle name="Normal 57 2" xfId="8678" xr:uid="{00000000-0005-0000-0000-00006A460000}"/>
    <cellStyle name="Normal 57 2 2" xfId="18093" xr:uid="{00000000-0005-0000-0000-00006B460000}"/>
    <cellStyle name="Normal 57 2_est. MEAT" xfId="24741" xr:uid="{00000000-0005-0000-0000-00006C460000}"/>
    <cellStyle name="Normal 57 3" xfId="18092" xr:uid="{00000000-0005-0000-0000-00006D460000}"/>
    <cellStyle name="Normal 57_2012-2019" xfId="12628" xr:uid="{00000000-0005-0000-0000-00006E460000}"/>
    <cellStyle name="Normal 58" xfId="8679" xr:uid="{00000000-0005-0000-0000-00006F460000}"/>
    <cellStyle name="Normal 58 2" xfId="8680" xr:uid="{00000000-0005-0000-0000-000070460000}"/>
    <cellStyle name="Normal 58 2 2" xfId="18095" xr:uid="{00000000-0005-0000-0000-000071460000}"/>
    <cellStyle name="Normal 58 2_est. MEAT" xfId="24742" xr:uid="{00000000-0005-0000-0000-000072460000}"/>
    <cellStyle name="Normal 58 3" xfId="18094" xr:uid="{00000000-0005-0000-0000-000073460000}"/>
    <cellStyle name="Normal 58_2012-2019" xfId="12629" xr:uid="{00000000-0005-0000-0000-000074460000}"/>
    <cellStyle name="Normal 59" xfId="8681" xr:uid="{00000000-0005-0000-0000-000075460000}"/>
    <cellStyle name="Normal 59 2" xfId="8682" xr:uid="{00000000-0005-0000-0000-000076460000}"/>
    <cellStyle name="Normal 59 2 2" xfId="8683" xr:uid="{00000000-0005-0000-0000-000077460000}"/>
    <cellStyle name="Normal 59 2 2 2" xfId="18098" xr:uid="{00000000-0005-0000-0000-000078460000}"/>
    <cellStyle name="Normal 59 2 2_est. MEAT" xfId="24743" xr:uid="{00000000-0005-0000-0000-000079460000}"/>
    <cellStyle name="Normal 59 2 3" xfId="18097" xr:uid="{00000000-0005-0000-0000-00007A460000}"/>
    <cellStyle name="Normal 59 2_2012-2019" xfId="12631" xr:uid="{00000000-0005-0000-0000-00007B460000}"/>
    <cellStyle name="Normal 59 3" xfId="8684" xr:uid="{00000000-0005-0000-0000-00007C460000}"/>
    <cellStyle name="Normal 59 3 2" xfId="18099" xr:uid="{00000000-0005-0000-0000-00007D460000}"/>
    <cellStyle name="Normal 59 3_est. MEAT" xfId="24744" xr:uid="{00000000-0005-0000-0000-00007E460000}"/>
    <cellStyle name="Normal 59 4" xfId="18096" xr:uid="{00000000-0005-0000-0000-00007F460000}"/>
    <cellStyle name="Normal 59_2012-2019" xfId="12630" xr:uid="{00000000-0005-0000-0000-000080460000}"/>
    <cellStyle name="Normal 6" xfId="8685" xr:uid="{00000000-0005-0000-0000-000081460000}"/>
    <cellStyle name="Normal 6 2" xfId="8686" xr:uid="{00000000-0005-0000-0000-000082460000}"/>
    <cellStyle name="Normal 6 2 2" xfId="8687" xr:uid="{00000000-0005-0000-0000-000083460000}"/>
    <cellStyle name="Normal 6 2 2 2" xfId="18102" xr:uid="{00000000-0005-0000-0000-000084460000}"/>
    <cellStyle name="Normal 6 2 2_est. MEAT" xfId="24745" xr:uid="{00000000-0005-0000-0000-000085460000}"/>
    <cellStyle name="Normal 6 2 3" xfId="18101" xr:uid="{00000000-0005-0000-0000-000086460000}"/>
    <cellStyle name="Normal 6 2_2012-2019" xfId="12633" xr:uid="{00000000-0005-0000-0000-000087460000}"/>
    <cellStyle name="Normal 6 3" xfId="8688" xr:uid="{00000000-0005-0000-0000-000088460000}"/>
    <cellStyle name="Normal 6 3 2" xfId="18103" xr:uid="{00000000-0005-0000-0000-000089460000}"/>
    <cellStyle name="Normal 6 3_est. MEAT" xfId="24746" xr:uid="{00000000-0005-0000-0000-00008A460000}"/>
    <cellStyle name="Normal 6 4" xfId="18100" xr:uid="{00000000-0005-0000-0000-00008B460000}"/>
    <cellStyle name="Normal 6_2012-2019" xfId="12632" xr:uid="{00000000-0005-0000-0000-00008C460000}"/>
    <cellStyle name="Normal 60" xfId="8689" xr:uid="{00000000-0005-0000-0000-00008D460000}"/>
    <cellStyle name="Normal 60 2" xfId="8690" xr:uid="{00000000-0005-0000-0000-00008E460000}"/>
    <cellStyle name="Normal 60 2 2" xfId="18105" xr:uid="{00000000-0005-0000-0000-00008F460000}"/>
    <cellStyle name="Normal 60 2_est. MEAT" xfId="24747" xr:uid="{00000000-0005-0000-0000-000090460000}"/>
    <cellStyle name="Normal 60 3" xfId="18104" xr:uid="{00000000-0005-0000-0000-000091460000}"/>
    <cellStyle name="Normal 60_2012-2019" xfId="12634" xr:uid="{00000000-0005-0000-0000-000092460000}"/>
    <cellStyle name="Normal 61" xfId="8691" xr:uid="{00000000-0005-0000-0000-000093460000}"/>
    <cellStyle name="Normal 61 2" xfId="8692" xr:uid="{00000000-0005-0000-0000-000094460000}"/>
    <cellStyle name="Normal 61 2 2" xfId="8693" xr:uid="{00000000-0005-0000-0000-000095460000}"/>
    <cellStyle name="Normal 61 2 2 2" xfId="18108" xr:uid="{00000000-0005-0000-0000-000096460000}"/>
    <cellStyle name="Normal 61 2 2_est. MEAT" xfId="24748" xr:uid="{00000000-0005-0000-0000-000097460000}"/>
    <cellStyle name="Normal 61 2 3" xfId="18107" xr:uid="{00000000-0005-0000-0000-000098460000}"/>
    <cellStyle name="Normal 61 2_2012-2019" xfId="12636" xr:uid="{00000000-0005-0000-0000-000099460000}"/>
    <cellStyle name="Normal 61 3" xfId="8694" xr:uid="{00000000-0005-0000-0000-00009A460000}"/>
    <cellStyle name="Normal 61 3 2" xfId="18109" xr:uid="{00000000-0005-0000-0000-00009B460000}"/>
    <cellStyle name="Normal 61 3_est. MEAT" xfId="24749" xr:uid="{00000000-0005-0000-0000-00009C460000}"/>
    <cellStyle name="Normal 61 4" xfId="18106" xr:uid="{00000000-0005-0000-0000-00009D460000}"/>
    <cellStyle name="Normal 61_2012-2019" xfId="12635" xr:uid="{00000000-0005-0000-0000-00009E460000}"/>
    <cellStyle name="Normal 62" xfId="8695" xr:uid="{00000000-0005-0000-0000-00009F460000}"/>
    <cellStyle name="Normal 62 2" xfId="8696" xr:uid="{00000000-0005-0000-0000-0000A0460000}"/>
    <cellStyle name="Normal 62 2 2" xfId="18111" xr:uid="{00000000-0005-0000-0000-0000A1460000}"/>
    <cellStyle name="Normal 62 2_est. MEAT" xfId="24750" xr:uid="{00000000-0005-0000-0000-0000A2460000}"/>
    <cellStyle name="Normal 62 3" xfId="18110" xr:uid="{00000000-0005-0000-0000-0000A3460000}"/>
    <cellStyle name="Normal 62_2012-2019" xfId="12637" xr:uid="{00000000-0005-0000-0000-0000A4460000}"/>
    <cellStyle name="Normal 63" xfId="8697" xr:uid="{00000000-0005-0000-0000-0000A5460000}"/>
    <cellStyle name="Normal 63 2" xfId="8698" xr:uid="{00000000-0005-0000-0000-0000A6460000}"/>
    <cellStyle name="Normal 63 2 2" xfId="8699" xr:uid="{00000000-0005-0000-0000-0000A7460000}"/>
    <cellStyle name="Normal 63 2 2 2" xfId="18114" xr:uid="{00000000-0005-0000-0000-0000A8460000}"/>
    <cellStyle name="Normal 63 2 2_est. MEAT" xfId="24751" xr:uid="{00000000-0005-0000-0000-0000A9460000}"/>
    <cellStyle name="Normal 63 2 3" xfId="18113" xr:uid="{00000000-0005-0000-0000-0000AA460000}"/>
    <cellStyle name="Normal 63 2_2012-2019" xfId="12639" xr:uid="{00000000-0005-0000-0000-0000AB460000}"/>
    <cellStyle name="Normal 63 3" xfId="8700" xr:uid="{00000000-0005-0000-0000-0000AC460000}"/>
    <cellStyle name="Normal 63 3 2" xfId="18115" xr:uid="{00000000-0005-0000-0000-0000AD460000}"/>
    <cellStyle name="Normal 63 3_est. MEAT" xfId="24752" xr:uid="{00000000-0005-0000-0000-0000AE460000}"/>
    <cellStyle name="Normal 63 4" xfId="18112" xr:uid="{00000000-0005-0000-0000-0000AF460000}"/>
    <cellStyle name="Normal 63_2012-2019" xfId="12638" xr:uid="{00000000-0005-0000-0000-0000B0460000}"/>
    <cellStyle name="Normal 64" xfId="8701" xr:uid="{00000000-0005-0000-0000-0000B1460000}"/>
    <cellStyle name="Normal 64 2" xfId="8702" xr:uid="{00000000-0005-0000-0000-0000B2460000}"/>
    <cellStyle name="Normal 64 2 2" xfId="18117" xr:uid="{00000000-0005-0000-0000-0000B3460000}"/>
    <cellStyle name="Normal 64 2_est. MEAT" xfId="24753" xr:uid="{00000000-0005-0000-0000-0000B4460000}"/>
    <cellStyle name="Normal 64 3" xfId="18116" xr:uid="{00000000-0005-0000-0000-0000B5460000}"/>
    <cellStyle name="Normal 64_2012-2019" xfId="12640" xr:uid="{00000000-0005-0000-0000-0000B6460000}"/>
    <cellStyle name="Normal 65" xfId="8703" xr:uid="{00000000-0005-0000-0000-0000B7460000}"/>
    <cellStyle name="Normal 65 2" xfId="8704" xr:uid="{00000000-0005-0000-0000-0000B8460000}"/>
    <cellStyle name="Normal 65 2 2" xfId="18119" xr:uid="{00000000-0005-0000-0000-0000B9460000}"/>
    <cellStyle name="Normal 65 2_est. MEAT" xfId="24754" xr:uid="{00000000-0005-0000-0000-0000BA460000}"/>
    <cellStyle name="Normal 65 3" xfId="18118" xr:uid="{00000000-0005-0000-0000-0000BB460000}"/>
    <cellStyle name="Normal 65_2012-2019" xfId="12641" xr:uid="{00000000-0005-0000-0000-0000BC460000}"/>
    <cellStyle name="Normal 66" xfId="8705" xr:uid="{00000000-0005-0000-0000-0000BD460000}"/>
    <cellStyle name="Normal 66 2" xfId="8706" xr:uid="{00000000-0005-0000-0000-0000BE460000}"/>
    <cellStyle name="Normal 66 2 2" xfId="18121" xr:uid="{00000000-0005-0000-0000-0000BF460000}"/>
    <cellStyle name="Normal 66 2_est. MEAT" xfId="24755" xr:uid="{00000000-0005-0000-0000-0000C0460000}"/>
    <cellStyle name="Normal 66 3" xfId="18120" xr:uid="{00000000-0005-0000-0000-0000C1460000}"/>
    <cellStyle name="Normal 66_2012-2019" xfId="12642" xr:uid="{00000000-0005-0000-0000-0000C2460000}"/>
    <cellStyle name="Normal 67" xfId="8707" xr:uid="{00000000-0005-0000-0000-0000C3460000}"/>
    <cellStyle name="Normal 67 2" xfId="8708" xr:uid="{00000000-0005-0000-0000-0000C4460000}"/>
    <cellStyle name="Normal 67 2 2" xfId="18123" xr:uid="{00000000-0005-0000-0000-0000C5460000}"/>
    <cellStyle name="Normal 67 2_est. MEAT" xfId="24756" xr:uid="{00000000-0005-0000-0000-0000C6460000}"/>
    <cellStyle name="Normal 67 3" xfId="18122" xr:uid="{00000000-0005-0000-0000-0000C7460000}"/>
    <cellStyle name="Normal 67_2012-2019" xfId="12643" xr:uid="{00000000-0005-0000-0000-0000C8460000}"/>
    <cellStyle name="Normal 68" xfId="8709" xr:uid="{00000000-0005-0000-0000-0000C9460000}"/>
    <cellStyle name="Normal 68 2" xfId="8710" xr:uid="{00000000-0005-0000-0000-0000CA460000}"/>
    <cellStyle name="Normal 68 2 2" xfId="18125" xr:uid="{00000000-0005-0000-0000-0000CB460000}"/>
    <cellStyle name="Normal 68 2_est. MEAT" xfId="24757" xr:uid="{00000000-0005-0000-0000-0000CC460000}"/>
    <cellStyle name="Normal 68 3" xfId="18124" xr:uid="{00000000-0005-0000-0000-0000CD460000}"/>
    <cellStyle name="Normal 68_2012-2019" xfId="12644" xr:uid="{00000000-0005-0000-0000-0000CE460000}"/>
    <cellStyle name="Normal 69" xfId="8711" xr:uid="{00000000-0005-0000-0000-0000CF460000}"/>
    <cellStyle name="Normal 69 2" xfId="8712" xr:uid="{00000000-0005-0000-0000-0000D0460000}"/>
    <cellStyle name="Normal 69 2 2" xfId="18127" xr:uid="{00000000-0005-0000-0000-0000D1460000}"/>
    <cellStyle name="Normal 69 2_est. MEAT" xfId="24758" xr:uid="{00000000-0005-0000-0000-0000D2460000}"/>
    <cellStyle name="Normal 69 3" xfId="18126" xr:uid="{00000000-0005-0000-0000-0000D3460000}"/>
    <cellStyle name="Normal 69_2012-2019" xfId="12645" xr:uid="{00000000-0005-0000-0000-0000D4460000}"/>
    <cellStyle name="Normal 7" xfId="8713" xr:uid="{00000000-0005-0000-0000-0000D5460000}"/>
    <cellStyle name="Normal 7 2" xfId="8714" xr:uid="{00000000-0005-0000-0000-0000D6460000}"/>
    <cellStyle name="Normal 7 2 2" xfId="8715" xr:uid="{00000000-0005-0000-0000-0000D7460000}"/>
    <cellStyle name="Normal 7 2 2 2" xfId="18130" xr:uid="{00000000-0005-0000-0000-0000D8460000}"/>
    <cellStyle name="Normal 7 2 2_est. MEAT" xfId="24759" xr:uid="{00000000-0005-0000-0000-0000D9460000}"/>
    <cellStyle name="Normal 7 2 3" xfId="18129" xr:uid="{00000000-0005-0000-0000-0000DA460000}"/>
    <cellStyle name="Normal 7 2_2012-2019" xfId="12647" xr:uid="{00000000-0005-0000-0000-0000DB460000}"/>
    <cellStyle name="Normal 7 3" xfId="8716" xr:uid="{00000000-0005-0000-0000-0000DC460000}"/>
    <cellStyle name="Normal 7 3 2" xfId="18131" xr:uid="{00000000-0005-0000-0000-0000DD460000}"/>
    <cellStyle name="Normal 7 3_est. MEAT" xfId="24760" xr:uid="{00000000-0005-0000-0000-0000DE460000}"/>
    <cellStyle name="Normal 7 4" xfId="18128" xr:uid="{00000000-0005-0000-0000-0000DF460000}"/>
    <cellStyle name="Normal 7_2012-2019" xfId="12646" xr:uid="{00000000-0005-0000-0000-0000E0460000}"/>
    <cellStyle name="Normal 70" xfId="8717" xr:uid="{00000000-0005-0000-0000-0000E1460000}"/>
    <cellStyle name="Normal 70 2" xfId="8718" xr:uid="{00000000-0005-0000-0000-0000E2460000}"/>
    <cellStyle name="Normal 70 2 2" xfId="18133" xr:uid="{00000000-0005-0000-0000-0000E3460000}"/>
    <cellStyle name="Normal 70 2_est. MEAT" xfId="24761" xr:uid="{00000000-0005-0000-0000-0000E4460000}"/>
    <cellStyle name="Normal 70 3" xfId="18132" xr:uid="{00000000-0005-0000-0000-0000E5460000}"/>
    <cellStyle name="Normal 70_2012-2019" xfId="12648" xr:uid="{00000000-0005-0000-0000-0000E6460000}"/>
    <cellStyle name="Normal 71" xfId="8719" xr:uid="{00000000-0005-0000-0000-0000E7460000}"/>
    <cellStyle name="Normal 71 2" xfId="8720" xr:uid="{00000000-0005-0000-0000-0000E8460000}"/>
    <cellStyle name="Normal 71 2 2" xfId="18135" xr:uid="{00000000-0005-0000-0000-0000E9460000}"/>
    <cellStyle name="Normal 71 2_est. MEAT" xfId="24762" xr:uid="{00000000-0005-0000-0000-0000EA460000}"/>
    <cellStyle name="Normal 71 3" xfId="18134" xr:uid="{00000000-0005-0000-0000-0000EB460000}"/>
    <cellStyle name="Normal 71_2012-2019" xfId="12649" xr:uid="{00000000-0005-0000-0000-0000EC460000}"/>
    <cellStyle name="Normal 72" xfId="8721" xr:uid="{00000000-0005-0000-0000-0000ED460000}"/>
    <cellStyle name="Normal 72 2" xfId="8722" xr:uid="{00000000-0005-0000-0000-0000EE460000}"/>
    <cellStyle name="Normal 72 2 2" xfId="18137" xr:uid="{00000000-0005-0000-0000-0000EF460000}"/>
    <cellStyle name="Normal 72 2_est. MEAT" xfId="24763" xr:uid="{00000000-0005-0000-0000-0000F0460000}"/>
    <cellStyle name="Normal 72 3" xfId="18136" xr:uid="{00000000-0005-0000-0000-0000F1460000}"/>
    <cellStyle name="Normal 72_2012-2019" xfId="12650" xr:uid="{00000000-0005-0000-0000-0000F2460000}"/>
    <cellStyle name="Normal 73" xfId="8723" xr:uid="{00000000-0005-0000-0000-0000F3460000}"/>
    <cellStyle name="Normal 73 2" xfId="8724" xr:uid="{00000000-0005-0000-0000-0000F4460000}"/>
    <cellStyle name="Normal 73 2 2" xfId="18139" xr:uid="{00000000-0005-0000-0000-0000F5460000}"/>
    <cellStyle name="Normal 73 2_est. MEAT" xfId="24764" xr:uid="{00000000-0005-0000-0000-0000F6460000}"/>
    <cellStyle name="Normal 73 3" xfId="18138" xr:uid="{00000000-0005-0000-0000-0000F7460000}"/>
    <cellStyle name="Normal 73_2012-2019" xfId="12651" xr:uid="{00000000-0005-0000-0000-0000F8460000}"/>
    <cellStyle name="Normal 74" xfId="8725" xr:uid="{00000000-0005-0000-0000-0000F9460000}"/>
    <cellStyle name="Normal 74 2" xfId="8726" xr:uid="{00000000-0005-0000-0000-0000FA460000}"/>
    <cellStyle name="Normal 74 2 2" xfId="18141" xr:uid="{00000000-0005-0000-0000-0000FB460000}"/>
    <cellStyle name="Normal 74 2_est. MEAT" xfId="24765" xr:uid="{00000000-0005-0000-0000-0000FC460000}"/>
    <cellStyle name="Normal 74 3" xfId="18140" xr:uid="{00000000-0005-0000-0000-0000FD460000}"/>
    <cellStyle name="Normal 74_2012-2019" xfId="12652" xr:uid="{00000000-0005-0000-0000-0000FE460000}"/>
    <cellStyle name="Normal 75" xfId="8727" xr:uid="{00000000-0005-0000-0000-0000FF460000}"/>
    <cellStyle name="Normal 75 2" xfId="8728" xr:uid="{00000000-0005-0000-0000-000000470000}"/>
    <cellStyle name="Normal 75 2 2" xfId="18143" xr:uid="{00000000-0005-0000-0000-000001470000}"/>
    <cellStyle name="Normal 75 2_est. MEAT" xfId="24766" xr:uid="{00000000-0005-0000-0000-000002470000}"/>
    <cellStyle name="Normal 75 3" xfId="18142" xr:uid="{00000000-0005-0000-0000-000003470000}"/>
    <cellStyle name="Normal 75_2012-2019" xfId="12653" xr:uid="{00000000-0005-0000-0000-000004470000}"/>
    <cellStyle name="Normal 76" xfId="8729" xr:uid="{00000000-0005-0000-0000-000005470000}"/>
    <cellStyle name="Normal 76 2" xfId="8730" xr:uid="{00000000-0005-0000-0000-000006470000}"/>
    <cellStyle name="Normal 76 2 2" xfId="18145" xr:uid="{00000000-0005-0000-0000-000007470000}"/>
    <cellStyle name="Normal 76 2_est. MEAT" xfId="24767" xr:uid="{00000000-0005-0000-0000-000008470000}"/>
    <cellStyle name="Normal 76 3" xfId="18144" xr:uid="{00000000-0005-0000-0000-000009470000}"/>
    <cellStyle name="Normal 76_2012-2019" xfId="12654" xr:uid="{00000000-0005-0000-0000-00000A470000}"/>
    <cellStyle name="Normal 77" xfId="8731" xr:uid="{00000000-0005-0000-0000-00000B470000}"/>
    <cellStyle name="Normal 77 2" xfId="8732" xr:uid="{00000000-0005-0000-0000-00000C470000}"/>
    <cellStyle name="Normal 77 2 2" xfId="18147" xr:uid="{00000000-0005-0000-0000-00000D470000}"/>
    <cellStyle name="Normal 77 2_est. MEAT" xfId="24768" xr:uid="{00000000-0005-0000-0000-00000E470000}"/>
    <cellStyle name="Normal 77 3" xfId="18146" xr:uid="{00000000-0005-0000-0000-00000F470000}"/>
    <cellStyle name="Normal 77_2012-2019" xfId="12655" xr:uid="{00000000-0005-0000-0000-000010470000}"/>
    <cellStyle name="Normal 78" xfId="8733" xr:uid="{00000000-0005-0000-0000-000011470000}"/>
    <cellStyle name="Normal 78 2" xfId="8734" xr:uid="{00000000-0005-0000-0000-000012470000}"/>
    <cellStyle name="Normal 78 2 2" xfId="18149" xr:uid="{00000000-0005-0000-0000-000013470000}"/>
    <cellStyle name="Normal 78 2_est. MEAT" xfId="24769" xr:uid="{00000000-0005-0000-0000-000014470000}"/>
    <cellStyle name="Normal 78 3" xfId="18148" xr:uid="{00000000-0005-0000-0000-000015470000}"/>
    <cellStyle name="Normal 78_2012-2019" xfId="12656" xr:uid="{00000000-0005-0000-0000-000016470000}"/>
    <cellStyle name="Normal 79" xfId="8735" xr:uid="{00000000-0005-0000-0000-000017470000}"/>
    <cellStyle name="Normal 79 2" xfId="8736" xr:uid="{00000000-0005-0000-0000-000018470000}"/>
    <cellStyle name="Normal 79 2 2" xfId="18151" xr:uid="{00000000-0005-0000-0000-000019470000}"/>
    <cellStyle name="Normal 79 2_est. MEAT" xfId="24770" xr:uid="{00000000-0005-0000-0000-00001A470000}"/>
    <cellStyle name="Normal 79 3" xfId="18150" xr:uid="{00000000-0005-0000-0000-00001B470000}"/>
    <cellStyle name="Normal 79_2012-2019" xfId="12657" xr:uid="{00000000-0005-0000-0000-00001C470000}"/>
    <cellStyle name="Normal 8" xfId="8737" xr:uid="{00000000-0005-0000-0000-00001D470000}"/>
    <cellStyle name="Normal 8 2" xfId="8738" xr:uid="{00000000-0005-0000-0000-00001E470000}"/>
    <cellStyle name="Normal 8 2 2" xfId="18153" xr:uid="{00000000-0005-0000-0000-00001F470000}"/>
    <cellStyle name="Normal 8 2_est. MEAT" xfId="24771" xr:uid="{00000000-0005-0000-0000-000020470000}"/>
    <cellStyle name="Normal 8 3" xfId="18152" xr:uid="{00000000-0005-0000-0000-000021470000}"/>
    <cellStyle name="Normal 8_2012-2019" xfId="12658" xr:uid="{00000000-0005-0000-0000-000022470000}"/>
    <cellStyle name="Normal 80" xfId="8739" xr:uid="{00000000-0005-0000-0000-000023470000}"/>
    <cellStyle name="Normal 80 2" xfId="8740" xr:uid="{00000000-0005-0000-0000-000024470000}"/>
    <cellStyle name="Normal 80 2 2" xfId="18155" xr:uid="{00000000-0005-0000-0000-000025470000}"/>
    <cellStyle name="Normal 80 2_est. MEAT" xfId="24772" xr:uid="{00000000-0005-0000-0000-000026470000}"/>
    <cellStyle name="Normal 80 3" xfId="18154" xr:uid="{00000000-0005-0000-0000-000027470000}"/>
    <cellStyle name="Normal 80_2012-2019" xfId="12659" xr:uid="{00000000-0005-0000-0000-000028470000}"/>
    <cellStyle name="Normal 81" xfId="8741" xr:uid="{00000000-0005-0000-0000-000029470000}"/>
    <cellStyle name="Normal 81 2" xfId="8742" xr:uid="{00000000-0005-0000-0000-00002A470000}"/>
    <cellStyle name="Normal 81 2 2" xfId="18157" xr:uid="{00000000-0005-0000-0000-00002B470000}"/>
    <cellStyle name="Normal 81 2_est. MEAT" xfId="24773" xr:uid="{00000000-0005-0000-0000-00002C470000}"/>
    <cellStyle name="Normal 81 3" xfId="18156" xr:uid="{00000000-0005-0000-0000-00002D470000}"/>
    <cellStyle name="Normal 81_2012-2019" xfId="12660" xr:uid="{00000000-0005-0000-0000-00002E470000}"/>
    <cellStyle name="Normal 82" xfId="8743" xr:uid="{00000000-0005-0000-0000-00002F470000}"/>
    <cellStyle name="Normal 82 2" xfId="8744" xr:uid="{00000000-0005-0000-0000-000030470000}"/>
    <cellStyle name="Normal 82 2 2" xfId="18159" xr:uid="{00000000-0005-0000-0000-000031470000}"/>
    <cellStyle name="Normal 82 2_est. MEAT" xfId="24774" xr:uid="{00000000-0005-0000-0000-000032470000}"/>
    <cellStyle name="Normal 82 3" xfId="18158" xr:uid="{00000000-0005-0000-0000-000033470000}"/>
    <cellStyle name="Normal 82_2012-2019" xfId="12661" xr:uid="{00000000-0005-0000-0000-000034470000}"/>
    <cellStyle name="Normal 83" xfId="8745" xr:uid="{00000000-0005-0000-0000-000035470000}"/>
    <cellStyle name="Normal 83 2" xfId="8746" xr:uid="{00000000-0005-0000-0000-000036470000}"/>
    <cellStyle name="Normal 83 2 2" xfId="18161" xr:uid="{00000000-0005-0000-0000-000037470000}"/>
    <cellStyle name="Normal 83 2_est. MEAT" xfId="24775" xr:uid="{00000000-0005-0000-0000-000038470000}"/>
    <cellStyle name="Normal 83 3" xfId="18160" xr:uid="{00000000-0005-0000-0000-000039470000}"/>
    <cellStyle name="Normal 83_2012-2019" xfId="12662" xr:uid="{00000000-0005-0000-0000-00003A470000}"/>
    <cellStyle name="Normal 84" xfId="8747" xr:uid="{00000000-0005-0000-0000-00003B470000}"/>
    <cellStyle name="Normal 84 2" xfId="8748" xr:uid="{00000000-0005-0000-0000-00003C470000}"/>
    <cellStyle name="Normal 84 2 2" xfId="18163" xr:uid="{00000000-0005-0000-0000-00003D470000}"/>
    <cellStyle name="Normal 84 2_est. MEAT" xfId="24776" xr:uid="{00000000-0005-0000-0000-00003E470000}"/>
    <cellStyle name="Normal 84 3" xfId="18162" xr:uid="{00000000-0005-0000-0000-00003F470000}"/>
    <cellStyle name="Normal 84_2012-2019" xfId="12663" xr:uid="{00000000-0005-0000-0000-000040470000}"/>
    <cellStyle name="Normal 85" xfId="8749" xr:uid="{00000000-0005-0000-0000-000041470000}"/>
    <cellStyle name="Normal 85 2" xfId="8750" xr:uid="{00000000-0005-0000-0000-000042470000}"/>
    <cellStyle name="Normal 85 2 2" xfId="18165" xr:uid="{00000000-0005-0000-0000-000043470000}"/>
    <cellStyle name="Normal 85 2_est. MEAT" xfId="24777" xr:uid="{00000000-0005-0000-0000-000044470000}"/>
    <cellStyle name="Normal 85 3" xfId="18164" xr:uid="{00000000-0005-0000-0000-000045470000}"/>
    <cellStyle name="Normal 85_2012-2019" xfId="12664" xr:uid="{00000000-0005-0000-0000-000046470000}"/>
    <cellStyle name="Normal 86" xfId="8751" xr:uid="{00000000-0005-0000-0000-000047470000}"/>
    <cellStyle name="Normal 86 2" xfId="8752" xr:uid="{00000000-0005-0000-0000-000048470000}"/>
    <cellStyle name="Normal 86 2 2" xfId="18167" xr:uid="{00000000-0005-0000-0000-000049470000}"/>
    <cellStyle name="Normal 86 2_est. MEAT" xfId="24778" xr:uid="{00000000-0005-0000-0000-00004A470000}"/>
    <cellStyle name="Normal 86 3" xfId="18166" xr:uid="{00000000-0005-0000-0000-00004B470000}"/>
    <cellStyle name="Normal 86_2012-2019" xfId="12665" xr:uid="{00000000-0005-0000-0000-00004C470000}"/>
    <cellStyle name="Normal 87" xfId="8753" xr:uid="{00000000-0005-0000-0000-00004D470000}"/>
    <cellStyle name="Normal 87 2" xfId="8754" xr:uid="{00000000-0005-0000-0000-00004E470000}"/>
    <cellStyle name="Normal 87 2 2" xfId="18169" xr:uid="{00000000-0005-0000-0000-00004F470000}"/>
    <cellStyle name="Normal 87 2_est. MEAT" xfId="24779" xr:uid="{00000000-0005-0000-0000-000050470000}"/>
    <cellStyle name="Normal 87 3" xfId="18168" xr:uid="{00000000-0005-0000-0000-000051470000}"/>
    <cellStyle name="Normal 87_2012-2019" xfId="12666" xr:uid="{00000000-0005-0000-0000-000052470000}"/>
    <cellStyle name="Normal 88" xfId="8755" xr:uid="{00000000-0005-0000-0000-000053470000}"/>
    <cellStyle name="Normal 88 2" xfId="8756" xr:uid="{00000000-0005-0000-0000-000054470000}"/>
    <cellStyle name="Normal 88 2 2" xfId="18171" xr:uid="{00000000-0005-0000-0000-000055470000}"/>
    <cellStyle name="Normal 88 2_est. MEAT" xfId="24780" xr:uid="{00000000-0005-0000-0000-000056470000}"/>
    <cellStyle name="Normal 88 3" xfId="18170" xr:uid="{00000000-0005-0000-0000-000057470000}"/>
    <cellStyle name="Normal 88_2012-2019" xfId="12667" xr:uid="{00000000-0005-0000-0000-000058470000}"/>
    <cellStyle name="Normal 89" xfId="8757" xr:uid="{00000000-0005-0000-0000-000059470000}"/>
    <cellStyle name="Normal 89 2" xfId="8758" xr:uid="{00000000-0005-0000-0000-00005A470000}"/>
    <cellStyle name="Normal 89 2 2" xfId="18173" xr:uid="{00000000-0005-0000-0000-00005B470000}"/>
    <cellStyle name="Normal 89 2_est. MEAT" xfId="24781" xr:uid="{00000000-0005-0000-0000-00005C470000}"/>
    <cellStyle name="Normal 89 3" xfId="18172" xr:uid="{00000000-0005-0000-0000-00005D470000}"/>
    <cellStyle name="Normal 89_2012-2019" xfId="12668" xr:uid="{00000000-0005-0000-0000-00005E470000}"/>
    <cellStyle name="Normal 9" xfId="8759" xr:uid="{00000000-0005-0000-0000-00005F470000}"/>
    <cellStyle name="Normal 9 2" xfId="8760" xr:uid="{00000000-0005-0000-0000-000060470000}"/>
    <cellStyle name="Normal 9 2 2" xfId="8761" xr:uid="{00000000-0005-0000-0000-000061470000}"/>
    <cellStyle name="Normal 9 2 2 2" xfId="18176" xr:uid="{00000000-0005-0000-0000-000062470000}"/>
    <cellStyle name="Normal 9 2 2_est. MEAT" xfId="24782" xr:uid="{00000000-0005-0000-0000-000063470000}"/>
    <cellStyle name="Normal 9 2 3" xfId="18175" xr:uid="{00000000-0005-0000-0000-000064470000}"/>
    <cellStyle name="Normal 9 2_2012-2019" xfId="12670" xr:uid="{00000000-0005-0000-0000-000065470000}"/>
    <cellStyle name="Normal 9 3" xfId="8762" xr:uid="{00000000-0005-0000-0000-000066470000}"/>
    <cellStyle name="Normal 9 3 2" xfId="18177" xr:uid="{00000000-0005-0000-0000-000067470000}"/>
    <cellStyle name="Normal 9 3_est. MEAT" xfId="24783" xr:uid="{00000000-0005-0000-0000-000068470000}"/>
    <cellStyle name="Normal 9 4" xfId="18174" xr:uid="{00000000-0005-0000-0000-000069470000}"/>
    <cellStyle name="Normal 9_2012-2019" xfId="12669" xr:uid="{00000000-0005-0000-0000-00006A470000}"/>
    <cellStyle name="Normal 90" xfId="8763" xr:uid="{00000000-0005-0000-0000-00006B470000}"/>
    <cellStyle name="Normal 90 2" xfId="8764" xr:uid="{00000000-0005-0000-0000-00006C470000}"/>
    <cellStyle name="Normal 90 2 2" xfId="18179" xr:uid="{00000000-0005-0000-0000-00006D470000}"/>
    <cellStyle name="Normal 90 2_est. MEAT" xfId="24784" xr:uid="{00000000-0005-0000-0000-00006E470000}"/>
    <cellStyle name="Normal 90 3" xfId="18178" xr:uid="{00000000-0005-0000-0000-00006F470000}"/>
    <cellStyle name="Normal 90_2012-2019" xfId="12671" xr:uid="{00000000-0005-0000-0000-000070470000}"/>
    <cellStyle name="Normal 91" xfId="8765" xr:uid="{00000000-0005-0000-0000-000071470000}"/>
    <cellStyle name="Normal 91 2" xfId="8766" xr:uid="{00000000-0005-0000-0000-000072470000}"/>
    <cellStyle name="Normal 91 2 2" xfId="18181" xr:uid="{00000000-0005-0000-0000-000073470000}"/>
    <cellStyle name="Normal 91 2_est. MEAT" xfId="24785" xr:uid="{00000000-0005-0000-0000-000074470000}"/>
    <cellStyle name="Normal 91 3" xfId="18180" xr:uid="{00000000-0005-0000-0000-000075470000}"/>
    <cellStyle name="Normal 91_2012-2019" xfId="12672" xr:uid="{00000000-0005-0000-0000-000076470000}"/>
    <cellStyle name="Normal 92" xfId="8767" xr:uid="{00000000-0005-0000-0000-000077470000}"/>
    <cellStyle name="Normal 92 2" xfId="8768" xr:uid="{00000000-0005-0000-0000-000078470000}"/>
    <cellStyle name="Normal 92 2 2" xfId="18183" xr:uid="{00000000-0005-0000-0000-000079470000}"/>
    <cellStyle name="Normal 92 2_est. MEAT" xfId="24786" xr:uid="{00000000-0005-0000-0000-00007A470000}"/>
    <cellStyle name="Normal 92 3" xfId="18182" xr:uid="{00000000-0005-0000-0000-00007B470000}"/>
    <cellStyle name="Normal 92_2012-2019" xfId="12673" xr:uid="{00000000-0005-0000-0000-00007C470000}"/>
    <cellStyle name="Normal 93" xfId="8769" xr:uid="{00000000-0005-0000-0000-00007D470000}"/>
    <cellStyle name="Normal 93 2" xfId="8770" xr:uid="{00000000-0005-0000-0000-00007E470000}"/>
    <cellStyle name="Normal 93 2 2" xfId="18185" xr:uid="{00000000-0005-0000-0000-00007F470000}"/>
    <cellStyle name="Normal 93 2_est. MEAT" xfId="24787" xr:uid="{00000000-0005-0000-0000-000080470000}"/>
    <cellStyle name="Normal 93 3" xfId="18184" xr:uid="{00000000-0005-0000-0000-000081470000}"/>
    <cellStyle name="Normal 93_2012-2019" xfId="12674" xr:uid="{00000000-0005-0000-0000-000082470000}"/>
    <cellStyle name="Normal 94" xfId="8771" xr:uid="{00000000-0005-0000-0000-000083470000}"/>
    <cellStyle name="Normal 94 2" xfId="8772" xr:uid="{00000000-0005-0000-0000-000084470000}"/>
    <cellStyle name="Normal 94 2 2" xfId="18187" xr:uid="{00000000-0005-0000-0000-000085470000}"/>
    <cellStyle name="Normal 94 2_est. MEAT" xfId="24788" xr:uid="{00000000-0005-0000-0000-000086470000}"/>
    <cellStyle name="Normal 94 3" xfId="18186" xr:uid="{00000000-0005-0000-0000-000087470000}"/>
    <cellStyle name="Normal 94_2012-2019" xfId="12675" xr:uid="{00000000-0005-0000-0000-000088470000}"/>
    <cellStyle name="Normal 95" xfId="8773" xr:uid="{00000000-0005-0000-0000-000089470000}"/>
    <cellStyle name="Normal 95 2" xfId="8774" xr:uid="{00000000-0005-0000-0000-00008A470000}"/>
    <cellStyle name="Normal 95 2 2" xfId="18189" xr:uid="{00000000-0005-0000-0000-00008B470000}"/>
    <cellStyle name="Normal 95 2_est. MEAT" xfId="24789" xr:uid="{00000000-0005-0000-0000-00008C470000}"/>
    <cellStyle name="Normal 95 3" xfId="18188" xr:uid="{00000000-0005-0000-0000-00008D470000}"/>
    <cellStyle name="Normal 95_2012-2019" xfId="12676" xr:uid="{00000000-0005-0000-0000-00008E470000}"/>
    <cellStyle name="Normal 96" xfId="8775" xr:uid="{00000000-0005-0000-0000-00008F470000}"/>
    <cellStyle name="Normal 96 2" xfId="8776" xr:uid="{00000000-0005-0000-0000-000090470000}"/>
    <cellStyle name="Normal 96 2 2" xfId="18191" xr:uid="{00000000-0005-0000-0000-000091470000}"/>
    <cellStyle name="Normal 96 2_est. MEAT" xfId="24790" xr:uid="{00000000-0005-0000-0000-000092470000}"/>
    <cellStyle name="Normal 96 3" xfId="18190" xr:uid="{00000000-0005-0000-0000-000093470000}"/>
    <cellStyle name="Normal 96_2012-2019" xfId="12677" xr:uid="{00000000-0005-0000-0000-000094470000}"/>
    <cellStyle name="Normal 97" xfId="8777" xr:uid="{00000000-0005-0000-0000-000095470000}"/>
    <cellStyle name="Normal 97 2" xfId="8778" xr:uid="{00000000-0005-0000-0000-000096470000}"/>
    <cellStyle name="Normal 97 2 2" xfId="18193" xr:uid="{00000000-0005-0000-0000-000097470000}"/>
    <cellStyle name="Normal 97 2_est. MEAT" xfId="24791" xr:uid="{00000000-0005-0000-0000-000098470000}"/>
    <cellStyle name="Normal 97 3" xfId="18192" xr:uid="{00000000-0005-0000-0000-000099470000}"/>
    <cellStyle name="Normal 97_2012-2019" xfId="12678" xr:uid="{00000000-0005-0000-0000-00009A470000}"/>
    <cellStyle name="Normal 98" xfId="8779" xr:uid="{00000000-0005-0000-0000-00009B470000}"/>
    <cellStyle name="Normal 98 2" xfId="8780" xr:uid="{00000000-0005-0000-0000-00009C470000}"/>
    <cellStyle name="Normal 98 2 2" xfId="18195" xr:uid="{00000000-0005-0000-0000-00009D470000}"/>
    <cellStyle name="Normal 98 2_est. MEAT" xfId="24792" xr:uid="{00000000-0005-0000-0000-00009E470000}"/>
    <cellStyle name="Normal 98 3" xfId="18194" xr:uid="{00000000-0005-0000-0000-00009F470000}"/>
    <cellStyle name="Normal 98_2012-2019" xfId="12679" xr:uid="{00000000-0005-0000-0000-0000A0470000}"/>
    <cellStyle name="Normal 99" xfId="8781" xr:uid="{00000000-0005-0000-0000-0000A1470000}"/>
    <cellStyle name="Normal 99 2" xfId="8782" xr:uid="{00000000-0005-0000-0000-0000A2470000}"/>
    <cellStyle name="Normal 99 2 2" xfId="18197" xr:uid="{00000000-0005-0000-0000-0000A3470000}"/>
    <cellStyle name="Normal 99 2_est. MEAT" xfId="24793" xr:uid="{00000000-0005-0000-0000-0000A4470000}"/>
    <cellStyle name="Normal 99 3" xfId="18196" xr:uid="{00000000-0005-0000-0000-0000A5470000}"/>
    <cellStyle name="Normal 99_2012-2019" xfId="12680" xr:uid="{00000000-0005-0000-0000-0000A6470000}"/>
    <cellStyle name="Note" xfId="24794" xr:uid="{00000000-0005-0000-0000-0000A7470000}"/>
    <cellStyle name="Note 10" xfId="8783" xr:uid="{00000000-0005-0000-0000-0000A8470000}"/>
    <cellStyle name="Note 10 2" xfId="8784" xr:uid="{00000000-0005-0000-0000-0000A9470000}"/>
    <cellStyle name="Note 10 2 2" xfId="8785" xr:uid="{00000000-0005-0000-0000-0000AA470000}"/>
    <cellStyle name="Note 10 2 2 2" xfId="18200" xr:uid="{00000000-0005-0000-0000-0000AB470000}"/>
    <cellStyle name="Note 10 2 2_est. MEAT" xfId="24795" xr:uid="{00000000-0005-0000-0000-0000AC470000}"/>
    <cellStyle name="Note 10 2 3" xfId="18199" xr:uid="{00000000-0005-0000-0000-0000AD470000}"/>
    <cellStyle name="Note 10 2_2012-2019" xfId="12682" xr:uid="{00000000-0005-0000-0000-0000AE470000}"/>
    <cellStyle name="Note 10 3" xfId="8786" xr:uid="{00000000-0005-0000-0000-0000AF470000}"/>
    <cellStyle name="Note 10 3 2" xfId="18201" xr:uid="{00000000-0005-0000-0000-0000B0470000}"/>
    <cellStyle name="Note 10 3_est. MEAT" xfId="24796" xr:uid="{00000000-0005-0000-0000-0000B1470000}"/>
    <cellStyle name="Note 10 4" xfId="18198" xr:uid="{00000000-0005-0000-0000-0000B2470000}"/>
    <cellStyle name="Note 10_2012-2019" xfId="12681" xr:uid="{00000000-0005-0000-0000-0000B3470000}"/>
    <cellStyle name="Note 100" xfId="8787" xr:uid="{00000000-0005-0000-0000-0000B4470000}"/>
    <cellStyle name="Note 100 2" xfId="8788" xr:uid="{00000000-0005-0000-0000-0000B5470000}"/>
    <cellStyle name="Note 100 2 2" xfId="18203" xr:uid="{00000000-0005-0000-0000-0000B6470000}"/>
    <cellStyle name="Note 100 2_est. MEAT" xfId="24797" xr:uid="{00000000-0005-0000-0000-0000B7470000}"/>
    <cellStyle name="Note 100 3" xfId="18202" xr:uid="{00000000-0005-0000-0000-0000B8470000}"/>
    <cellStyle name="Note 100_2012-2019" xfId="12683" xr:uid="{00000000-0005-0000-0000-0000B9470000}"/>
    <cellStyle name="Note 101" xfId="8789" xr:uid="{00000000-0005-0000-0000-0000BA470000}"/>
    <cellStyle name="Note 101 2" xfId="8790" xr:uid="{00000000-0005-0000-0000-0000BB470000}"/>
    <cellStyle name="Note 101 2 2" xfId="18205" xr:uid="{00000000-0005-0000-0000-0000BC470000}"/>
    <cellStyle name="Note 101 2_est. MEAT" xfId="24798" xr:uid="{00000000-0005-0000-0000-0000BD470000}"/>
    <cellStyle name="Note 101 3" xfId="18204" xr:uid="{00000000-0005-0000-0000-0000BE470000}"/>
    <cellStyle name="Note 101_2012-2019" xfId="12684" xr:uid="{00000000-0005-0000-0000-0000BF470000}"/>
    <cellStyle name="Note 102" xfId="8791" xr:uid="{00000000-0005-0000-0000-0000C0470000}"/>
    <cellStyle name="Note 102 2" xfId="8792" xr:uid="{00000000-0005-0000-0000-0000C1470000}"/>
    <cellStyle name="Note 102 2 2" xfId="18207" xr:uid="{00000000-0005-0000-0000-0000C2470000}"/>
    <cellStyle name="Note 102 2_est. MEAT" xfId="24799" xr:uid="{00000000-0005-0000-0000-0000C3470000}"/>
    <cellStyle name="Note 102 3" xfId="18206" xr:uid="{00000000-0005-0000-0000-0000C4470000}"/>
    <cellStyle name="Note 102_2012-2019" xfId="12685" xr:uid="{00000000-0005-0000-0000-0000C5470000}"/>
    <cellStyle name="Note 103" xfId="8793" xr:uid="{00000000-0005-0000-0000-0000C6470000}"/>
    <cellStyle name="Note 103 2" xfId="8794" xr:uid="{00000000-0005-0000-0000-0000C7470000}"/>
    <cellStyle name="Note 103 2 2" xfId="18209" xr:uid="{00000000-0005-0000-0000-0000C8470000}"/>
    <cellStyle name="Note 103 2_est. MEAT" xfId="24800" xr:uid="{00000000-0005-0000-0000-0000C9470000}"/>
    <cellStyle name="Note 103 3" xfId="18208" xr:uid="{00000000-0005-0000-0000-0000CA470000}"/>
    <cellStyle name="Note 103_2012-2019" xfId="12686" xr:uid="{00000000-0005-0000-0000-0000CB470000}"/>
    <cellStyle name="Note 104" xfId="8795" xr:uid="{00000000-0005-0000-0000-0000CC470000}"/>
    <cellStyle name="Note 104 2" xfId="8796" xr:uid="{00000000-0005-0000-0000-0000CD470000}"/>
    <cellStyle name="Note 104 2 2" xfId="18211" xr:uid="{00000000-0005-0000-0000-0000CE470000}"/>
    <cellStyle name="Note 104 2_est. MEAT" xfId="24801" xr:uid="{00000000-0005-0000-0000-0000CF470000}"/>
    <cellStyle name="Note 104 3" xfId="18210" xr:uid="{00000000-0005-0000-0000-0000D0470000}"/>
    <cellStyle name="Note 104_2012-2019" xfId="12687" xr:uid="{00000000-0005-0000-0000-0000D1470000}"/>
    <cellStyle name="Note 105" xfId="8797" xr:uid="{00000000-0005-0000-0000-0000D2470000}"/>
    <cellStyle name="Note 105 2" xfId="8798" xr:uid="{00000000-0005-0000-0000-0000D3470000}"/>
    <cellStyle name="Note 105 2 2" xfId="18213" xr:uid="{00000000-0005-0000-0000-0000D4470000}"/>
    <cellStyle name="Note 105 2_est. MEAT" xfId="24802" xr:uid="{00000000-0005-0000-0000-0000D5470000}"/>
    <cellStyle name="Note 105 3" xfId="18212" xr:uid="{00000000-0005-0000-0000-0000D6470000}"/>
    <cellStyle name="Note 105_2012-2019" xfId="12688" xr:uid="{00000000-0005-0000-0000-0000D7470000}"/>
    <cellStyle name="Note 106" xfId="8799" xr:uid="{00000000-0005-0000-0000-0000D8470000}"/>
    <cellStyle name="Note 106 2" xfId="8800" xr:uid="{00000000-0005-0000-0000-0000D9470000}"/>
    <cellStyle name="Note 106 2 2" xfId="18215" xr:uid="{00000000-0005-0000-0000-0000DA470000}"/>
    <cellStyle name="Note 106 2_est. MEAT" xfId="24803" xr:uid="{00000000-0005-0000-0000-0000DB470000}"/>
    <cellStyle name="Note 106 3" xfId="18214" xr:uid="{00000000-0005-0000-0000-0000DC470000}"/>
    <cellStyle name="Note 106_2012-2019" xfId="12689" xr:uid="{00000000-0005-0000-0000-0000DD470000}"/>
    <cellStyle name="Note 107" xfId="8801" xr:uid="{00000000-0005-0000-0000-0000DE470000}"/>
    <cellStyle name="Note 107 2" xfId="8802" xr:uid="{00000000-0005-0000-0000-0000DF470000}"/>
    <cellStyle name="Note 107 2 2" xfId="18217" xr:uid="{00000000-0005-0000-0000-0000E0470000}"/>
    <cellStyle name="Note 107 2_est. MEAT" xfId="24804" xr:uid="{00000000-0005-0000-0000-0000E1470000}"/>
    <cellStyle name="Note 107 3" xfId="18216" xr:uid="{00000000-0005-0000-0000-0000E2470000}"/>
    <cellStyle name="Note 107_2012-2019" xfId="12690" xr:uid="{00000000-0005-0000-0000-0000E3470000}"/>
    <cellStyle name="Note 108" xfId="8803" xr:uid="{00000000-0005-0000-0000-0000E4470000}"/>
    <cellStyle name="Note 108 2" xfId="8804" xr:uid="{00000000-0005-0000-0000-0000E5470000}"/>
    <cellStyle name="Note 108 2 2" xfId="18219" xr:uid="{00000000-0005-0000-0000-0000E6470000}"/>
    <cellStyle name="Note 108 2_est. MEAT" xfId="24805" xr:uid="{00000000-0005-0000-0000-0000E7470000}"/>
    <cellStyle name="Note 108 3" xfId="18218" xr:uid="{00000000-0005-0000-0000-0000E8470000}"/>
    <cellStyle name="Note 108_2012-2019" xfId="12691" xr:uid="{00000000-0005-0000-0000-0000E9470000}"/>
    <cellStyle name="Note 109" xfId="8805" xr:uid="{00000000-0005-0000-0000-0000EA470000}"/>
    <cellStyle name="Note 109 2" xfId="8806" xr:uid="{00000000-0005-0000-0000-0000EB470000}"/>
    <cellStyle name="Note 109 2 2" xfId="18221" xr:uid="{00000000-0005-0000-0000-0000EC470000}"/>
    <cellStyle name="Note 109 2_est. MEAT" xfId="24806" xr:uid="{00000000-0005-0000-0000-0000ED470000}"/>
    <cellStyle name="Note 109 3" xfId="18220" xr:uid="{00000000-0005-0000-0000-0000EE470000}"/>
    <cellStyle name="Note 109_2012-2019" xfId="12692" xr:uid="{00000000-0005-0000-0000-0000EF470000}"/>
    <cellStyle name="Note 11" xfId="8807" xr:uid="{00000000-0005-0000-0000-0000F0470000}"/>
    <cellStyle name="Note 11 2" xfId="8808" xr:uid="{00000000-0005-0000-0000-0000F1470000}"/>
    <cellStyle name="Note 11 2 2" xfId="8809" xr:uid="{00000000-0005-0000-0000-0000F2470000}"/>
    <cellStyle name="Note 11 2 2 2" xfId="18224" xr:uid="{00000000-0005-0000-0000-0000F3470000}"/>
    <cellStyle name="Note 11 2 2_est. MEAT" xfId="24807" xr:uid="{00000000-0005-0000-0000-0000F4470000}"/>
    <cellStyle name="Note 11 2 3" xfId="18223" xr:uid="{00000000-0005-0000-0000-0000F5470000}"/>
    <cellStyle name="Note 11 2_2012-2019" xfId="12694" xr:uid="{00000000-0005-0000-0000-0000F6470000}"/>
    <cellStyle name="Note 11 3" xfId="8810" xr:uid="{00000000-0005-0000-0000-0000F7470000}"/>
    <cellStyle name="Note 11 3 2" xfId="18225" xr:uid="{00000000-0005-0000-0000-0000F8470000}"/>
    <cellStyle name="Note 11 3_est. MEAT" xfId="24808" xr:uid="{00000000-0005-0000-0000-0000F9470000}"/>
    <cellStyle name="Note 11 4" xfId="18222" xr:uid="{00000000-0005-0000-0000-0000FA470000}"/>
    <cellStyle name="Note 11_2012-2019" xfId="12693" xr:uid="{00000000-0005-0000-0000-0000FB470000}"/>
    <cellStyle name="Note 110" xfId="8811" xr:uid="{00000000-0005-0000-0000-0000FC470000}"/>
    <cellStyle name="Note 110 2" xfId="8812" xr:uid="{00000000-0005-0000-0000-0000FD470000}"/>
    <cellStyle name="Note 110 2 2" xfId="18227" xr:uid="{00000000-0005-0000-0000-0000FE470000}"/>
    <cellStyle name="Note 110 2_est. MEAT" xfId="24809" xr:uid="{00000000-0005-0000-0000-0000FF470000}"/>
    <cellStyle name="Note 110 3" xfId="18226" xr:uid="{00000000-0005-0000-0000-000000480000}"/>
    <cellStyle name="Note 110_2012-2019" xfId="12695" xr:uid="{00000000-0005-0000-0000-000001480000}"/>
    <cellStyle name="Note 111" xfId="8813" xr:uid="{00000000-0005-0000-0000-000002480000}"/>
    <cellStyle name="Note 111 2" xfId="8814" xr:uid="{00000000-0005-0000-0000-000003480000}"/>
    <cellStyle name="Note 111 2 2" xfId="18229" xr:uid="{00000000-0005-0000-0000-000004480000}"/>
    <cellStyle name="Note 111 2_est. MEAT" xfId="24810" xr:uid="{00000000-0005-0000-0000-000005480000}"/>
    <cellStyle name="Note 111 3" xfId="18228" xr:uid="{00000000-0005-0000-0000-000006480000}"/>
    <cellStyle name="Note 111_2012-2019" xfId="12696" xr:uid="{00000000-0005-0000-0000-000007480000}"/>
    <cellStyle name="Note 112" xfId="8815" xr:uid="{00000000-0005-0000-0000-000008480000}"/>
    <cellStyle name="Note 112 2" xfId="8816" xr:uid="{00000000-0005-0000-0000-000009480000}"/>
    <cellStyle name="Note 112 2 2" xfId="18231" xr:uid="{00000000-0005-0000-0000-00000A480000}"/>
    <cellStyle name="Note 112 2_est. MEAT" xfId="24811" xr:uid="{00000000-0005-0000-0000-00000B480000}"/>
    <cellStyle name="Note 112 3" xfId="18230" xr:uid="{00000000-0005-0000-0000-00000C480000}"/>
    <cellStyle name="Note 112_2012-2019" xfId="12697" xr:uid="{00000000-0005-0000-0000-00000D480000}"/>
    <cellStyle name="Note 113" xfId="8817" xr:uid="{00000000-0005-0000-0000-00000E480000}"/>
    <cellStyle name="Note 113 2" xfId="8818" xr:uid="{00000000-0005-0000-0000-00000F480000}"/>
    <cellStyle name="Note 113 2 2" xfId="18233" xr:uid="{00000000-0005-0000-0000-000010480000}"/>
    <cellStyle name="Note 113 2_est. MEAT" xfId="24812" xr:uid="{00000000-0005-0000-0000-000011480000}"/>
    <cellStyle name="Note 113 3" xfId="18232" xr:uid="{00000000-0005-0000-0000-000012480000}"/>
    <cellStyle name="Note 113_2012-2019" xfId="12698" xr:uid="{00000000-0005-0000-0000-000013480000}"/>
    <cellStyle name="Note 114" xfId="8819" xr:uid="{00000000-0005-0000-0000-000014480000}"/>
    <cellStyle name="Note 114 2" xfId="8820" xr:uid="{00000000-0005-0000-0000-000015480000}"/>
    <cellStyle name="Note 114 2 2" xfId="18235" xr:uid="{00000000-0005-0000-0000-000016480000}"/>
    <cellStyle name="Note 114 2_est. MEAT" xfId="24813" xr:uid="{00000000-0005-0000-0000-000017480000}"/>
    <cellStyle name="Note 114 3" xfId="18234" xr:uid="{00000000-0005-0000-0000-000018480000}"/>
    <cellStyle name="Note 114_2012-2019" xfId="12699" xr:uid="{00000000-0005-0000-0000-000019480000}"/>
    <cellStyle name="Note 115" xfId="8821" xr:uid="{00000000-0005-0000-0000-00001A480000}"/>
    <cellStyle name="Note 115 2" xfId="8822" xr:uid="{00000000-0005-0000-0000-00001B480000}"/>
    <cellStyle name="Note 115 2 2" xfId="18237" xr:uid="{00000000-0005-0000-0000-00001C480000}"/>
    <cellStyle name="Note 115 2_est. MEAT" xfId="24814" xr:uid="{00000000-0005-0000-0000-00001D480000}"/>
    <cellStyle name="Note 115 3" xfId="18236" xr:uid="{00000000-0005-0000-0000-00001E480000}"/>
    <cellStyle name="Note 115_2012-2019" xfId="12700" xr:uid="{00000000-0005-0000-0000-00001F480000}"/>
    <cellStyle name="Note 116" xfId="8823" xr:uid="{00000000-0005-0000-0000-000020480000}"/>
    <cellStyle name="Note 116 2" xfId="8824" xr:uid="{00000000-0005-0000-0000-000021480000}"/>
    <cellStyle name="Note 116 2 2" xfId="18239" xr:uid="{00000000-0005-0000-0000-000022480000}"/>
    <cellStyle name="Note 116 2_est. MEAT" xfId="24815" xr:uid="{00000000-0005-0000-0000-000023480000}"/>
    <cellStyle name="Note 116 3" xfId="18238" xr:uid="{00000000-0005-0000-0000-000024480000}"/>
    <cellStyle name="Note 116_2012-2019" xfId="12701" xr:uid="{00000000-0005-0000-0000-000025480000}"/>
    <cellStyle name="Note 117" xfId="8825" xr:uid="{00000000-0005-0000-0000-000026480000}"/>
    <cellStyle name="Note 117 2" xfId="8826" xr:uid="{00000000-0005-0000-0000-000027480000}"/>
    <cellStyle name="Note 117 2 2" xfId="18241" xr:uid="{00000000-0005-0000-0000-000028480000}"/>
    <cellStyle name="Note 117 2_est. MEAT" xfId="24816" xr:uid="{00000000-0005-0000-0000-000029480000}"/>
    <cellStyle name="Note 117 3" xfId="18240" xr:uid="{00000000-0005-0000-0000-00002A480000}"/>
    <cellStyle name="Note 117_2012-2019" xfId="12702" xr:uid="{00000000-0005-0000-0000-00002B480000}"/>
    <cellStyle name="Note 118" xfId="8827" xr:uid="{00000000-0005-0000-0000-00002C480000}"/>
    <cellStyle name="Note 118 2" xfId="8828" xr:uid="{00000000-0005-0000-0000-00002D480000}"/>
    <cellStyle name="Note 118 2 2" xfId="18243" xr:uid="{00000000-0005-0000-0000-00002E480000}"/>
    <cellStyle name="Note 118 2_est. MEAT" xfId="24817" xr:uid="{00000000-0005-0000-0000-00002F480000}"/>
    <cellStyle name="Note 118 3" xfId="18242" xr:uid="{00000000-0005-0000-0000-000030480000}"/>
    <cellStyle name="Note 118_2012-2019" xfId="12703" xr:uid="{00000000-0005-0000-0000-000031480000}"/>
    <cellStyle name="Note 119" xfId="8829" xr:uid="{00000000-0005-0000-0000-000032480000}"/>
    <cellStyle name="Note 119 2" xfId="8830" xr:uid="{00000000-0005-0000-0000-000033480000}"/>
    <cellStyle name="Note 119 2 2" xfId="18245" xr:uid="{00000000-0005-0000-0000-000034480000}"/>
    <cellStyle name="Note 119 2_est. MEAT" xfId="24818" xr:uid="{00000000-0005-0000-0000-000035480000}"/>
    <cellStyle name="Note 119 3" xfId="18244" xr:uid="{00000000-0005-0000-0000-000036480000}"/>
    <cellStyle name="Note 119_2012-2019" xfId="12704" xr:uid="{00000000-0005-0000-0000-000037480000}"/>
    <cellStyle name="Note 12" xfId="8831" xr:uid="{00000000-0005-0000-0000-000038480000}"/>
    <cellStyle name="Note 12 2" xfId="8832" xr:uid="{00000000-0005-0000-0000-000039480000}"/>
    <cellStyle name="Note 12 2 2" xfId="8833" xr:uid="{00000000-0005-0000-0000-00003A480000}"/>
    <cellStyle name="Note 12 2 2 2" xfId="18248" xr:uid="{00000000-0005-0000-0000-00003B480000}"/>
    <cellStyle name="Note 12 2 2_est. MEAT" xfId="24819" xr:uid="{00000000-0005-0000-0000-00003C480000}"/>
    <cellStyle name="Note 12 2 3" xfId="18247" xr:uid="{00000000-0005-0000-0000-00003D480000}"/>
    <cellStyle name="Note 12 2_2012-2019" xfId="12706" xr:uid="{00000000-0005-0000-0000-00003E480000}"/>
    <cellStyle name="Note 12 3" xfId="8834" xr:uid="{00000000-0005-0000-0000-00003F480000}"/>
    <cellStyle name="Note 12 3 2" xfId="18249" xr:uid="{00000000-0005-0000-0000-000040480000}"/>
    <cellStyle name="Note 12 3_est. MEAT" xfId="24820" xr:uid="{00000000-0005-0000-0000-000041480000}"/>
    <cellStyle name="Note 12 4" xfId="18246" xr:uid="{00000000-0005-0000-0000-000042480000}"/>
    <cellStyle name="Note 12_2012-2019" xfId="12705" xr:uid="{00000000-0005-0000-0000-000043480000}"/>
    <cellStyle name="Note 120" xfId="8835" xr:uid="{00000000-0005-0000-0000-000044480000}"/>
    <cellStyle name="Note 120 2" xfId="8836" xr:uid="{00000000-0005-0000-0000-000045480000}"/>
    <cellStyle name="Note 120 2 2" xfId="18251" xr:uid="{00000000-0005-0000-0000-000046480000}"/>
    <cellStyle name="Note 120 2_est. MEAT" xfId="24821" xr:uid="{00000000-0005-0000-0000-000047480000}"/>
    <cellStyle name="Note 120 3" xfId="18250" xr:uid="{00000000-0005-0000-0000-000048480000}"/>
    <cellStyle name="Note 120_2012-2019" xfId="12707" xr:uid="{00000000-0005-0000-0000-000049480000}"/>
    <cellStyle name="Note 121" xfId="8837" xr:uid="{00000000-0005-0000-0000-00004A480000}"/>
    <cellStyle name="Note 121 2" xfId="8838" xr:uid="{00000000-0005-0000-0000-00004B480000}"/>
    <cellStyle name="Note 121 2 2" xfId="18253" xr:uid="{00000000-0005-0000-0000-00004C480000}"/>
    <cellStyle name="Note 121 2_est. MEAT" xfId="24822" xr:uid="{00000000-0005-0000-0000-00004D480000}"/>
    <cellStyle name="Note 121 3" xfId="18252" xr:uid="{00000000-0005-0000-0000-00004E480000}"/>
    <cellStyle name="Note 121_2012-2019" xfId="12708" xr:uid="{00000000-0005-0000-0000-00004F480000}"/>
    <cellStyle name="Note 122" xfId="8839" xr:uid="{00000000-0005-0000-0000-000050480000}"/>
    <cellStyle name="Note 122 2" xfId="8840" xr:uid="{00000000-0005-0000-0000-000051480000}"/>
    <cellStyle name="Note 122 2 2" xfId="18255" xr:uid="{00000000-0005-0000-0000-000052480000}"/>
    <cellStyle name="Note 122 2_est. MEAT" xfId="24823" xr:uid="{00000000-0005-0000-0000-000053480000}"/>
    <cellStyle name="Note 122 3" xfId="18254" xr:uid="{00000000-0005-0000-0000-000054480000}"/>
    <cellStyle name="Note 122_2012-2019" xfId="12709" xr:uid="{00000000-0005-0000-0000-000055480000}"/>
    <cellStyle name="Note 123" xfId="8841" xr:uid="{00000000-0005-0000-0000-000056480000}"/>
    <cellStyle name="Note 123 2" xfId="8842" xr:uid="{00000000-0005-0000-0000-000057480000}"/>
    <cellStyle name="Note 123 2 2" xfId="18257" xr:uid="{00000000-0005-0000-0000-000058480000}"/>
    <cellStyle name="Note 123 2_est. MEAT" xfId="24824" xr:uid="{00000000-0005-0000-0000-000059480000}"/>
    <cellStyle name="Note 123 3" xfId="18256" xr:uid="{00000000-0005-0000-0000-00005A480000}"/>
    <cellStyle name="Note 123_2012-2019" xfId="12710" xr:uid="{00000000-0005-0000-0000-00005B480000}"/>
    <cellStyle name="Note 124" xfId="8843" xr:uid="{00000000-0005-0000-0000-00005C480000}"/>
    <cellStyle name="Note 124 2" xfId="8844" xr:uid="{00000000-0005-0000-0000-00005D480000}"/>
    <cellStyle name="Note 124 2 2" xfId="18259" xr:uid="{00000000-0005-0000-0000-00005E480000}"/>
    <cellStyle name="Note 124 2_est. MEAT" xfId="24825" xr:uid="{00000000-0005-0000-0000-00005F480000}"/>
    <cellStyle name="Note 124 3" xfId="18258" xr:uid="{00000000-0005-0000-0000-000060480000}"/>
    <cellStyle name="Note 124_2012-2019" xfId="12711" xr:uid="{00000000-0005-0000-0000-000061480000}"/>
    <cellStyle name="Note 125" xfId="8845" xr:uid="{00000000-0005-0000-0000-000062480000}"/>
    <cellStyle name="Note 125 2" xfId="8846" xr:uid="{00000000-0005-0000-0000-000063480000}"/>
    <cellStyle name="Note 125 2 2" xfId="18261" xr:uid="{00000000-0005-0000-0000-000064480000}"/>
    <cellStyle name="Note 125 2_est. MEAT" xfId="24826" xr:uid="{00000000-0005-0000-0000-000065480000}"/>
    <cellStyle name="Note 125 3" xfId="18260" xr:uid="{00000000-0005-0000-0000-000066480000}"/>
    <cellStyle name="Note 125_2012-2019" xfId="12712" xr:uid="{00000000-0005-0000-0000-000067480000}"/>
    <cellStyle name="Note 126" xfId="8847" xr:uid="{00000000-0005-0000-0000-000068480000}"/>
    <cellStyle name="Note 126 2" xfId="8848" xr:uid="{00000000-0005-0000-0000-000069480000}"/>
    <cellStyle name="Note 126 2 2" xfId="18263" xr:uid="{00000000-0005-0000-0000-00006A480000}"/>
    <cellStyle name="Note 126 2_est. MEAT" xfId="24827" xr:uid="{00000000-0005-0000-0000-00006B480000}"/>
    <cellStyle name="Note 126 3" xfId="18262" xr:uid="{00000000-0005-0000-0000-00006C480000}"/>
    <cellStyle name="Note 126_2012-2019" xfId="12713" xr:uid="{00000000-0005-0000-0000-00006D480000}"/>
    <cellStyle name="Note 127" xfId="8849" xr:uid="{00000000-0005-0000-0000-00006E480000}"/>
    <cellStyle name="Note 127 2" xfId="8850" xr:uid="{00000000-0005-0000-0000-00006F480000}"/>
    <cellStyle name="Note 127 2 2" xfId="18265" xr:uid="{00000000-0005-0000-0000-000070480000}"/>
    <cellStyle name="Note 127 2_est. MEAT" xfId="24828" xr:uid="{00000000-0005-0000-0000-000071480000}"/>
    <cellStyle name="Note 127 3" xfId="18264" xr:uid="{00000000-0005-0000-0000-000072480000}"/>
    <cellStyle name="Note 127_2012-2019" xfId="12714" xr:uid="{00000000-0005-0000-0000-000073480000}"/>
    <cellStyle name="Note 128" xfId="8851" xr:uid="{00000000-0005-0000-0000-000074480000}"/>
    <cellStyle name="Note 128 2" xfId="8852" xr:uid="{00000000-0005-0000-0000-000075480000}"/>
    <cellStyle name="Note 128 2 2" xfId="18267" xr:uid="{00000000-0005-0000-0000-000076480000}"/>
    <cellStyle name="Note 128 2_est. MEAT" xfId="24829" xr:uid="{00000000-0005-0000-0000-000077480000}"/>
    <cellStyle name="Note 128 3" xfId="18266" xr:uid="{00000000-0005-0000-0000-000078480000}"/>
    <cellStyle name="Note 128_2012-2019" xfId="12715" xr:uid="{00000000-0005-0000-0000-000079480000}"/>
    <cellStyle name="Note 129" xfId="8853" xr:uid="{00000000-0005-0000-0000-00007A480000}"/>
    <cellStyle name="Note 129 2" xfId="8854" xr:uid="{00000000-0005-0000-0000-00007B480000}"/>
    <cellStyle name="Note 129 2 2" xfId="18269" xr:uid="{00000000-0005-0000-0000-00007C480000}"/>
    <cellStyle name="Note 129 2_est. MEAT" xfId="24830" xr:uid="{00000000-0005-0000-0000-00007D480000}"/>
    <cellStyle name="Note 129 3" xfId="18268" xr:uid="{00000000-0005-0000-0000-00007E480000}"/>
    <cellStyle name="Note 129_2012-2019" xfId="12716" xr:uid="{00000000-0005-0000-0000-00007F480000}"/>
    <cellStyle name="Note 13" xfId="8855" xr:uid="{00000000-0005-0000-0000-000080480000}"/>
    <cellStyle name="Note 13 2" xfId="8856" xr:uid="{00000000-0005-0000-0000-000081480000}"/>
    <cellStyle name="Note 13 2 2" xfId="8857" xr:uid="{00000000-0005-0000-0000-000082480000}"/>
    <cellStyle name="Note 13 2 2 2" xfId="18272" xr:uid="{00000000-0005-0000-0000-000083480000}"/>
    <cellStyle name="Note 13 2 2_est. MEAT" xfId="24831" xr:uid="{00000000-0005-0000-0000-000084480000}"/>
    <cellStyle name="Note 13 2 3" xfId="18271" xr:uid="{00000000-0005-0000-0000-000085480000}"/>
    <cellStyle name="Note 13 2_2012-2019" xfId="12718" xr:uid="{00000000-0005-0000-0000-000086480000}"/>
    <cellStyle name="Note 13 3" xfId="8858" xr:uid="{00000000-0005-0000-0000-000087480000}"/>
    <cellStyle name="Note 13 3 2" xfId="18273" xr:uid="{00000000-0005-0000-0000-000088480000}"/>
    <cellStyle name="Note 13 3_est. MEAT" xfId="24832" xr:uid="{00000000-0005-0000-0000-000089480000}"/>
    <cellStyle name="Note 13 4" xfId="18270" xr:uid="{00000000-0005-0000-0000-00008A480000}"/>
    <cellStyle name="Note 13_2012-2019" xfId="12717" xr:uid="{00000000-0005-0000-0000-00008B480000}"/>
    <cellStyle name="Note 130" xfId="8859" xr:uid="{00000000-0005-0000-0000-00008C480000}"/>
    <cellStyle name="Note 130 2" xfId="8860" xr:uid="{00000000-0005-0000-0000-00008D480000}"/>
    <cellStyle name="Note 130 2 2" xfId="18275" xr:uid="{00000000-0005-0000-0000-00008E480000}"/>
    <cellStyle name="Note 130 2_est. MEAT" xfId="24833" xr:uid="{00000000-0005-0000-0000-00008F480000}"/>
    <cellStyle name="Note 130 3" xfId="18274" xr:uid="{00000000-0005-0000-0000-000090480000}"/>
    <cellStyle name="Note 130_2012-2019" xfId="12719" xr:uid="{00000000-0005-0000-0000-000091480000}"/>
    <cellStyle name="Note 131" xfId="8861" xr:uid="{00000000-0005-0000-0000-000092480000}"/>
    <cellStyle name="Note 131 2" xfId="8862" xr:uid="{00000000-0005-0000-0000-000093480000}"/>
    <cellStyle name="Note 131 2 2" xfId="18277" xr:uid="{00000000-0005-0000-0000-000094480000}"/>
    <cellStyle name="Note 131 2_est. MEAT" xfId="24834" xr:uid="{00000000-0005-0000-0000-000095480000}"/>
    <cellStyle name="Note 131 3" xfId="18276" xr:uid="{00000000-0005-0000-0000-000096480000}"/>
    <cellStyle name="Note 131_2012-2019" xfId="12720" xr:uid="{00000000-0005-0000-0000-000097480000}"/>
    <cellStyle name="Note 132" xfId="8863" xr:uid="{00000000-0005-0000-0000-000098480000}"/>
    <cellStyle name="Note 132 2" xfId="8864" xr:uid="{00000000-0005-0000-0000-000099480000}"/>
    <cellStyle name="Note 132 2 2" xfId="18279" xr:uid="{00000000-0005-0000-0000-00009A480000}"/>
    <cellStyle name="Note 132 2_est. MEAT" xfId="24835" xr:uid="{00000000-0005-0000-0000-00009B480000}"/>
    <cellStyle name="Note 132 3" xfId="18278" xr:uid="{00000000-0005-0000-0000-00009C480000}"/>
    <cellStyle name="Note 132_2012-2019" xfId="12721" xr:uid="{00000000-0005-0000-0000-00009D480000}"/>
    <cellStyle name="Note 133" xfId="8865" xr:uid="{00000000-0005-0000-0000-00009E480000}"/>
    <cellStyle name="Note 133 2" xfId="8866" xr:uid="{00000000-0005-0000-0000-00009F480000}"/>
    <cellStyle name="Note 133 2 2" xfId="18281" xr:uid="{00000000-0005-0000-0000-0000A0480000}"/>
    <cellStyle name="Note 133 2_est. MEAT" xfId="24836" xr:uid="{00000000-0005-0000-0000-0000A1480000}"/>
    <cellStyle name="Note 133 3" xfId="18280" xr:uid="{00000000-0005-0000-0000-0000A2480000}"/>
    <cellStyle name="Note 133_2012-2019" xfId="12722" xr:uid="{00000000-0005-0000-0000-0000A3480000}"/>
    <cellStyle name="Note 134" xfId="8867" xr:uid="{00000000-0005-0000-0000-0000A4480000}"/>
    <cellStyle name="Note 134 2" xfId="8868" xr:uid="{00000000-0005-0000-0000-0000A5480000}"/>
    <cellStyle name="Note 134 2 2" xfId="18283" xr:uid="{00000000-0005-0000-0000-0000A6480000}"/>
    <cellStyle name="Note 134 2_est. MEAT" xfId="24837" xr:uid="{00000000-0005-0000-0000-0000A7480000}"/>
    <cellStyle name="Note 134 3" xfId="18282" xr:uid="{00000000-0005-0000-0000-0000A8480000}"/>
    <cellStyle name="Note 134_2012-2019" xfId="12723" xr:uid="{00000000-0005-0000-0000-0000A9480000}"/>
    <cellStyle name="Note 135" xfId="8869" xr:uid="{00000000-0005-0000-0000-0000AA480000}"/>
    <cellStyle name="Note 135 2" xfId="8870" xr:uid="{00000000-0005-0000-0000-0000AB480000}"/>
    <cellStyle name="Note 135 2 2" xfId="18285" xr:uid="{00000000-0005-0000-0000-0000AC480000}"/>
    <cellStyle name="Note 135 2_est. MEAT" xfId="24838" xr:uid="{00000000-0005-0000-0000-0000AD480000}"/>
    <cellStyle name="Note 135 3" xfId="18284" xr:uid="{00000000-0005-0000-0000-0000AE480000}"/>
    <cellStyle name="Note 135_2012-2019" xfId="12724" xr:uid="{00000000-0005-0000-0000-0000AF480000}"/>
    <cellStyle name="Note 136" xfId="8871" xr:uid="{00000000-0005-0000-0000-0000B0480000}"/>
    <cellStyle name="Note 136 2" xfId="8872" xr:uid="{00000000-0005-0000-0000-0000B1480000}"/>
    <cellStyle name="Note 136 2 2" xfId="18287" xr:uid="{00000000-0005-0000-0000-0000B2480000}"/>
    <cellStyle name="Note 136 2_est. MEAT" xfId="24839" xr:uid="{00000000-0005-0000-0000-0000B3480000}"/>
    <cellStyle name="Note 136 3" xfId="18286" xr:uid="{00000000-0005-0000-0000-0000B4480000}"/>
    <cellStyle name="Note 136_2012-2019" xfId="12725" xr:uid="{00000000-0005-0000-0000-0000B5480000}"/>
    <cellStyle name="Note 137" xfId="8873" xr:uid="{00000000-0005-0000-0000-0000B6480000}"/>
    <cellStyle name="Note 137 2" xfId="8874" xr:uid="{00000000-0005-0000-0000-0000B7480000}"/>
    <cellStyle name="Note 137 2 2" xfId="18289" xr:uid="{00000000-0005-0000-0000-0000B8480000}"/>
    <cellStyle name="Note 137 2_est. MEAT" xfId="24840" xr:uid="{00000000-0005-0000-0000-0000B9480000}"/>
    <cellStyle name="Note 137 3" xfId="18288" xr:uid="{00000000-0005-0000-0000-0000BA480000}"/>
    <cellStyle name="Note 137_2012-2019" xfId="12726" xr:uid="{00000000-0005-0000-0000-0000BB480000}"/>
    <cellStyle name="Note 138" xfId="8875" xr:uid="{00000000-0005-0000-0000-0000BC480000}"/>
    <cellStyle name="Note 138 2" xfId="8876" xr:uid="{00000000-0005-0000-0000-0000BD480000}"/>
    <cellStyle name="Note 138 2 2" xfId="18291" xr:uid="{00000000-0005-0000-0000-0000BE480000}"/>
    <cellStyle name="Note 138 2_est. MEAT" xfId="24841" xr:uid="{00000000-0005-0000-0000-0000BF480000}"/>
    <cellStyle name="Note 138 3" xfId="18290" xr:uid="{00000000-0005-0000-0000-0000C0480000}"/>
    <cellStyle name="Note 138_2012-2019" xfId="12727" xr:uid="{00000000-0005-0000-0000-0000C1480000}"/>
    <cellStyle name="Note 139" xfId="8877" xr:uid="{00000000-0005-0000-0000-0000C2480000}"/>
    <cellStyle name="Note 139 2" xfId="8878" xr:uid="{00000000-0005-0000-0000-0000C3480000}"/>
    <cellStyle name="Note 139 2 2" xfId="18293" xr:uid="{00000000-0005-0000-0000-0000C4480000}"/>
    <cellStyle name="Note 139 2_est. MEAT" xfId="24842" xr:uid="{00000000-0005-0000-0000-0000C5480000}"/>
    <cellStyle name="Note 139 3" xfId="18292" xr:uid="{00000000-0005-0000-0000-0000C6480000}"/>
    <cellStyle name="Note 139_2012-2019" xfId="12728" xr:uid="{00000000-0005-0000-0000-0000C7480000}"/>
    <cellStyle name="Note 14" xfId="8879" xr:uid="{00000000-0005-0000-0000-0000C8480000}"/>
    <cellStyle name="Note 14 2" xfId="8880" xr:uid="{00000000-0005-0000-0000-0000C9480000}"/>
    <cellStyle name="Note 14 2 2" xfId="8881" xr:uid="{00000000-0005-0000-0000-0000CA480000}"/>
    <cellStyle name="Note 14 2 2 2" xfId="18296" xr:uid="{00000000-0005-0000-0000-0000CB480000}"/>
    <cellStyle name="Note 14 2 2_est. MEAT" xfId="24843" xr:uid="{00000000-0005-0000-0000-0000CC480000}"/>
    <cellStyle name="Note 14 2 3" xfId="18295" xr:uid="{00000000-0005-0000-0000-0000CD480000}"/>
    <cellStyle name="Note 14 2_2012-2019" xfId="12730" xr:uid="{00000000-0005-0000-0000-0000CE480000}"/>
    <cellStyle name="Note 14 3" xfId="8882" xr:uid="{00000000-0005-0000-0000-0000CF480000}"/>
    <cellStyle name="Note 14 3 2" xfId="18297" xr:uid="{00000000-0005-0000-0000-0000D0480000}"/>
    <cellStyle name="Note 14 3_est. MEAT" xfId="24844" xr:uid="{00000000-0005-0000-0000-0000D1480000}"/>
    <cellStyle name="Note 14 4" xfId="18294" xr:uid="{00000000-0005-0000-0000-0000D2480000}"/>
    <cellStyle name="Note 14_2012-2019" xfId="12729" xr:uid="{00000000-0005-0000-0000-0000D3480000}"/>
    <cellStyle name="Note 140" xfId="8883" xr:uid="{00000000-0005-0000-0000-0000D4480000}"/>
    <cellStyle name="Note 140 2" xfId="8884" xr:uid="{00000000-0005-0000-0000-0000D5480000}"/>
    <cellStyle name="Note 140 2 2" xfId="18299" xr:uid="{00000000-0005-0000-0000-0000D6480000}"/>
    <cellStyle name="Note 140 2_est. MEAT" xfId="24845" xr:uid="{00000000-0005-0000-0000-0000D7480000}"/>
    <cellStyle name="Note 140 3" xfId="18298" xr:uid="{00000000-0005-0000-0000-0000D8480000}"/>
    <cellStyle name="Note 140_2012-2019" xfId="12731" xr:uid="{00000000-0005-0000-0000-0000D9480000}"/>
    <cellStyle name="Note 141" xfId="8885" xr:uid="{00000000-0005-0000-0000-0000DA480000}"/>
    <cellStyle name="Note 141 2" xfId="8886" xr:uid="{00000000-0005-0000-0000-0000DB480000}"/>
    <cellStyle name="Note 141 2 2" xfId="18301" xr:uid="{00000000-0005-0000-0000-0000DC480000}"/>
    <cellStyle name="Note 141 2_est. MEAT" xfId="24846" xr:uid="{00000000-0005-0000-0000-0000DD480000}"/>
    <cellStyle name="Note 141 3" xfId="18300" xr:uid="{00000000-0005-0000-0000-0000DE480000}"/>
    <cellStyle name="Note 141_2012-2019" xfId="12732" xr:uid="{00000000-0005-0000-0000-0000DF480000}"/>
    <cellStyle name="Note 142" xfId="8887" xr:uid="{00000000-0005-0000-0000-0000E0480000}"/>
    <cellStyle name="Note 142 2" xfId="8888" xr:uid="{00000000-0005-0000-0000-0000E1480000}"/>
    <cellStyle name="Note 142 2 2" xfId="18303" xr:uid="{00000000-0005-0000-0000-0000E2480000}"/>
    <cellStyle name="Note 142 2_est. MEAT" xfId="24847" xr:uid="{00000000-0005-0000-0000-0000E3480000}"/>
    <cellStyle name="Note 142 3" xfId="18302" xr:uid="{00000000-0005-0000-0000-0000E4480000}"/>
    <cellStyle name="Note 142_2012-2019" xfId="12733" xr:uid="{00000000-0005-0000-0000-0000E5480000}"/>
    <cellStyle name="Note 143" xfId="8889" xr:uid="{00000000-0005-0000-0000-0000E6480000}"/>
    <cellStyle name="Note 143 2" xfId="8890" xr:uid="{00000000-0005-0000-0000-0000E7480000}"/>
    <cellStyle name="Note 143 2 2" xfId="18305" xr:uid="{00000000-0005-0000-0000-0000E8480000}"/>
    <cellStyle name="Note 143 2_est. MEAT" xfId="24848" xr:uid="{00000000-0005-0000-0000-0000E9480000}"/>
    <cellStyle name="Note 143 3" xfId="18304" xr:uid="{00000000-0005-0000-0000-0000EA480000}"/>
    <cellStyle name="Note 143_2012-2019" xfId="12734" xr:uid="{00000000-0005-0000-0000-0000EB480000}"/>
    <cellStyle name="Note 144" xfId="8891" xr:uid="{00000000-0005-0000-0000-0000EC480000}"/>
    <cellStyle name="Note 144 2" xfId="8892" xr:uid="{00000000-0005-0000-0000-0000ED480000}"/>
    <cellStyle name="Note 144 2 2" xfId="18307" xr:uid="{00000000-0005-0000-0000-0000EE480000}"/>
    <cellStyle name="Note 144 2_est. MEAT" xfId="24849" xr:uid="{00000000-0005-0000-0000-0000EF480000}"/>
    <cellStyle name="Note 144 3" xfId="18306" xr:uid="{00000000-0005-0000-0000-0000F0480000}"/>
    <cellStyle name="Note 144_2012-2019" xfId="12735" xr:uid="{00000000-0005-0000-0000-0000F1480000}"/>
    <cellStyle name="Note 145" xfId="8893" xr:uid="{00000000-0005-0000-0000-0000F2480000}"/>
    <cellStyle name="Note 145 2" xfId="8894" xr:uid="{00000000-0005-0000-0000-0000F3480000}"/>
    <cellStyle name="Note 145 2 2" xfId="18309" xr:uid="{00000000-0005-0000-0000-0000F4480000}"/>
    <cellStyle name="Note 145 2_est. MEAT" xfId="24850" xr:uid="{00000000-0005-0000-0000-0000F5480000}"/>
    <cellStyle name="Note 145 3" xfId="18308" xr:uid="{00000000-0005-0000-0000-0000F6480000}"/>
    <cellStyle name="Note 145_2012-2019" xfId="12736" xr:uid="{00000000-0005-0000-0000-0000F7480000}"/>
    <cellStyle name="Note 146" xfId="8895" xr:uid="{00000000-0005-0000-0000-0000F8480000}"/>
    <cellStyle name="Note 146 2" xfId="8896" xr:uid="{00000000-0005-0000-0000-0000F9480000}"/>
    <cellStyle name="Note 146 2 2" xfId="18311" xr:uid="{00000000-0005-0000-0000-0000FA480000}"/>
    <cellStyle name="Note 146 2_est. MEAT" xfId="24851" xr:uid="{00000000-0005-0000-0000-0000FB480000}"/>
    <cellStyle name="Note 146 3" xfId="18310" xr:uid="{00000000-0005-0000-0000-0000FC480000}"/>
    <cellStyle name="Note 146_2012-2019" xfId="12737" xr:uid="{00000000-0005-0000-0000-0000FD480000}"/>
    <cellStyle name="Note 147" xfId="8897" xr:uid="{00000000-0005-0000-0000-0000FE480000}"/>
    <cellStyle name="Note 147 2" xfId="8898" xr:uid="{00000000-0005-0000-0000-0000FF480000}"/>
    <cellStyle name="Note 147 2 2" xfId="18313" xr:uid="{00000000-0005-0000-0000-000000490000}"/>
    <cellStyle name="Note 147 2_est. MEAT" xfId="24852" xr:uid="{00000000-0005-0000-0000-000001490000}"/>
    <cellStyle name="Note 147 3" xfId="18312" xr:uid="{00000000-0005-0000-0000-000002490000}"/>
    <cellStyle name="Note 147_2012-2019" xfId="12738" xr:uid="{00000000-0005-0000-0000-000003490000}"/>
    <cellStyle name="Note 148" xfId="8899" xr:uid="{00000000-0005-0000-0000-000004490000}"/>
    <cellStyle name="Note 148 2" xfId="8900" xr:uid="{00000000-0005-0000-0000-000005490000}"/>
    <cellStyle name="Note 148 2 2" xfId="18315" xr:uid="{00000000-0005-0000-0000-000006490000}"/>
    <cellStyle name="Note 148 2_est. MEAT" xfId="24853" xr:uid="{00000000-0005-0000-0000-000007490000}"/>
    <cellStyle name="Note 148 3" xfId="18314" xr:uid="{00000000-0005-0000-0000-000008490000}"/>
    <cellStyle name="Note 148_2012-2019" xfId="12739" xr:uid="{00000000-0005-0000-0000-000009490000}"/>
    <cellStyle name="Note 149" xfId="8901" xr:uid="{00000000-0005-0000-0000-00000A490000}"/>
    <cellStyle name="Note 149 2" xfId="8902" xr:uid="{00000000-0005-0000-0000-00000B490000}"/>
    <cellStyle name="Note 149 2 2" xfId="18317" xr:uid="{00000000-0005-0000-0000-00000C490000}"/>
    <cellStyle name="Note 149 2_est. MEAT" xfId="24854" xr:uid="{00000000-0005-0000-0000-00000D490000}"/>
    <cellStyle name="Note 149 3" xfId="18316" xr:uid="{00000000-0005-0000-0000-00000E490000}"/>
    <cellStyle name="Note 149_2012-2019" xfId="12740" xr:uid="{00000000-0005-0000-0000-00000F490000}"/>
    <cellStyle name="Note 15" xfId="8903" xr:uid="{00000000-0005-0000-0000-000010490000}"/>
    <cellStyle name="Note 15 2" xfId="8904" xr:uid="{00000000-0005-0000-0000-000011490000}"/>
    <cellStyle name="Note 15 2 2" xfId="8905" xr:uid="{00000000-0005-0000-0000-000012490000}"/>
    <cellStyle name="Note 15 2 2 2" xfId="18320" xr:uid="{00000000-0005-0000-0000-000013490000}"/>
    <cellStyle name="Note 15 2 2_est. MEAT" xfId="24855" xr:uid="{00000000-0005-0000-0000-000014490000}"/>
    <cellStyle name="Note 15 2 3" xfId="18319" xr:uid="{00000000-0005-0000-0000-000015490000}"/>
    <cellStyle name="Note 15 2_2012-2019" xfId="12742" xr:uid="{00000000-0005-0000-0000-000016490000}"/>
    <cellStyle name="Note 15 3" xfId="8906" xr:uid="{00000000-0005-0000-0000-000017490000}"/>
    <cellStyle name="Note 15 3 2" xfId="18321" xr:uid="{00000000-0005-0000-0000-000018490000}"/>
    <cellStyle name="Note 15 3_est. MEAT" xfId="24856" xr:uid="{00000000-0005-0000-0000-000019490000}"/>
    <cellStyle name="Note 15 4" xfId="18318" xr:uid="{00000000-0005-0000-0000-00001A490000}"/>
    <cellStyle name="Note 15_2012-2019" xfId="12741" xr:uid="{00000000-0005-0000-0000-00001B490000}"/>
    <cellStyle name="Note 150" xfId="8907" xr:uid="{00000000-0005-0000-0000-00001C490000}"/>
    <cellStyle name="Note 150 2" xfId="8908" xr:uid="{00000000-0005-0000-0000-00001D490000}"/>
    <cellStyle name="Note 150 2 2" xfId="18323" xr:uid="{00000000-0005-0000-0000-00001E490000}"/>
    <cellStyle name="Note 150 2_est. MEAT" xfId="24857" xr:uid="{00000000-0005-0000-0000-00001F490000}"/>
    <cellStyle name="Note 150 3" xfId="18322" xr:uid="{00000000-0005-0000-0000-000020490000}"/>
    <cellStyle name="Note 150_2012-2019" xfId="12743" xr:uid="{00000000-0005-0000-0000-000021490000}"/>
    <cellStyle name="Note 151" xfId="8909" xr:uid="{00000000-0005-0000-0000-000022490000}"/>
    <cellStyle name="Note 151 2" xfId="8910" xr:uid="{00000000-0005-0000-0000-000023490000}"/>
    <cellStyle name="Note 151 2 2" xfId="18325" xr:uid="{00000000-0005-0000-0000-000024490000}"/>
    <cellStyle name="Note 151 2_est. MEAT" xfId="24858" xr:uid="{00000000-0005-0000-0000-000025490000}"/>
    <cellStyle name="Note 151 3" xfId="18324" xr:uid="{00000000-0005-0000-0000-000026490000}"/>
    <cellStyle name="Note 151_2012-2019" xfId="12744" xr:uid="{00000000-0005-0000-0000-000027490000}"/>
    <cellStyle name="Note 152" xfId="8911" xr:uid="{00000000-0005-0000-0000-000028490000}"/>
    <cellStyle name="Note 152 2" xfId="8912" xr:uid="{00000000-0005-0000-0000-000029490000}"/>
    <cellStyle name="Note 152 2 2" xfId="18327" xr:uid="{00000000-0005-0000-0000-00002A490000}"/>
    <cellStyle name="Note 152 2_est. MEAT" xfId="24859" xr:uid="{00000000-0005-0000-0000-00002B490000}"/>
    <cellStyle name="Note 152 3" xfId="18326" xr:uid="{00000000-0005-0000-0000-00002C490000}"/>
    <cellStyle name="Note 152_2012-2019" xfId="12745" xr:uid="{00000000-0005-0000-0000-00002D490000}"/>
    <cellStyle name="Note 153" xfId="8913" xr:uid="{00000000-0005-0000-0000-00002E490000}"/>
    <cellStyle name="Note 153 2" xfId="8914" xr:uid="{00000000-0005-0000-0000-00002F490000}"/>
    <cellStyle name="Note 153 2 2" xfId="18329" xr:uid="{00000000-0005-0000-0000-000030490000}"/>
    <cellStyle name="Note 153 2_est. MEAT" xfId="24860" xr:uid="{00000000-0005-0000-0000-000031490000}"/>
    <cellStyle name="Note 153 3" xfId="18328" xr:uid="{00000000-0005-0000-0000-000032490000}"/>
    <cellStyle name="Note 153_2012-2019" xfId="12746" xr:uid="{00000000-0005-0000-0000-000033490000}"/>
    <cellStyle name="Note 154" xfId="8915" xr:uid="{00000000-0005-0000-0000-000034490000}"/>
    <cellStyle name="Note 154 2" xfId="8916" xr:uid="{00000000-0005-0000-0000-000035490000}"/>
    <cellStyle name="Note 154 2 2" xfId="18331" xr:uid="{00000000-0005-0000-0000-000036490000}"/>
    <cellStyle name="Note 154 2_est. MEAT" xfId="24861" xr:uid="{00000000-0005-0000-0000-000037490000}"/>
    <cellStyle name="Note 154 3" xfId="18330" xr:uid="{00000000-0005-0000-0000-000038490000}"/>
    <cellStyle name="Note 154_2012-2019" xfId="12747" xr:uid="{00000000-0005-0000-0000-000039490000}"/>
    <cellStyle name="Note 155" xfId="8917" xr:uid="{00000000-0005-0000-0000-00003A490000}"/>
    <cellStyle name="Note 155 2" xfId="8918" xr:uid="{00000000-0005-0000-0000-00003B490000}"/>
    <cellStyle name="Note 155 2 2" xfId="18333" xr:uid="{00000000-0005-0000-0000-00003C490000}"/>
    <cellStyle name="Note 155 2_est. MEAT" xfId="24862" xr:uid="{00000000-0005-0000-0000-00003D490000}"/>
    <cellStyle name="Note 155 3" xfId="18332" xr:uid="{00000000-0005-0000-0000-00003E490000}"/>
    <cellStyle name="Note 155_2012-2019" xfId="12748" xr:uid="{00000000-0005-0000-0000-00003F490000}"/>
    <cellStyle name="Note 156" xfId="8919" xr:uid="{00000000-0005-0000-0000-000040490000}"/>
    <cellStyle name="Note 156 2" xfId="8920" xr:uid="{00000000-0005-0000-0000-000041490000}"/>
    <cellStyle name="Note 156 2 2" xfId="18335" xr:uid="{00000000-0005-0000-0000-000042490000}"/>
    <cellStyle name="Note 156 2_est. MEAT" xfId="24863" xr:uid="{00000000-0005-0000-0000-000043490000}"/>
    <cellStyle name="Note 156 3" xfId="18334" xr:uid="{00000000-0005-0000-0000-000044490000}"/>
    <cellStyle name="Note 156_2012-2019" xfId="12749" xr:uid="{00000000-0005-0000-0000-000045490000}"/>
    <cellStyle name="Note 157" xfId="8921" xr:uid="{00000000-0005-0000-0000-000046490000}"/>
    <cellStyle name="Note 157 2" xfId="8922" xr:uid="{00000000-0005-0000-0000-000047490000}"/>
    <cellStyle name="Note 157 2 2" xfId="18337" xr:uid="{00000000-0005-0000-0000-000048490000}"/>
    <cellStyle name="Note 157 2_est. MEAT" xfId="24864" xr:uid="{00000000-0005-0000-0000-000049490000}"/>
    <cellStyle name="Note 157 3" xfId="18336" xr:uid="{00000000-0005-0000-0000-00004A490000}"/>
    <cellStyle name="Note 157_2012-2019" xfId="12750" xr:uid="{00000000-0005-0000-0000-00004B490000}"/>
    <cellStyle name="Note 158" xfId="8923" xr:uid="{00000000-0005-0000-0000-00004C490000}"/>
    <cellStyle name="Note 158 2" xfId="8924" xr:uid="{00000000-0005-0000-0000-00004D490000}"/>
    <cellStyle name="Note 158 2 2" xfId="18339" xr:uid="{00000000-0005-0000-0000-00004E490000}"/>
    <cellStyle name="Note 158 2_est. MEAT" xfId="24865" xr:uid="{00000000-0005-0000-0000-00004F490000}"/>
    <cellStyle name="Note 158 3" xfId="18338" xr:uid="{00000000-0005-0000-0000-000050490000}"/>
    <cellStyle name="Note 158_2012-2019" xfId="12751" xr:uid="{00000000-0005-0000-0000-000051490000}"/>
    <cellStyle name="Note 159" xfId="8925" xr:uid="{00000000-0005-0000-0000-000052490000}"/>
    <cellStyle name="Note 159 2" xfId="8926" xr:uid="{00000000-0005-0000-0000-000053490000}"/>
    <cellStyle name="Note 159 2 2" xfId="18341" xr:uid="{00000000-0005-0000-0000-000054490000}"/>
    <cellStyle name="Note 159 2_est. MEAT" xfId="24866" xr:uid="{00000000-0005-0000-0000-000055490000}"/>
    <cellStyle name="Note 159 3" xfId="18340" xr:uid="{00000000-0005-0000-0000-000056490000}"/>
    <cellStyle name="Note 159_2012-2019" xfId="12752" xr:uid="{00000000-0005-0000-0000-000057490000}"/>
    <cellStyle name="Note 16" xfId="8927" xr:uid="{00000000-0005-0000-0000-000058490000}"/>
    <cellStyle name="Note 16 2" xfId="8928" xr:uid="{00000000-0005-0000-0000-000059490000}"/>
    <cellStyle name="Note 16 2 2" xfId="8929" xr:uid="{00000000-0005-0000-0000-00005A490000}"/>
    <cellStyle name="Note 16 2 2 2" xfId="18344" xr:uid="{00000000-0005-0000-0000-00005B490000}"/>
    <cellStyle name="Note 16 2 2_est. MEAT" xfId="24867" xr:uid="{00000000-0005-0000-0000-00005C490000}"/>
    <cellStyle name="Note 16 2 3" xfId="18343" xr:uid="{00000000-0005-0000-0000-00005D490000}"/>
    <cellStyle name="Note 16 2_2012-2019" xfId="12754" xr:uid="{00000000-0005-0000-0000-00005E490000}"/>
    <cellStyle name="Note 16 3" xfId="8930" xr:uid="{00000000-0005-0000-0000-00005F490000}"/>
    <cellStyle name="Note 16 3 2" xfId="18345" xr:uid="{00000000-0005-0000-0000-000060490000}"/>
    <cellStyle name="Note 16 3_est. MEAT" xfId="24868" xr:uid="{00000000-0005-0000-0000-000061490000}"/>
    <cellStyle name="Note 16 4" xfId="18342" xr:uid="{00000000-0005-0000-0000-000062490000}"/>
    <cellStyle name="Note 16_2012-2019" xfId="12753" xr:uid="{00000000-0005-0000-0000-000063490000}"/>
    <cellStyle name="Note 160" xfId="8931" xr:uid="{00000000-0005-0000-0000-000064490000}"/>
    <cellStyle name="Note 160 2" xfId="8932" xr:uid="{00000000-0005-0000-0000-000065490000}"/>
    <cellStyle name="Note 160 2 2" xfId="18347" xr:uid="{00000000-0005-0000-0000-000066490000}"/>
    <cellStyle name="Note 160 2_est. MEAT" xfId="24869" xr:uid="{00000000-0005-0000-0000-000067490000}"/>
    <cellStyle name="Note 160 3" xfId="18346" xr:uid="{00000000-0005-0000-0000-000068490000}"/>
    <cellStyle name="Note 160_2012-2019" xfId="12755" xr:uid="{00000000-0005-0000-0000-000069490000}"/>
    <cellStyle name="Note 161" xfId="8933" xr:uid="{00000000-0005-0000-0000-00006A490000}"/>
    <cellStyle name="Note 161 2" xfId="8934" xr:uid="{00000000-0005-0000-0000-00006B490000}"/>
    <cellStyle name="Note 161 2 2" xfId="18349" xr:uid="{00000000-0005-0000-0000-00006C490000}"/>
    <cellStyle name="Note 161 2_est. MEAT" xfId="24870" xr:uid="{00000000-0005-0000-0000-00006D490000}"/>
    <cellStyle name="Note 161 3" xfId="18348" xr:uid="{00000000-0005-0000-0000-00006E490000}"/>
    <cellStyle name="Note 161_2012-2019" xfId="12756" xr:uid="{00000000-0005-0000-0000-00006F490000}"/>
    <cellStyle name="Note 162" xfId="8935" xr:uid="{00000000-0005-0000-0000-000070490000}"/>
    <cellStyle name="Note 162 2" xfId="8936" xr:uid="{00000000-0005-0000-0000-000071490000}"/>
    <cellStyle name="Note 162 2 2" xfId="18351" xr:uid="{00000000-0005-0000-0000-000072490000}"/>
    <cellStyle name="Note 162 2_est. MEAT" xfId="24871" xr:uid="{00000000-0005-0000-0000-000073490000}"/>
    <cellStyle name="Note 162 3" xfId="18350" xr:uid="{00000000-0005-0000-0000-000074490000}"/>
    <cellStyle name="Note 162_2012-2019" xfId="12757" xr:uid="{00000000-0005-0000-0000-000075490000}"/>
    <cellStyle name="Note 163" xfId="8937" xr:uid="{00000000-0005-0000-0000-000076490000}"/>
    <cellStyle name="Note 163 2" xfId="8938" xr:uid="{00000000-0005-0000-0000-000077490000}"/>
    <cellStyle name="Note 163 2 2" xfId="18353" xr:uid="{00000000-0005-0000-0000-000078490000}"/>
    <cellStyle name="Note 163 2_est. MEAT" xfId="24872" xr:uid="{00000000-0005-0000-0000-000079490000}"/>
    <cellStyle name="Note 163 3" xfId="18352" xr:uid="{00000000-0005-0000-0000-00007A490000}"/>
    <cellStyle name="Note 163_2012-2019" xfId="12758" xr:uid="{00000000-0005-0000-0000-00007B490000}"/>
    <cellStyle name="Note 164" xfId="8939" xr:uid="{00000000-0005-0000-0000-00007C490000}"/>
    <cellStyle name="Note 164 2" xfId="8940" xr:uid="{00000000-0005-0000-0000-00007D490000}"/>
    <cellStyle name="Note 164 2 2" xfId="18355" xr:uid="{00000000-0005-0000-0000-00007E490000}"/>
    <cellStyle name="Note 164 2_est. MEAT" xfId="24873" xr:uid="{00000000-0005-0000-0000-00007F490000}"/>
    <cellStyle name="Note 164 3" xfId="18354" xr:uid="{00000000-0005-0000-0000-000080490000}"/>
    <cellStyle name="Note 164_2012-2019" xfId="12759" xr:uid="{00000000-0005-0000-0000-000081490000}"/>
    <cellStyle name="Note 165" xfId="8941" xr:uid="{00000000-0005-0000-0000-000082490000}"/>
    <cellStyle name="Note 165 2" xfId="18356" xr:uid="{00000000-0005-0000-0000-000083490000}"/>
    <cellStyle name="Note 165_est. MEAT" xfId="24874" xr:uid="{00000000-0005-0000-0000-000084490000}"/>
    <cellStyle name="Note 166" xfId="8942" xr:uid="{00000000-0005-0000-0000-000085490000}"/>
    <cellStyle name="Note 166 2" xfId="18357" xr:uid="{00000000-0005-0000-0000-000086490000}"/>
    <cellStyle name="Note 166_est. MEAT" xfId="24875" xr:uid="{00000000-0005-0000-0000-000087490000}"/>
    <cellStyle name="Note 167" xfId="8943" xr:uid="{00000000-0005-0000-0000-000088490000}"/>
    <cellStyle name="Note 167 2" xfId="18358" xr:uid="{00000000-0005-0000-0000-000089490000}"/>
    <cellStyle name="Note 167_est. MEAT" xfId="24876" xr:uid="{00000000-0005-0000-0000-00008A490000}"/>
    <cellStyle name="Note 168" xfId="8944" xr:uid="{00000000-0005-0000-0000-00008B490000}"/>
    <cellStyle name="Note 168 2" xfId="18359" xr:uid="{00000000-0005-0000-0000-00008C490000}"/>
    <cellStyle name="Note 168_est. MEAT" xfId="24877" xr:uid="{00000000-0005-0000-0000-00008D490000}"/>
    <cellStyle name="Note 17" xfId="8945" xr:uid="{00000000-0005-0000-0000-00008E490000}"/>
    <cellStyle name="Note 17 2" xfId="8946" xr:uid="{00000000-0005-0000-0000-00008F490000}"/>
    <cellStyle name="Note 17 2 2" xfId="8947" xr:uid="{00000000-0005-0000-0000-000090490000}"/>
    <cellStyle name="Note 17 2 2 2" xfId="18362" xr:uid="{00000000-0005-0000-0000-000091490000}"/>
    <cellStyle name="Note 17 2 2_est. MEAT" xfId="24878" xr:uid="{00000000-0005-0000-0000-000092490000}"/>
    <cellStyle name="Note 17 2 3" xfId="18361" xr:uid="{00000000-0005-0000-0000-000093490000}"/>
    <cellStyle name="Note 17 2_2012-2019" xfId="12761" xr:uid="{00000000-0005-0000-0000-000094490000}"/>
    <cellStyle name="Note 17 3" xfId="8948" xr:uid="{00000000-0005-0000-0000-000095490000}"/>
    <cellStyle name="Note 17 3 2" xfId="18363" xr:uid="{00000000-0005-0000-0000-000096490000}"/>
    <cellStyle name="Note 17 3_est. MEAT" xfId="24879" xr:uid="{00000000-0005-0000-0000-000097490000}"/>
    <cellStyle name="Note 17 4" xfId="18360" xr:uid="{00000000-0005-0000-0000-000098490000}"/>
    <cellStyle name="Note 17_2012-2019" xfId="12760" xr:uid="{00000000-0005-0000-0000-000099490000}"/>
    <cellStyle name="Note 18" xfId="8949" xr:uid="{00000000-0005-0000-0000-00009A490000}"/>
    <cellStyle name="Note 18 2" xfId="8950" xr:uid="{00000000-0005-0000-0000-00009B490000}"/>
    <cellStyle name="Note 18 2 2" xfId="8951" xr:uid="{00000000-0005-0000-0000-00009C490000}"/>
    <cellStyle name="Note 18 2 2 2" xfId="18366" xr:uid="{00000000-0005-0000-0000-00009D490000}"/>
    <cellStyle name="Note 18 2 2_est. MEAT" xfId="24880" xr:uid="{00000000-0005-0000-0000-00009E490000}"/>
    <cellStyle name="Note 18 2 3" xfId="18365" xr:uid="{00000000-0005-0000-0000-00009F490000}"/>
    <cellStyle name="Note 18 2_2012-2019" xfId="12763" xr:uid="{00000000-0005-0000-0000-0000A0490000}"/>
    <cellStyle name="Note 18 3" xfId="8952" xr:uid="{00000000-0005-0000-0000-0000A1490000}"/>
    <cellStyle name="Note 18 3 2" xfId="18367" xr:uid="{00000000-0005-0000-0000-0000A2490000}"/>
    <cellStyle name="Note 18 3_est. MEAT" xfId="24881" xr:uid="{00000000-0005-0000-0000-0000A3490000}"/>
    <cellStyle name="Note 18 4" xfId="18364" xr:uid="{00000000-0005-0000-0000-0000A4490000}"/>
    <cellStyle name="Note 18_2012-2019" xfId="12762" xr:uid="{00000000-0005-0000-0000-0000A5490000}"/>
    <cellStyle name="Note 19" xfId="8953" xr:uid="{00000000-0005-0000-0000-0000A6490000}"/>
    <cellStyle name="Note 19 2" xfId="8954" xr:uid="{00000000-0005-0000-0000-0000A7490000}"/>
    <cellStyle name="Note 19 2 2" xfId="8955" xr:uid="{00000000-0005-0000-0000-0000A8490000}"/>
    <cellStyle name="Note 19 2 2 2" xfId="18370" xr:uid="{00000000-0005-0000-0000-0000A9490000}"/>
    <cellStyle name="Note 19 2 2_est. MEAT" xfId="24882" xr:uid="{00000000-0005-0000-0000-0000AA490000}"/>
    <cellStyle name="Note 19 2 3" xfId="18369" xr:uid="{00000000-0005-0000-0000-0000AB490000}"/>
    <cellStyle name="Note 19 2_2012-2019" xfId="12765" xr:uid="{00000000-0005-0000-0000-0000AC490000}"/>
    <cellStyle name="Note 19 3" xfId="8956" xr:uid="{00000000-0005-0000-0000-0000AD490000}"/>
    <cellStyle name="Note 19 3 2" xfId="18371" xr:uid="{00000000-0005-0000-0000-0000AE490000}"/>
    <cellStyle name="Note 19 3_est. MEAT" xfId="24883" xr:uid="{00000000-0005-0000-0000-0000AF490000}"/>
    <cellStyle name="Note 19 4" xfId="18368" xr:uid="{00000000-0005-0000-0000-0000B0490000}"/>
    <cellStyle name="Note 19_2012-2019" xfId="12764" xr:uid="{00000000-0005-0000-0000-0000B1490000}"/>
    <cellStyle name="Note 2" xfId="8957" xr:uid="{00000000-0005-0000-0000-0000B2490000}"/>
    <cellStyle name="Note 2 2" xfId="8958" xr:uid="{00000000-0005-0000-0000-0000B3490000}"/>
    <cellStyle name="Note 2 2 2" xfId="8959" xr:uid="{00000000-0005-0000-0000-0000B4490000}"/>
    <cellStyle name="Note 2 2 2 2" xfId="8960" xr:uid="{00000000-0005-0000-0000-0000B5490000}"/>
    <cellStyle name="Note 2 2 2 2 2" xfId="18375" xr:uid="{00000000-0005-0000-0000-0000B6490000}"/>
    <cellStyle name="Note 2 2 2 2_est. MEAT" xfId="24884" xr:uid="{00000000-0005-0000-0000-0000B7490000}"/>
    <cellStyle name="Note 2 2 2 3" xfId="18374" xr:uid="{00000000-0005-0000-0000-0000B8490000}"/>
    <cellStyle name="Note 2 2 2_2012-2019" xfId="12768" xr:uid="{00000000-0005-0000-0000-0000B9490000}"/>
    <cellStyle name="Note 2 2 3" xfId="8961" xr:uid="{00000000-0005-0000-0000-0000BA490000}"/>
    <cellStyle name="Note 2 2 3 2" xfId="18376" xr:uid="{00000000-0005-0000-0000-0000BB490000}"/>
    <cellStyle name="Note 2 2 3_est. MEAT" xfId="24885" xr:uid="{00000000-0005-0000-0000-0000BC490000}"/>
    <cellStyle name="Note 2 2 4" xfId="18373" xr:uid="{00000000-0005-0000-0000-0000BD490000}"/>
    <cellStyle name="Note 2 2_2012-2019" xfId="12767" xr:uid="{00000000-0005-0000-0000-0000BE490000}"/>
    <cellStyle name="Note 2 3" xfId="8962" xr:uid="{00000000-0005-0000-0000-0000BF490000}"/>
    <cellStyle name="Note 2 3 2" xfId="8963" xr:uid="{00000000-0005-0000-0000-0000C0490000}"/>
    <cellStyle name="Note 2 3 2 2" xfId="18378" xr:uid="{00000000-0005-0000-0000-0000C1490000}"/>
    <cellStyle name="Note 2 3 2_est. MEAT" xfId="24886" xr:uid="{00000000-0005-0000-0000-0000C2490000}"/>
    <cellStyle name="Note 2 3 3" xfId="18377" xr:uid="{00000000-0005-0000-0000-0000C3490000}"/>
    <cellStyle name="Note 2 3_2012-2019" xfId="12769" xr:uid="{00000000-0005-0000-0000-0000C4490000}"/>
    <cellStyle name="Note 2 4" xfId="8964" xr:uid="{00000000-0005-0000-0000-0000C5490000}"/>
    <cellStyle name="Note 2 4 2" xfId="18379" xr:uid="{00000000-0005-0000-0000-0000C6490000}"/>
    <cellStyle name="Note 2 4_est. MEAT" xfId="24887" xr:uid="{00000000-0005-0000-0000-0000C7490000}"/>
    <cellStyle name="Note 2 5" xfId="18372" xr:uid="{00000000-0005-0000-0000-0000C8490000}"/>
    <cellStyle name="Note 2_2012-2019" xfId="12766" xr:uid="{00000000-0005-0000-0000-0000C9490000}"/>
    <cellStyle name="Note 20" xfId="8965" xr:uid="{00000000-0005-0000-0000-0000CA490000}"/>
    <cellStyle name="Note 20 2" xfId="8966" xr:uid="{00000000-0005-0000-0000-0000CB490000}"/>
    <cellStyle name="Note 20 2 2" xfId="8967" xr:uid="{00000000-0005-0000-0000-0000CC490000}"/>
    <cellStyle name="Note 20 2 2 2" xfId="18382" xr:uid="{00000000-0005-0000-0000-0000CD490000}"/>
    <cellStyle name="Note 20 2 2_est. MEAT" xfId="24888" xr:uid="{00000000-0005-0000-0000-0000CE490000}"/>
    <cellStyle name="Note 20 2 3" xfId="18381" xr:uid="{00000000-0005-0000-0000-0000CF490000}"/>
    <cellStyle name="Note 20 2_2012-2019" xfId="12771" xr:uid="{00000000-0005-0000-0000-0000D0490000}"/>
    <cellStyle name="Note 20 3" xfId="8968" xr:uid="{00000000-0005-0000-0000-0000D1490000}"/>
    <cellStyle name="Note 20 3 2" xfId="18383" xr:uid="{00000000-0005-0000-0000-0000D2490000}"/>
    <cellStyle name="Note 20 3_est. MEAT" xfId="24889" xr:uid="{00000000-0005-0000-0000-0000D3490000}"/>
    <cellStyle name="Note 20 4" xfId="18380" xr:uid="{00000000-0005-0000-0000-0000D4490000}"/>
    <cellStyle name="Note 20_2012-2019" xfId="12770" xr:uid="{00000000-0005-0000-0000-0000D5490000}"/>
    <cellStyle name="Note 21" xfId="8969" xr:uid="{00000000-0005-0000-0000-0000D6490000}"/>
    <cellStyle name="Note 21 2" xfId="8970" xr:uid="{00000000-0005-0000-0000-0000D7490000}"/>
    <cellStyle name="Note 21 2 2" xfId="8971" xr:uid="{00000000-0005-0000-0000-0000D8490000}"/>
    <cellStyle name="Note 21 2 2 2" xfId="18386" xr:uid="{00000000-0005-0000-0000-0000D9490000}"/>
    <cellStyle name="Note 21 2 2_est. MEAT" xfId="24890" xr:uid="{00000000-0005-0000-0000-0000DA490000}"/>
    <cellStyle name="Note 21 2 3" xfId="18385" xr:uid="{00000000-0005-0000-0000-0000DB490000}"/>
    <cellStyle name="Note 21 2_2012-2019" xfId="12773" xr:uid="{00000000-0005-0000-0000-0000DC490000}"/>
    <cellStyle name="Note 21 3" xfId="8972" xr:uid="{00000000-0005-0000-0000-0000DD490000}"/>
    <cellStyle name="Note 21 3 2" xfId="18387" xr:uid="{00000000-0005-0000-0000-0000DE490000}"/>
    <cellStyle name="Note 21 3_est. MEAT" xfId="24891" xr:uid="{00000000-0005-0000-0000-0000DF490000}"/>
    <cellStyle name="Note 21 4" xfId="18384" xr:uid="{00000000-0005-0000-0000-0000E0490000}"/>
    <cellStyle name="Note 21_2012-2019" xfId="12772" xr:uid="{00000000-0005-0000-0000-0000E1490000}"/>
    <cellStyle name="Note 22" xfId="8973" xr:uid="{00000000-0005-0000-0000-0000E2490000}"/>
    <cellStyle name="Note 22 2" xfId="8974" xr:uid="{00000000-0005-0000-0000-0000E3490000}"/>
    <cellStyle name="Note 22 2 2" xfId="8975" xr:uid="{00000000-0005-0000-0000-0000E4490000}"/>
    <cellStyle name="Note 22 2 2 2" xfId="18390" xr:uid="{00000000-0005-0000-0000-0000E5490000}"/>
    <cellStyle name="Note 22 2 2_est. MEAT" xfId="24892" xr:uid="{00000000-0005-0000-0000-0000E6490000}"/>
    <cellStyle name="Note 22 2 3" xfId="18389" xr:uid="{00000000-0005-0000-0000-0000E7490000}"/>
    <cellStyle name="Note 22 2_2012-2019" xfId="12775" xr:uid="{00000000-0005-0000-0000-0000E8490000}"/>
    <cellStyle name="Note 22 3" xfId="8976" xr:uid="{00000000-0005-0000-0000-0000E9490000}"/>
    <cellStyle name="Note 22 3 2" xfId="18391" xr:uid="{00000000-0005-0000-0000-0000EA490000}"/>
    <cellStyle name="Note 22 3_est. MEAT" xfId="24893" xr:uid="{00000000-0005-0000-0000-0000EB490000}"/>
    <cellStyle name="Note 22 4" xfId="18388" xr:uid="{00000000-0005-0000-0000-0000EC490000}"/>
    <cellStyle name="Note 22_2012-2019" xfId="12774" xr:uid="{00000000-0005-0000-0000-0000ED490000}"/>
    <cellStyle name="Note 23" xfId="8977" xr:uid="{00000000-0005-0000-0000-0000EE490000}"/>
    <cellStyle name="Note 23 2" xfId="8978" xr:uid="{00000000-0005-0000-0000-0000EF490000}"/>
    <cellStyle name="Note 23 2 2" xfId="8979" xr:uid="{00000000-0005-0000-0000-0000F0490000}"/>
    <cellStyle name="Note 23 2 2 2" xfId="18394" xr:uid="{00000000-0005-0000-0000-0000F1490000}"/>
    <cellStyle name="Note 23 2 2_est. MEAT" xfId="24894" xr:uid="{00000000-0005-0000-0000-0000F2490000}"/>
    <cellStyle name="Note 23 2 3" xfId="18393" xr:uid="{00000000-0005-0000-0000-0000F3490000}"/>
    <cellStyle name="Note 23 2_2012-2019" xfId="12777" xr:uid="{00000000-0005-0000-0000-0000F4490000}"/>
    <cellStyle name="Note 23 3" xfId="8980" xr:uid="{00000000-0005-0000-0000-0000F5490000}"/>
    <cellStyle name="Note 23 3 2" xfId="18395" xr:uid="{00000000-0005-0000-0000-0000F6490000}"/>
    <cellStyle name="Note 23 3_est. MEAT" xfId="24895" xr:uid="{00000000-0005-0000-0000-0000F7490000}"/>
    <cellStyle name="Note 23 4" xfId="18392" xr:uid="{00000000-0005-0000-0000-0000F8490000}"/>
    <cellStyle name="Note 23_2012-2019" xfId="12776" xr:uid="{00000000-0005-0000-0000-0000F9490000}"/>
    <cellStyle name="Note 24" xfId="8981" xr:uid="{00000000-0005-0000-0000-0000FA490000}"/>
    <cellStyle name="Note 24 2" xfId="8982" xr:uid="{00000000-0005-0000-0000-0000FB490000}"/>
    <cellStyle name="Note 24 2 2" xfId="8983" xr:uid="{00000000-0005-0000-0000-0000FC490000}"/>
    <cellStyle name="Note 24 2 2 2" xfId="18398" xr:uid="{00000000-0005-0000-0000-0000FD490000}"/>
    <cellStyle name="Note 24 2 2_est. MEAT" xfId="24896" xr:uid="{00000000-0005-0000-0000-0000FE490000}"/>
    <cellStyle name="Note 24 2 3" xfId="18397" xr:uid="{00000000-0005-0000-0000-0000FF490000}"/>
    <cellStyle name="Note 24 2_2012-2019" xfId="12779" xr:uid="{00000000-0005-0000-0000-0000004A0000}"/>
    <cellStyle name="Note 24 3" xfId="8984" xr:uid="{00000000-0005-0000-0000-0000014A0000}"/>
    <cellStyle name="Note 24 3 2" xfId="18399" xr:uid="{00000000-0005-0000-0000-0000024A0000}"/>
    <cellStyle name="Note 24 3_est. MEAT" xfId="24897" xr:uid="{00000000-0005-0000-0000-0000034A0000}"/>
    <cellStyle name="Note 24 4" xfId="18396" xr:uid="{00000000-0005-0000-0000-0000044A0000}"/>
    <cellStyle name="Note 24_2012-2019" xfId="12778" xr:uid="{00000000-0005-0000-0000-0000054A0000}"/>
    <cellStyle name="Note 25" xfId="8985" xr:uid="{00000000-0005-0000-0000-0000064A0000}"/>
    <cellStyle name="Note 25 2" xfId="8986" xr:uid="{00000000-0005-0000-0000-0000074A0000}"/>
    <cellStyle name="Note 25 2 2" xfId="8987" xr:uid="{00000000-0005-0000-0000-0000084A0000}"/>
    <cellStyle name="Note 25 2 2 2" xfId="18402" xr:uid="{00000000-0005-0000-0000-0000094A0000}"/>
    <cellStyle name="Note 25 2 2_est. MEAT" xfId="24898" xr:uid="{00000000-0005-0000-0000-00000A4A0000}"/>
    <cellStyle name="Note 25 2 3" xfId="18401" xr:uid="{00000000-0005-0000-0000-00000B4A0000}"/>
    <cellStyle name="Note 25 2_2012-2019" xfId="12781" xr:uid="{00000000-0005-0000-0000-00000C4A0000}"/>
    <cellStyle name="Note 25 3" xfId="8988" xr:uid="{00000000-0005-0000-0000-00000D4A0000}"/>
    <cellStyle name="Note 25 3 2" xfId="18403" xr:uid="{00000000-0005-0000-0000-00000E4A0000}"/>
    <cellStyle name="Note 25 3_est. MEAT" xfId="24899" xr:uid="{00000000-0005-0000-0000-00000F4A0000}"/>
    <cellStyle name="Note 25 4" xfId="18400" xr:uid="{00000000-0005-0000-0000-0000104A0000}"/>
    <cellStyle name="Note 25_2012-2019" xfId="12780" xr:uid="{00000000-0005-0000-0000-0000114A0000}"/>
    <cellStyle name="Note 26" xfId="8989" xr:uid="{00000000-0005-0000-0000-0000124A0000}"/>
    <cellStyle name="Note 26 2" xfId="8990" xr:uid="{00000000-0005-0000-0000-0000134A0000}"/>
    <cellStyle name="Note 26 2 2" xfId="8991" xr:uid="{00000000-0005-0000-0000-0000144A0000}"/>
    <cellStyle name="Note 26 2 2 2" xfId="18406" xr:uid="{00000000-0005-0000-0000-0000154A0000}"/>
    <cellStyle name="Note 26 2 2_est. MEAT" xfId="24900" xr:uid="{00000000-0005-0000-0000-0000164A0000}"/>
    <cellStyle name="Note 26 2 3" xfId="18405" xr:uid="{00000000-0005-0000-0000-0000174A0000}"/>
    <cellStyle name="Note 26 2_2012-2019" xfId="12783" xr:uid="{00000000-0005-0000-0000-0000184A0000}"/>
    <cellStyle name="Note 26 3" xfId="8992" xr:uid="{00000000-0005-0000-0000-0000194A0000}"/>
    <cellStyle name="Note 26 3 2" xfId="18407" xr:uid="{00000000-0005-0000-0000-00001A4A0000}"/>
    <cellStyle name="Note 26 3_est. MEAT" xfId="24901" xr:uid="{00000000-0005-0000-0000-00001B4A0000}"/>
    <cellStyle name="Note 26 4" xfId="18404" xr:uid="{00000000-0005-0000-0000-00001C4A0000}"/>
    <cellStyle name="Note 26_2012-2019" xfId="12782" xr:uid="{00000000-0005-0000-0000-00001D4A0000}"/>
    <cellStyle name="Note 27" xfId="8993" xr:uid="{00000000-0005-0000-0000-00001E4A0000}"/>
    <cellStyle name="Note 27 2" xfId="8994" xr:uid="{00000000-0005-0000-0000-00001F4A0000}"/>
    <cellStyle name="Note 27 2 2" xfId="8995" xr:uid="{00000000-0005-0000-0000-0000204A0000}"/>
    <cellStyle name="Note 27 2 2 2" xfId="18410" xr:uid="{00000000-0005-0000-0000-0000214A0000}"/>
    <cellStyle name="Note 27 2 2_est. MEAT" xfId="24902" xr:uid="{00000000-0005-0000-0000-0000224A0000}"/>
    <cellStyle name="Note 27 2 3" xfId="18409" xr:uid="{00000000-0005-0000-0000-0000234A0000}"/>
    <cellStyle name="Note 27 2_2012-2019" xfId="12785" xr:uid="{00000000-0005-0000-0000-0000244A0000}"/>
    <cellStyle name="Note 27 3" xfId="8996" xr:uid="{00000000-0005-0000-0000-0000254A0000}"/>
    <cellStyle name="Note 27 3 2" xfId="18411" xr:uid="{00000000-0005-0000-0000-0000264A0000}"/>
    <cellStyle name="Note 27 3_est. MEAT" xfId="24903" xr:uid="{00000000-0005-0000-0000-0000274A0000}"/>
    <cellStyle name="Note 27 4" xfId="18408" xr:uid="{00000000-0005-0000-0000-0000284A0000}"/>
    <cellStyle name="Note 27_2012-2019" xfId="12784" xr:uid="{00000000-0005-0000-0000-0000294A0000}"/>
    <cellStyle name="Note 28" xfId="8997" xr:uid="{00000000-0005-0000-0000-00002A4A0000}"/>
    <cellStyle name="Note 28 2" xfId="8998" xr:uid="{00000000-0005-0000-0000-00002B4A0000}"/>
    <cellStyle name="Note 28 2 2" xfId="8999" xr:uid="{00000000-0005-0000-0000-00002C4A0000}"/>
    <cellStyle name="Note 28 2 2 2" xfId="18414" xr:uid="{00000000-0005-0000-0000-00002D4A0000}"/>
    <cellStyle name="Note 28 2 2_est. MEAT" xfId="24904" xr:uid="{00000000-0005-0000-0000-00002E4A0000}"/>
    <cellStyle name="Note 28 2 3" xfId="18413" xr:uid="{00000000-0005-0000-0000-00002F4A0000}"/>
    <cellStyle name="Note 28 2_2012-2019" xfId="12787" xr:uid="{00000000-0005-0000-0000-0000304A0000}"/>
    <cellStyle name="Note 28 3" xfId="9000" xr:uid="{00000000-0005-0000-0000-0000314A0000}"/>
    <cellStyle name="Note 28 3 2" xfId="18415" xr:uid="{00000000-0005-0000-0000-0000324A0000}"/>
    <cellStyle name="Note 28 3_est. MEAT" xfId="24905" xr:uid="{00000000-0005-0000-0000-0000334A0000}"/>
    <cellStyle name="Note 28 4" xfId="18412" xr:uid="{00000000-0005-0000-0000-0000344A0000}"/>
    <cellStyle name="Note 28_2012-2019" xfId="12786" xr:uid="{00000000-0005-0000-0000-0000354A0000}"/>
    <cellStyle name="Note 29" xfId="9001" xr:uid="{00000000-0005-0000-0000-0000364A0000}"/>
    <cellStyle name="Note 29 2" xfId="9002" xr:uid="{00000000-0005-0000-0000-0000374A0000}"/>
    <cellStyle name="Note 29 2 2" xfId="9003" xr:uid="{00000000-0005-0000-0000-0000384A0000}"/>
    <cellStyle name="Note 29 2 2 2" xfId="18418" xr:uid="{00000000-0005-0000-0000-0000394A0000}"/>
    <cellStyle name="Note 29 2 2_est. MEAT" xfId="24906" xr:uid="{00000000-0005-0000-0000-00003A4A0000}"/>
    <cellStyle name="Note 29 2 3" xfId="18417" xr:uid="{00000000-0005-0000-0000-00003B4A0000}"/>
    <cellStyle name="Note 29 2_2012-2019" xfId="12789" xr:uid="{00000000-0005-0000-0000-00003C4A0000}"/>
    <cellStyle name="Note 29 3" xfId="9004" xr:uid="{00000000-0005-0000-0000-00003D4A0000}"/>
    <cellStyle name="Note 29 3 2" xfId="18419" xr:uid="{00000000-0005-0000-0000-00003E4A0000}"/>
    <cellStyle name="Note 29 3_est. MEAT" xfId="24907" xr:uid="{00000000-0005-0000-0000-00003F4A0000}"/>
    <cellStyle name="Note 29 4" xfId="18416" xr:uid="{00000000-0005-0000-0000-0000404A0000}"/>
    <cellStyle name="Note 29_2012-2019" xfId="12788" xr:uid="{00000000-0005-0000-0000-0000414A0000}"/>
    <cellStyle name="Note 3" xfId="9005" xr:uid="{00000000-0005-0000-0000-0000424A0000}"/>
    <cellStyle name="Note 3 2" xfId="9006" xr:uid="{00000000-0005-0000-0000-0000434A0000}"/>
    <cellStyle name="Note 3 2 2" xfId="9007" xr:uid="{00000000-0005-0000-0000-0000444A0000}"/>
    <cellStyle name="Note 3 2 2 2" xfId="9008" xr:uid="{00000000-0005-0000-0000-0000454A0000}"/>
    <cellStyle name="Note 3 2 2 2 2" xfId="18423" xr:uid="{00000000-0005-0000-0000-0000464A0000}"/>
    <cellStyle name="Note 3 2 2 2_est. MEAT" xfId="24908" xr:uid="{00000000-0005-0000-0000-0000474A0000}"/>
    <cellStyle name="Note 3 2 2 3" xfId="18422" xr:uid="{00000000-0005-0000-0000-0000484A0000}"/>
    <cellStyle name="Note 3 2 2_2012-2019" xfId="12792" xr:uid="{00000000-0005-0000-0000-0000494A0000}"/>
    <cellStyle name="Note 3 2 3" xfId="9009" xr:uid="{00000000-0005-0000-0000-00004A4A0000}"/>
    <cellStyle name="Note 3 2 3 2" xfId="18424" xr:uid="{00000000-0005-0000-0000-00004B4A0000}"/>
    <cellStyle name="Note 3 2 3_est. MEAT" xfId="24909" xr:uid="{00000000-0005-0000-0000-00004C4A0000}"/>
    <cellStyle name="Note 3 2 4" xfId="18421" xr:uid="{00000000-0005-0000-0000-00004D4A0000}"/>
    <cellStyle name="Note 3 2_2012-2019" xfId="12791" xr:uid="{00000000-0005-0000-0000-00004E4A0000}"/>
    <cellStyle name="Note 3 3" xfId="9010" xr:uid="{00000000-0005-0000-0000-00004F4A0000}"/>
    <cellStyle name="Note 3 3 2" xfId="9011" xr:uid="{00000000-0005-0000-0000-0000504A0000}"/>
    <cellStyle name="Note 3 3 2 2" xfId="18426" xr:uid="{00000000-0005-0000-0000-0000514A0000}"/>
    <cellStyle name="Note 3 3 2_est. MEAT" xfId="24910" xr:uid="{00000000-0005-0000-0000-0000524A0000}"/>
    <cellStyle name="Note 3 3 3" xfId="18425" xr:uid="{00000000-0005-0000-0000-0000534A0000}"/>
    <cellStyle name="Note 3 3_2012-2019" xfId="12793" xr:uid="{00000000-0005-0000-0000-0000544A0000}"/>
    <cellStyle name="Note 3 4" xfId="9012" xr:uid="{00000000-0005-0000-0000-0000554A0000}"/>
    <cellStyle name="Note 3 4 2" xfId="18427" xr:uid="{00000000-0005-0000-0000-0000564A0000}"/>
    <cellStyle name="Note 3 4_est. MEAT" xfId="24911" xr:uid="{00000000-0005-0000-0000-0000574A0000}"/>
    <cellStyle name="Note 3 5" xfId="18420" xr:uid="{00000000-0005-0000-0000-0000584A0000}"/>
    <cellStyle name="Note 3_2012-2019" xfId="12790" xr:uid="{00000000-0005-0000-0000-0000594A0000}"/>
    <cellStyle name="Note 30" xfId="9013" xr:uid="{00000000-0005-0000-0000-00005A4A0000}"/>
    <cellStyle name="Note 30 2" xfId="9014" xr:uid="{00000000-0005-0000-0000-00005B4A0000}"/>
    <cellStyle name="Note 30 2 2" xfId="9015" xr:uid="{00000000-0005-0000-0000-00005C4A0000}"/>
    <cellStyle name="Note 30 2 2 2" xfId="18430" xr:uid="{00000000-0005-0000-0000-00005D4A0000}"/>
    <cellStyle name="Note 30 2 2_est. MEAT" xfId="24912" xr:uid="{00000000-0005-0000-0000-00005E4A0000}"/>
    <cellStyle name="Note 30 2 3" xfId="18429" xr:uid="{00000000-0005-0000-0000-00005F4A0000}"/>
    <cellStyle name="Note 30 2_2012-2019" xfId="12795" xr:uid="{00000000-0005-0000-0000-0000604A0000}"/>
    <cellStyle name="Note 30 3" xfId="9016" xr:uid="{00000000-0005-0000-0000-0000614A0000}"/>
    <cellStyle name="Note 30 3 2" xfId="18431" xr:uid="{00000000-0005-0000-0000-0000624A0000}"/>
    <cellStyle name="Note 30 3_est. MEAT" xfId="24913" xr:uid="{00000000-0005-0000-0000-0000634A0000}"/>
    <cellStyle name="Note 30 4" xfId="18428" xr:uid="{00000000-0005-0000-0000-0000644A0000}"/>
    <cellStyle name="Note 30_2012-2019" xfId="12794" xr:uid="{00000000-0005-0000-0000-0000654A0000}"/>
    <cellStyle name="Note 31" xfId="9017" xr:uid="{00000000-0005-0000-0000-0000664A0000}"/>
    <cellStyle name="Note 31 2" xfId="9018" xr:uid="{00000000-0005-0000-0000-0000674A0000}"/>
    <cellStyle name="Note 31 2 2" xfId="9019" xr:uid="{00000000-0005-0000-0000-0000684A0000}"/>
    <cellStyle name="Note 31 2 2 2" xfId="18434" xr:uid="{00000000-0005-0000-0000-0000694A0000}"/>
    <cellStyle name="Note 31 2 2_est. MEAT" xfId="24914" xr:uid="{00000000-0005-0000-0000-00006A4A0000}"/>
    <cellStyle name="Note 31 2 3" xfId="18433" xr:uid="{00000000-0005-0000-0000-00006B4A0000}"/>
    <cellStyle name="Note 31 2_2012-2019" xfId="12797" xr:uid="{00000000-0005-0000-0000-00006C4A0000}"/>
    <cellStyle name="Note 31 3" xfId="9020" xr:uid="{00000000-0005-0000-0000-00006D4A0000}"/>
    <cellStyle name="Note 31 3 2" xfId="18435" xr:uid="{00000000-0005-0000-0000-00006E4A0000}"/>
    <cellStyle name="Note 31 3_est. MEAT" xfId="24915" xr:uid="{00000000-0005-0000-0000-00006F4A0000}"/>
    <cellStyle name="Note 31 4" xfId="18432" xr:uid="{00000000-0005-0000-0000-0000704A0000}"/>
    <cellStyle name="Note 31_2012-2019" xfId="12796" xr:uid="{00000000-0005-0000-0000-0000714A0000}"/>
    <cellStyle name="Note 32" xfId="9021" xr:uid="{00000000-0005-0000-0000-0000724A0000}"/>
    <cellStyle name="Note 32 2" xfId="9022" xr:uid="{00000000-0005-0000-0000-0000734A0000}"/>
    <cellStyle name="Note 32 2 2" xfId="9023" xr:uid="{00000000-0005-0000-0000-0000744A0000}"/>
    <cellStyle name="Note 32 2 2 2" xfId="18438" xr:uid="{00000000-0005-0000-0000-0000754A0000}"/>
    <cellStyle name="Note 32 2 2_est. MEAT" xfId="24916" xr:uid="{00000000-0005-0000-0000-0000764A0000}"/>
    <cellStyle name="Note 32 2 3" xfId="18437" xr:uid="{00000000-0005-0000-0000-0000774A0000}"/>
    <cellStyle name="Note 32 2_2012-2019" xfId="12799" xr:uid="{00000000-0005-0000-0000-0000784A0000}"/>
    <cellStyle name="Note 32 3" xfId="9024" xr:uid="{00000000-0005-0000-0000-0000794A0000}"/>
    <cellStyle name="Note 32 3 2" xfId="18439" xr:uid="{00000000-0005-0000-0000-00007A4A0000}"/>
    <cellStyle name="Note 32 3_est. MEAT" xfId="24917" xr:uid="{00000000-0005-0000-0000-00007B4A0000}"/>
    <cellStyle name="Note 32 4" xfId="18436" xr:uid="{00000000-0005-0000-0000-00007C4A0000}"/>
    <cellStyle name="Note 32_2012-2019" xfId="12798" xr:uid="{00000000-0005-0000-0000-00007D4A0000}"/>
    <cellStyle name="Note 33" xfId="9025" xr:uid="{00000000-0005-0000-0000-00007E4A0000}"/>
    <cellStyle name="Note 33 2" xfId="9026" xr:uid="{00000000-0005-0000-0000-00007F4A0000}"/>
    <cellStyle name="Note 33 2 2" xfId="9027" xr:uid="{00000000-0005-0000-0000-0000804A0000}"/>
    <cellStyle name="Note 33 2 2 2" xfId="18442" xr:uid="{00000000-0005-0000-0000-0000814A0000}"/>
    <cellStyle name="Note 33 2 2_est. MEAT" xfId="24918" xr:uid="{00000000-0005-0000-0000-0000824A0000}"/>
    <cellStyle name="Note 33 2 3" xfId="18441" xr:uid="{00000000-0005-0000-0000-0000834A0000}"/>
    <cellStyle name="Note 33 2_2012-2019" xfId="12801" xr:uid="{00000000-0005-0000-0000-0000844A0000}"/>
    <cellStyle name="Note 33 3" xfId="9028" xr:uid="{00000000-0005-0000-0000-0000854A0000}"/>
    <cellStyle name="Note 33 3 2" xfId="18443" xr:uid="{00000000-0005-0000-0000-0000864A0000}"/>
    <cellStyle name="Note 33 3_est. MEAT" xfId="24919" xr:uid="{00000000-0005-0000-0000-0000874A0000}"/>
    <cellStyle name="Note 33 4" xfId="18440" xr:uid="{00000000-0005-0000-0000-0000884A0000}"/>
    <cellStyle name="Note 33_2012-2019" xfId="12800" xr:uid="{00000000-0005-0000-0000-0000894A0000}"/>
    <cellStyle name="Note 34" xfId="9029" xr:uid="{00000000-0005-0000-0000-00008A4A0000}"/>
    <cellStyle name="Note 34 2" xfId="9030" xr:uid="{00000000-0005-0000-0000-00008B4A0000}"/>
    <cellStyle name="Note 34 2 2" xfId="9031" xr:uid="{00000000-0005-0000-0000-00008C4A0000}"/>
    <cellStyle name="Note 34 2 2 2" xfId="18446" xr:uid="{00000000-0005-0000-0000-00008D4A0000}"/>
    <cellStyle name="Note 34 2 2_est. MEAT" xfId="24920" xr:uid="{00000000-0005-0000-0000-00008E4A0000}"/>
    <cellStyle name="Note 34 2 3" xfId="18445" xr:uid="{00000000-0005-0000-0000-00008F4A0000}"/>
    <cellStyle name="Note 34 2_2012-2019" xfId="12803" xr:uid="{00000000-0005-0000-0000-0000904A0000}"/>
    <cellStyle name="Note 34 3" xfId="9032" xr:uid="{00000000-0005-0000-0000-0000914A0000}"/>
    <cellStyle name="Note 34 3 2" xfId="18447" xr:uid="{00000000-0005-0000-0000-0000924A0000}"/>
    <cellStyle name="Note 34 3_est. MEAT" xfId="24921" xr:uid="{00000000-0005-0000-0000-0000934A0000}"/>
    <cellStyle name="Note 34 4" xfId="18444" xr:uid="{00000000-0005-0000-0000-0000944A0000}"/>
    <cellStyle name="Note 34_2012-2019" xfId="12802" xr:uid="{00000000-0005-0000-0000-0000954A0000}"/>
    <cellStyle name="Note 35" xfId="9033" xr:uid="{00000000-0005-0000-0000-0000964A0000}"/>
    <cellStyle name="Note 35 2" xfId="9034" xr:uid="{00000000-0005-0000-0000-0000974A0000}"/>
    <cellStyle name="Note 35 2 2" xfId="9035" xr:uid="{00000000-0005-0000-0000-0000984A0000}"/>
    <cellStyle name="Note 35 2 2 2" xfId="18450" xr:uid="{00000000-0005-0000-0000-0000994A0000}"/>
    <cellStyle name="Note 35 2 2_est. MEAT" xfId="24922" xr:uid="{00000000-0005-0000-0000-00009A4A0000}"/>
    <cellStyle name="Note 35 2 3" xfId="18449" xr:uid="{00000000-0005-0000-0000-00009B4A0000}"/>
    <cellStyle name="Note 35 2_2012-2019" xfId="12805" xr:uid="{00000000-0005-0000-0000-00009C4A0000}"/>
    <cellStyle name="Note 35 3" xfId="9036" xr:uid="{00000000-0005-0000-0000-00009D4A0000}"/>
    <cellStyle name="Note 35 3 2" xfId="18451" xr:uid="{00000000-0005-0000-0000-00009E4A0000}"/>
    <cellStyle name="Note 35 3_est. MEAT" xfId="24923" xr:uid="{00000000-0005-0000-0000-00009F4A0000}"/>
    <cellStyle name="Note 35 4" xfId="18448" xr:uid="{00000000-0005-0000-0000-0000A04A0000}"/>
    <cellStyle name="Note 35_2012-2019" xfId="12804" xr:uid="{00000000-0005-0000-0000-0000A14A0000}"/>
    <cellStyle name="Note 36" xfId="9037" xr:uid="{00000000-0005-0000-0000-0000A24A0000}"/>
    <cellStyle name="Note 36 2" xfId="9038" xr:uid="{00000000-0005-0000-0000-0000A34A0000}"/>
    <cellStyle name="Note 36 2 2" xfId="9039" xr:uid="{00000000-0005-0000-0000-0000A44A0000}"/>
    <cellStyle name="Note 36 2 2 2" xfId="18454" xr:uid="{00000000-0005-0000-0000-0000A54A0000}"/>
    <cellStyle name="Note 36 2 2_est. MEAT" xfId="24924" xr:uid="{00000000-0005-0000-0000-0000A64A0000}"/>
    <cellStyle name="Note 36 2 3" xfId="18453" xr:uid="{00000000-0005-0000-0000-0000A74A0000}"/>
    <cellStyle name="Note 36 2_2012-2019" xfId="12807" xr:uid="{00000000-0005-0000-0000-0000A84A0000}"/>
    <cellStyle name="Note 36 3" xfId="9040" xr:uid="{00000000-0005-0000-0000-0000A94A0000}"/>
    <cellStyle name="Note 36 3 2" xfId="18455" xr:uid="{00000000-0005-0000-0000-0000AA4A0000}"/>
    <cellStyle name="Note 36 3_est. MEAT" xfId="24925" xr:uid="{00000000-0005-0000-0000-0000AB4A0000}"/>
    <cellStyle name="Note 36 4" xfId="18452" xr:uid="{00000000-0005-0000-0000-0000AC4A0000}"/>
    <cellStyle name="Note 36_2012-2019" xfId="12806" xr:uid="{00000000-0005-0000-0000-0000AD4A0000}"/>
    <cellStyle name="Note 37" xfId="9041" xr:uid="{00000000-0005-0000-0000-0000AE4A0000}"/>
    <cellStyle name="Note 37 2" xfId="9042" xr:uid="{00000000-0005-0000-0000-0000AF4A0000}"/>
    <cellStyle name="Note 37 2 2" xfId="9043" xr:uid="{00000000-0005-0000-0000-0000B04A0000}"/>
    <cellStyle name="Note 37 2 2 2" xfId="18458" xr:uid="{00000000-0005-0000-0000-0000B14A0000}"/>
    <cellStyle name="Note 37 2 2_est. MEAT" xfId="24926" xr:uid="{00000000-0005-0000-0000-0000B24A0000}"/>
    <cellStyle name="Note 37 2 3" xfId="18457" xr:uid="{00000000-0005-0000-0000-0000B34A0000}"/>
    <cellStyle name="Note 37 2_2012-2019" xfId="12809" xr:uid="{00000000-0005-0000-0000-0000B44A0000}"/>
    <cellStyle name="Note 37 3" xfId="9044" xr:uid="{00000000-0005-0000-0000-0000B54A0000}"/>
    <cellStyle name="Note 37 3 2" xfId="18459" xr:uid="{00000000-0005-0000-0000-0000B64A0000}"/>
    <cellStyle name="Note 37 3_est. MEAT" xfId="24927" xr:uid="{00000000-0005-0000-0000-0000B74A0000}"/>
    <cellStyle name="Note 37 4" xfId="18456" xr:uid="{00000000-0005-0000-0000-0000B84A0000}"/>
    <cellStyle name="Note 37_2012-2019" xfId="12808" xr:uid="{00000000-0005-0000-0000-0000B94A0000}"/>
    <cellStyle name="Note 38" xfId="9045" xr:uid="{00000000-0005-0000-0000-0000BA4A0000}"/>
    <cellStyle name="Note 38 2" xfId="9046" xr:uid="{00000000-0005-0000-0000-0000BB4A0000}"/>
    <cellStyle name="Note 38 2 2" xfId="9047" xr:uid="{00000000-0005-0000-0000-0000BC4A0000}"/>
    <cellStyle name="Note 38 2 2 2" xfId="18462" xr:uid="{00000000-0005-0000-0000-0000BD4A0000}"/>
    <cellStyle name="Note 38 2 2_est. MEAT" xfId="24928" xr:uid="{00000000-0005-0000-0000-0000BE4A0000}"/>
    <cellStyle name="Note 38 2 3" xfId="18461" xr:uid="{00000000-0005-0000-0000-0000BF4A0000}"/>
    <cellStyle name="Note 38 2_2012-2019" xfId="12811" xr:uid="{00000000-0005-0000-0000-0000C04A0000}"/>
    <cellStyle name="Note 38 3" xfId="9048" xr:uid="{00000000-0005-0000-0000-0000C14A0000}"/>
    <cellStyle name="Note 38 3 2" xfId="18463" xr:uid="{00000000-0005-0000-0000-0000C24A0000}"/>
    <cellStyle name="Note 38 3_est. MEAT" xfId="24929" xr:uid="{00000000-0005-0000-0000-0000C34A0000}"/>
    <cellStyle name="Note 38 4" xfId="18460" xr:uid="{00000000-0005-0000-0000-0000C44A0000}"/>
    <cellStyle name="Note 38_2012-2019" xfId="12810" xr:uid="{00000000-0005-0000-0000-0000C54A0000}"/>
    <cellStyle name="Note 39" xfId="9049" xr:uid="{00000000-0005-0000-0000-0000C64A0000}"/>
    <cellStyle name="Note 39 2" xfId="9050" xr:uid="{00000000-0005-0000-0000-0000C74A0000}"/>
    <cellStyle name="Note 39 2 2" xfId="9051" xr:uid="{00000000-0005-0000-0000-0000C84A0000}"/>
    <cellStyle name="Note 39 2 2 2" xfId="18466" xr:uid="{00000000-0005-0000-0000-0000C94A0000}"/>
    <cellStyle name="Note 39 2 2_est. MEAT" xfId="24930" xr:uid="{00000000-0005-0000-0000-0000CA4A0000}"/>
    <cellStyle name="Note 39 2 3" xfId="18465" xr:uid="{00000000-0005-0000-0000-0000CB4A0000}"/>
    <cellStyle name="Note 39 2_2012-2019" xfId="12813" xr:uid="{00000000-0005-0000-0000-0000CC4A0000}"/>
    <cellStyle name="Note 39 3" xfId="9052" xr:uid="{00000000-0005-0000-0000-0000CD4A0000}"/>
    <cellStyle name="Note 39 3 2" xfId="18467" xr:uid="{00000000-0005-0000-0000-0000CE4A0000}"/>
    <cellStyle name="Note 39 3_est. MEAT" xfId="24931" xr:uid="{00000000-0005-0000-0000-0000CF4A0000}"/>
    <cellStyle name="Note 39 4" xfId="18464" xr:uid="{00000000-0005-0000-0000-0000D04A0000}"/>
    <cellStyle name="Note 39_2012-2019" xfId="12812" xr:uid="{00000000-0005-0000-0000-0000D14A0000}"/>
    <cellStyle name="Note 4" xfId="9053" xr:uid="{00000000-0005-0000-0000-0000D24A0000}"/>
    <cellStyle name="Note 4 2" xfId="9054" xr:uid="{00000000-0005-0000-0000-0000D34A0000}"/>
    <cellStyle name="Note 4 2 2" xfId="9055" xr:uid="{00000000-0005-0000-0000-0000D44A0000}"/>
    <cellStyle name="Note 4 2 2 2" xfId="9056" xr:uid="{00000000-0005-0000-0000-0000D54A0000}"/>
    <cellStyle name="Note 4 2 2 2 2" xfId="18471" xr:uid="{00000000-0005-0000-0000-0000D64A0000}"/>
    <cellStyle name="Note 4 2 2 2_est. MEAT" xfId="24932" xr:uid="{00000000-0005-0000-0000-0000D74A0000}"/>
    <cellStyle name="Note 4 2 2 3" xfId="18470" xr:uid="{00000000-0005-0000-0000-0000D84A0000}"/>
    <cellStyle name="Note 4 2 2_2012-2019" xfId="12816" xr:uid="{00000000-0005-0000-0000-0000D94A0000}"/>
    <cellStyle name="Note 4 2 3" xfId="9057" xr:uid="{00000000-0005-0000-0000-0000DA4A0000}"/>
    <cellStyle name="Note 4 2 3 2" xfId="18472" xr:uid="{00000000-0005-0000-0000-0000DB4A0000}"/>
    <cellStyle name="Note 4 2 3_est. MEAT" xfId="24933" xr:uid="{00000000-0005-0000-0000-0000DC4A0000}"/>
    <cellStyle name="Note 4 2 4" xfId="18469" xr:uid="{00000000-0005-0000-0000-0000DD4A0000}"/>
    <cellStyle name="Note 4 2_2012-2019" xfId="12815" xr:uid="{00000000-0005-0000-0000-0000DE4A0000}"/>
    <cellStyle name="Note 4 3" xfId="9058" xr:uid="{00000000-0005-0000-0000-0000DF4A0000}"/>
    <cellStyle name="Note 4 3 2" xfId="9059" xr:uid="{00000000-0005-0000-0000-0000E04A0000}"/>
    <cellStyle name="Note 4 3 2 2" xfId="18474" xr:uid="{00000000-0005-0000-0000-0000E14A0000}"/>
    <cellStyle name="Note 4 3 2_est. MEAT" xfId="24934" xr:uid="{00000000-0005-0000-0000-0000E24A0000}"/>
    <cellStyle name="Note 4 3 3" xfId="18473" xr:uid="{00000000-0005-0000-0000-0000E34A0000}"/>
    <cellStyle name="Note 4 3_2012-2019" xfId="12817" xr:uid="{00000000-0005-0000-0000-0000E44A0000}"/>
    <cellStyle name="Note 4 4" xfId="9060" xr:uid="{00000000-0005-0000-0000-0000E54A0000}"/>
    <cellStyle name="Note 4 4 2" xfId="18475" xr:uid="{00000000-0005-0000-0000-0000E64A0000}"/>
    <cellStyle name="Note 4 4_est. MEAT" xfId="24935" xr:uid="{00000000-0005-0000-0000-0000E74A0000}"/>
    <cellStyle name="Note 4 5" xfId="18468" xr:uid="{00000000-0005-0000-0000-0000E84A0000}"/>
    <cellStyle name="Note 4_2012-2019" xfId="12814" xr:uid="{00000000-0005-0000-0000-0000E94A0000}"/>
    <cellStyle name="Note 40" xfId="9061" xr:uid="{00000000-0005-0000-0000-0000EA4A0000}"/>
    <cellStyle name="Note 40 2" xfId="9062" xr:uid="{00000000-0005-0000-0000-0000EB4A0000}"/>
    <cellStyle name="Note 40 2 2" xfId="9063" xr:uid="{00000000-0005-0000-0000-0000EC4A0000}"/>
    <cellStyle name="Note 40 2 2 2" xfId="18478" xr:uid="{00000000-0005-0000-0000-0000ED4A0000}"/>
    <cellStyle name="Note 40 2 2_est. MEAT" xfId="24936" xr:uid="{00000000-0005-0000-0000-0000EE4A0000}"/>
    <cellStyle name="Note 40 2 3" xfId="18477" xr:uid="{00000000-0005-0000-0000-0000EF4A0000}"/>
    <cellStyle name="Note 40 2_2012-2019" xfId="12819" xr:uid="{00000000-0005-0000-0000-0000F04A0000}"/>
    <cellStyle name="Note 40 3" xfId="9064" xr:uid="{00000000-0005-0000-0000-0000F14A0000}"/>
    <cellStyle name="Note 40 3 2" xfId="18479" xr:uid="{00000000-0005-0000-0000-0000F24A0000}"/>
    <cellStyle name="Note 40 3_est. MEAT" xfId="24937" xr:uid="{00000000-0005-0000-0000-0000F34A0000}"/>
    <cellStyle name="Note 40 4" xfId="18476" xr:uid="{00000000-0005-0000-0000-0000F44A0000}"/>
    <cellStyle name="Note 40_2012-2019" xfId="12818" xr:uid="{00000000-0005-0000-0000-0000F54A0000}"/>
    <cellStyle name="Note 41" xfId="9065" xr:uid="{00000000-0005-0000-0000-0000F64A0000}"/>
    <cellStyle name="Note 41 2" xfId="9066" xr:uid="{00000000-0005-0000-0000-0000F74A0000}"/>
    <cellStyle name="Note 41 2 2" xfId="9067" xr:uid="{00000000-0005-0000-0000-0000F84A0000}"/>
    <cellStyle name="Note 41 2 2 2" xfId="18482" xr:uid="{00000000-0005-0000-0000-0000F94A0000}"/>
    <cellStyle name="Note 41 2 2_est. MEAT" xfId="24938" xr:uid="{00000000-0005-0000-0000-0000FA4A0000}"/>
    <cellStyle name="Note 41 2 3" xfId="18481" xr:uid="{00000000-0005-0000-0000-0000FB4A0000}"/>
    <cellStyle name="Note 41 2_2012-2019" xfId="12821" xr:uid="{00000000-0005-0000-0000-0000FC4A0000}"/>
    <cellStyle name="Note 41 3" xfId="9068" xr:uid="{00000000-0005-0000-0000-0000FD4A0000}"/>
    <cellStyle name="Note 41 3 2" xfId="18483" xr:uid="{00000000-0005-0000-0000-0000FE4A0000}"/>
    <cellStyle name="Note 41 3_est. MEAT" xfId="24939" xr:uid="{00000000-0005-0000-0000-0000FF4A0000}"/>
    <cellStyle name="Note 41 4" xfId="18480" xr:uid="{00000000-0005-0000-0000-0000004B0000}"/>
    <cellStyle name="Note 41_2012-2019" xfId="12820" xr:uid="{00000000-0005-0000-0000-0000014B0000}"/>
    <cellStyle name="Note 42" xfId="9069" xr:uid="{00000000-0005-0000-0000-0000024B0000}"/>
    <cellStyle name="Note 42 2" xfId="9070" xr:uid="{00000000-0005-0000-0000-0000034B0000}"/>
    <cellStyle name="Note 42 2 2" xfId="9071" xr:uid="{00000000-0005-0000-0000-0000044B0000}"/>
    <cellStyle name="Note 42 2 2 2" xfId="18486" xr:uid="{00000000-0005-0000-0000-0000054B0000}"/>
    <cellStyle name="Note 42 2 2_est. MEAT" xfId="24940" xr:uid="{00000000-0005-0000-0000-0000064B0000}"/>
    <cellStyle name="Note 42 2 3" xfId="18485" xr:uid="{00000000-0005-0000-0000-0000074B0000}"/>
    <cellStyle name="Note 42 2_2012-2019" xfId="12823" xr:uid="{00000000-0005-0000-0000-0000084B0000}"/>
    <cellStyle name="Note 42 3" xfId="9072" xr:uid="{00000000-0005-0000-0000-0000094B0000}"/>
    <cellStyle name="Note 42 3 2" xfId="18487" xr:uid="{00000000-0005-0000-0000-00000A4B0000}"/>
    <cellStyle name="Note 42 3_est. MEAT" xfId="24941" xr:uid="{00000000-0005-0000-0000-00000B4B0000}"/>
    <cellStyle name="Note 42 4" xfId="18484" xr:uid="{00000000-0005-0000-0000-00000C4B0000}"/>
    <cellStyle name="Note 42_2012-2019" xfId="12822" xr:uid="{00000000-0005-0000-0000-00000D4B0000}"/>
    <cellStyle name="Note 43" xfId="9073" xr:uid="{00000000-0005-0000-0000-00000E4B0000}"/>
    <cellStyle name="Note 43 2" xfId="9074" xr:uid="{00000000-0005-0000-0000-00000F4B0000}"/>
    <cellStyle name="Note 43 2 2" xfId="9075" xr:uid="{00000000-0005-0000-0000-0000104B0000}"/>
    <cellStyle name="Note 43 2 2 2" xfId="18490" xr:uid="{00000000-0005-0000-0000-0000114B0000}"/>
    <cellStyle name="Note 43 2 2_est. MEAT" xfId="24942" xr:uid="{00000000-0005-0000-0000-0000124B0000}"/>
    <cellStyle name="Note 43 2 3" xfId="18489" xr:uid="{00000000-0005-0000-0000-0000134B0000}"/>
    <cellStyle name="Note 43 2_2012-2019" xfId="12825" xr:uid="{00000000-0005-0000-0000-0000144B0000}"/>
    <cellStyle name="Note 43 3" xfId="9076" xr:uid="{00000000-0005-0000-0000-0000154B0000}"/>
    <cellStyle name="Note 43 3 2" xfId="18491" xr:uid="{00000000-0005-0000-0000-0000164B0000}"/>
    <cellStyle name="Note 43 3_est. MEAT" xfId="24943" xr:uid="{00000000-0005-0000-0000-0000174B0000}"/>
    <cellStyle name="Note 43 4" xfId="18488" xr:uid="{00000000-0005-0000-0000-0000184B0000}"/>
    <cellStyle name="Note 43_2012-2019" xfId="12824" xr:uid="{00000000-0005-0000-0000-0000194B0000}"/>
    <cellStyle name="Note 44" xfId="9077" xr:uid="{00000000-0005-0000-0000-00001A4B0000}"/>
    <cellStyle name="Note 44 2" xfId="9078" xr:uid="{00000000-0005-0000-0000-00001B4B0000}"/>
    <cellStyle name="Note 44 2 2" xfId="9079" xr:uid="{00000000-0005-0000-0000-00001C4B0000}"/>
    <cellStyle name="Note 44 2 2 2" xfId="18494" xr:uid="{00000000-0005-0000-0000-00001D4B0000}"/>
    <cellStyle name="Note 44 2 2_est. MEAT" xfId="24944" xr:uid="{00000000-0005-0000-0000-00001E4B0000}"/>
    <cellStyle name="Note 44 2 3" xfId="18493" xr:uid="{00000000-0005-0000-0000-00001F4B0000}"/>
    <cellStyle name="Note 44 2_2012-2019" xfId="12827" xr:uid="{00000000-0005-0000-0000-0000204B0000}"/>
    <cellStyle name="Note 44 3" xfId="9080" xr:uid="{00000000-0005-0000-0000-0000214B0000}"/>
    <cellStyle name="Note 44 3 2" xfId="18495" xr:uid="{00000000-0005-0000-0000-0000224B0000}"/>
    <cellStyle name="Note 44 3_est. MEAT" xfId="24945" xr:uid="{00000000-0005-0000-0000-0000234B0000}"/>
    <cellStyle name="Note 44 4" xfId="18492" xr:uid="{00000000-0005-0000-0000-0000244B0000}"/>
    <cellStyle name="Note 44_2012-2019" xfId="12826" xr:uid="{00000000-0005-0000-0000-0000254B0000}"/>
    <cellStyle name="Note 45" xfId="9081" xr:uid="{00000000-0005-0000-0000-0000264B0000}"/>
    <cellStyle name="Note 45 2" xfId="9082" xr:uid="{00000000-0005-0000-0000-0000274B0000}"/>
    <cellStyle name="Note 45 2 2" xfId="9083" xr:uid="{00000000-0005-0000-0000-0000284B0000}"/>
    <cellStyle name="Note 45 2 2 2" xfId="18498" xr:uid="{00000000-0005-0000-0000-0000294B0000}"/>
    <cellStyle name="Note 45 2 2_est. MEAT" xfId="24946" xr:uid="{00000000-0005-0000-0000-00002A4B0000}"/>
    <cellStyle name="Note 45 2 3" xfId="18497" xr:uid="{00000000-0005-0000-0000-00002B4B0000}"/>
    <cellStyle name="Note 45 2_2012-2019" xfId="12829" xr:uid="{00000000-0005-0000-0000-00002C4B0000}"/>
    <cellStyle name="Note 45 3" xfId="9084" xr:uid="{00000000-0005-0000-0000-00002D4B0000}"/>
    <cellStyle name="Note 45 3 2" xfId="18499" xr:uid="{00000000-0005-0000-0000-00002E4B0000}"/>
    <cellStyle name="Note 45 3_est. MEAT" xfId="24947" xr:uid="{00000000-0005-0000-0000-00002F4B0000}"/>
    <cellStyle name="Note 45 4" xfId="18496" xr:uid="{00000000-0005-0000-0000-0000304B0000}"/>
    <cellStyle name="Note 45_2012-2019" xfId="12828" xr:uid="{00000000-0005-0000-0000-0000314B0000}"/>
    <cellStyle name="Note 46" xfId="9085" xr:uid="{00000000-0005-0000-0000-0000324B0000}"/>
    <cellStyle name="Note 46 2" xfId="9086" xr:uid="{00000000-0005-0000-0000-0000334B0000}"/>
    <cellStyle name="Note 46 2 2" xfId="9087" xr:uid="{00000000-0005-0000-0000-0000344B0000}"/>
    <cellStyle name="Note 46 2 2 2" xfId="18502" xr:uid="{00000000-0005-0000-0000-0000354B0000}"/>
    <cellStyle name="Note 46 2 2_est. MEAT" xfId="24948" xr:uid="{00000000-0005-0000-0000-0000364B0000}"/>
    <cellStyle name="Note 46 2 3" xfId="18501" xr:uid="{00000000-0005-0000-0000-0000374B0000}"/>
    <cellStyle name="Note 46 2_2012-2019" xfId="12831" xr:uid="{00000000-0005-0000-0000-0000384B0000}"/>
    <cellStyle name="Note 46 3" xfId="9088" xr:uid="{00000000-0005-0000-0000-0000394B0000}"/>
    <cellStyle name="Note 46 3 2" xfId="18503" xr:uid="{00000000-0005-0000-0000-00003A4B0000}"/>
    <cellStyle name="Note 46 3_est. MEAT" xfId="24949" xr:uid="{00000000-0005-0000-0000-00003B4B0000}"/>
    <cellStyle name="Note 46 4" xfId="18500" xr:uid="{00000000-0005-0000-0000-00003C4B0000}"/>
    <cellStyle name="Note 46_2012-2019" xfId="12830" xr:uid="{00000000-0005-0000-0000-00003D4B0000}"/>
    <cellStyle name="Note 47" xfId="9089" xr:uid="{00000000-0005-0000-0000-00003E4B0000}"/>
    <cellStyle name="Note 47 2" xfId="9090" xr:uid="{00000000-0005-0000-0000-00003F4B0000}"/>
    <cellStyle name="Note 47 2 2" xfId="9091" xr:uid="{00000000-0005-0000-0000-0000404B0000}"/>
    <cellStyle name="Note 47 2 2 2" xfId="18506" xr:uid="{00000000-0005-0000-0000-0000414B0000}"/>
    <cellStyle name="Note 47 2 2_est. MEAT" xfId="24950" xr:uid="{00000000-0005-0000-0000-0000424B0000}"/>
    <cellStyle name="Note 47 2 3" xfId="18505" xr:uid="{00000000-0005-0000-0000-0000434B0000}"/>
    <cellStyle name="Note 47 2_2012-2019" xfId="12833" xr:uid="{00000000-0005-0000-0000-0000444B0000}"/>
    <cellStyle name="Note 47 3" xfId="9092" xr:uid="{00000000-0005-0000-0000-0000454B0000}"/>
    <cellStyle name="Note 47 3 2" xfId="18507" xr:uid="{00000000-0005-0000-0000-0000464B0000}"/>
    <cellStyle name="Note 47 3_est. MEAT" xfId="24951" xr:uid="{00000000-0005-0000-0000-0000474B0000}"/>
    <cellStyle name="Note 47 4" xfId="18504" xr:uid="{00000000-0005-0000-0000-0000484B0000}"/>
    <cellStyle name="Note 47_2012-2019" xfId="12832" xr:uid="{00000000-0005-0000-0000-0000494B0000}"/>
    <cellStyle name="Note 48" xfId="9093" xr:uid="{00000000-0005-0000-0000-00004A4B0000}"/>
    <cellStyle name="Note 48 2" xfId="9094" xr:uid="{00000000-0005-0000-0000-00004B4B0000}"/>
    <cellStyle name="Note 48 2 2" xfId="9095" xr:uid="{00000000-0005-0000-0000-00004C4B0000}"/>
    <cellStyle name="Note 48 2 2 2" xfId="18510" xr:uid="{00000000-0005-0000-0000-00004D4B0000}"/>
    <cellStyle name="Note 48 2 2_est. MEAT" xfId="24952" xr:uid="{00000000-0005-0000-0000-00004E4B0000}"/>
    <cellStyle name="Note 48 2 3" xfId="18509" xr:uid="{00000000-0005-0000-0000-00004F4B0000}"/>
    <cellStyle name="Note 48 2_2012-2019" xfId="12835" xr:uid="{00000000-0005-0000-0000-0000504B0000}"/>
    <cellStyle name="Note 48 3" xfId="9096" xr:uid="{00000000-0005-0000-0000-0000514B0000}"/>
    <cellStyle name="Note 48 3 2" xfId="18511" xr:uid="{00000000-0005-0000-0000-0000524B0000}"/>
    <cellStyle name="Note 48 3_est. MEAT" xfId="24953" xr:uid="{00000000-0005-0000-0000-0000534B0000}"/>
    <cellStyle name="Note 48 4" xfId="18508" xr:uid="{00000000-0005-0000-0000-0000544B0000}"/>
    <cellStyle name="Note 48_2012-2019" xfId="12834" xr:uid="{00000000-0005-0000-0000-0000554B0000}"/>
    <cellStyle name="Note 49" xfId="9097" xr:uid="{00000000-0005-0000-0000-0000564B0000}"/>
    <cellStyle name="Note 49 2" xfId="9098" xr:uid="{00000000-0005-0000-0000-0000574B0000}"/>
    <cellStyle name="Note 49 2 2" xfId="9099" xr:uid="{00000000-0005-0000-0000-0000584B0000}"/>
    <cellStyle name="Note 49 2 2 2" xfId="18514" xr:uid="{00000000-0005-0000-0000-0000594B0000}"/>
    <cellStyle name="Note 49 2 2_est. MEAT" xfId="24954" xr:uid="{00000000-0005-0000-0000-00005A4B0000}"/>
    <cellStyle name="Note 49 2 3" xfId="18513" xr:uid="{00000000-0005-0000-0000-00005B4B0000}"/>
    <cellStyle name="Note 49 2_2012-2019" xfId="12837" xr:uid="{00000000-0005-0000-0000-00005C4B0000}"/>
    <cellStyle name="Note 49 3" xfId="9100" xr:uid="{00000000-0005-0000-0000-00005D4B0000}"/>
    <cellStyle name="Note 49 3 2" xfId="18515" xr:uid="{00000000-0005-0000-0000-00005E4B0000}"/>
    <cellStyle name="Note 49 3_est. MEAT" xfId="24955" xr:uid="{00000000-0005-0000-0000-00005F4B0000}"/>
    <cellStyle name="Note 49 4" xfId="18512" xr:uid="{00000000-0005-0000-0000-0000604B0000}"/>
    <cellStyle name="Note 49_2012-2019" xfId="12836" xr:uid="{00000000-0005-0000-0000-0000614B0000}"/>
    <cellStyle name="Note 5" xfId="9101" xr:uid="{00000000-0005-0000-0000-0000624B0000}"/>
    <cellStyle name="Note 5 2" xfId="9102" xr:uid="{00000000-0005-0000-0000-0000634B0000}"/>
    <cellStyle name="Note 5 2 2" xfId="9103" xr:uid="{00000000-0005-0000-0000-0000644B0000}"/>
    <cellStyle name="Note 5 2 2 2" xfId="9104" xr:uid="{00000000-0005-0000-0000-0000654B0000}"/>
    <cellStyle name="Note 5 2 2 2 2" xfId="18519" xr:uid="{00000000-0005-0000-0000-0000664B0000}"/>
    <cellStyle name="Note 5 2 2 2_est. MEAT" xfId="24956" xr:uid="{00000000-0005-0000-0000-0000674B0000}"/>
    <cellStyle name="Note 5 2 2 3" xfId="18518" xr:uid="{00000000-0005-0000-0000-0000684B0000}"/>
    <cellStyle name="Note 5 2 2_2012-2019" xfId="12840" xr:uid="{00000000-0005-0000-0000-0000694B0000}"/>
    <cellStyle name="Note 5 2 3" xfId="9105" xr:uid="{00000000-0005-0000-0000-00006A4B0000}"/>
    <cellStyle name="Note 5 2 3 2" xfId="18520" xr:uid="{00000000-0005-0000-0000-00006B4B0000}"/>
    <cellStyle name="Note 5 2 3_est. MEAT" xfId="24957" xr:uid="{00000000-0005-0000-0000-00006C4B0000}"/>
    <cellStyle name="Note 5 2 4" xfId="18517" xr:uid="{00000000-0005-0000-0000-00006D4B0000}"/>
    <cellStyle name="Note 5 2_2012-2019" xfId="12839" xr:uid="{00000000-0005-0000-0000-00006E4B0000}"/>
    <cellStyle name="Note 5 3" xfId="9106" xr:uid="{00000000-0005-0000-0000-00006F4B0000}"/>
    <cellStyle name="Note 5 3 2" xfId="9107" xr:uid="{00000000-0005-0000-0000-0000704B0000}"/>
    <cellStyle name="Note 5 3 2 2" xfId="18522" xr:uid="{00000000-0005-0000-0000-0000714B0000}"/>
    <cellStyle name="Note 5 3 2_est. MEAT" xfId="24958" xr:uid="{00000000-0005-0000-0000-0000724B0000}"/>
    <cellStyle name="Note 5 3 3" xfId="18521" xr:uid="{00000000-0005-0000-0000-0000734B0000}"/>
    <cellStyle name="Note 5 3_2012-2019" xfId="12841" xr:uid="{00000000-0005-0000-0000-0000744B0000}"/>
    <cellStyle name="Note 5 4" xfId="9108" xr:uid="{00000000-0005-0000-0000-0000754B0000}"/>
    <cellStyle name="Note 5 4 2" xfId="18523" xr:uid="{00000000-0005-0000-0000-0000764B0000}"/>
    <cellStyle name="Note 5 4_est. MEAT" xfId="24959" xr:uid="{00000000-0005-0000-0000-0000774B0000}"/>
    <cellStyle name="Note 5 5" xfId="18516" xr:uid="{00000000-0005-0000-0000-0000784B0000}"/>
    <cellStyle name="Note 5_2012-2019" xfId="12838" xr:uid="{00000000-0005-0000-0000-0000794B0000}"/>
    <cellStyle name="Note 50" xfId="9109" xr:uid="{00000000-0005-0000-0000-00007A4B0000}"/>
    <cellStyle name="Note 50 2" xfId="9110" xr:uid="{00000000-0005-0000-0000-00007B4B0000}"/>
    <cellStyle name="Note 50 2 2" xfId="9111" xr:uid="{00000000-0005-0000-0000-00007C4B0000}"/>
    <cellStyle name="Note 50 2 2 2" xfId="18526" xr:uid="{00000000-0005-0000-0000-00007D4B0000}"/>
    <cellStyle name="Note 50 2 2_est. MEAT" xfId="24960" xr:uid="{00000000-0005-0000-0000-00007E4B0000}"/>
    <cellStyle name="Note 50 2 3" xfId="18525" xr:uid="{00000000-0005-0000-0000-00007F4B0000}"/>
    <cellStyle name="Note 50 2_2012-2019" xfId="12843" xr:uid="{00000000-0005-0000-0000-0000804B0000}"/>
    <cellStyle name="Note 50 3" xfId="9112" xr:uid="{00000000-0005-0000-0000-0000814B0000}"/>
    <cellStyle name="Note 50 3 2" xfId="18527" xr:uid="{00000000-0005-0000-0000-0000824B0000}"/>
    <cellStyle name="Note 50 3_est. MEAT" xfId="24961" xr:uid="{00000000-0005-0000-0000-0000834B0000}"/>
    <cellStyle name="Note 50 4" xfId="18524" xr:uid="{00000000-0005-0000-0000-0000844B0000}"/>
    <cellStyle name="Note 50_2012-2019" xfId="12842" xr:uid="{00000000-0005-0000-0000-0000854B0000}"/>
    <cellStyle name="Note 51" xfId="9113" xr:uid="{00000000-0005-0000-0000-0000864B0000}"/>
    <cellStyle name="Note 51 2" xfId="9114" xr:uid="{00000000-0005-0000-0000-0000874B0000}"/>
    <cellStyle name="Note 51 2 2" xfId="9115" xr:uid="{00000000-0005-0000-0000-0000884B0000}"/>
    <cellStyle name="Note 51 2 2 2" xfId="18530" xr:uid="{00000000-0005-0000-0000-0000894B0000}"/>
    <cellStyle name="Note 51 2 2_est. MEAT" xfId="24962" xr:uid="{00000000-0005-0000-0000-00008A4B0000}"/>
    <cellStyle name="Note 51 2 3" xfId="18529" xr:uid="{00000000-0005-0000-0000-00008B4B0000}"/>
    <cellStyle name="Note 51 2_2012-2019" xfId="12845" xr:uid="{00000000-0005-0000-0000-00008C4B0000}"/>
    <cellStyle name="Note 51 3" xfId="9116" xr:uid="{00000000-0005-0000-0000-00008D4B0000}"/>
    <cellStyle name="Note 51 3 2" xfId="18531" xr:uid="{00000000-0005-0000-0000-00008E4B0000}"/>
    <cellStyle name="Note 51 3_est. MEAT" xfId="24963" xr:uid="{00000000-0005-0000-0000-00008F4B0000}"/>
    <cellStyle name="Note 51 4" xfId="18528" xr:uid="{00000000-0005-0000-0000-0000904B0000}"/>
    <cellStyle name="Note 51_2012-2019" xfId="12844" xr:uid="{00000000-0005-0000-0000-0000914B0000}"/>
    <cellStyle name="Note 52" xfId="9117" xr:uid="{00000000-0005-0000-0000-0000924B0000}"/>
    <cellStyle name="Note 52 2" xfId="9118" xr:uid="{00000000-0005-0000-0000-0000934B0000}"/>
    <cellStyle name="Note 52 2 2" xfId="9119" xr:uid="{00000000-0005-0000-0000-0000944B0000}"/>
    <cellStyle name="Note 52 2 2 2" xfId="18534" xr:uid="{00000000-0005-0000-0000-0000954B0000}"/>
    <cellStyle name="Note 52 2 2_est. MEAT" xfId="24964" xr:uid="{00000000-0005-0000-0000-0000964B0000}"/>
    <cellStyle name="Note 52 2 3" xfId="18533" xr:uid="{00000000-0005-0000-0000-0000974B0000}"/>
    <cellStyle name="Note 52 2_2012-2019" xfId="12847" xr:uid="{00000000-0005-0000-0000-0000984B0000}"/>
    <cellStyle name="Note 52 3" xfId="9120" xr:uid="{00000000-0005-0000-0000-0000994B0000}"/>
    <cellStyle name="Note 52 3 2" xfId="18535" xr:uid="{00000000-0005-0000-0000-00009A4B0000}"/>
    <cellStyle name="Note 52 3_est. MEAT" xfId="24965" xr:uid="{00000000-0005-0000-0000-00009B4B0000}"/>
    <cellStyle name="Note 52 4" xfId="18532" xr:uid="{00000000-0005-0000-0000-00009C4B0000}"/>
    <cellStyle name="Note 52_2012-2019" xfId="12846" xr:uid="{00000000-0005-0000-0000-00009D4B0000}"/>
    <cellStyle name="Note 53" xfId="9121" xr:uid="{00000000-0005-0000-0000-00009E4B0000}"/>
    <cellStyle name="Note 53 2" xfId="9122" xr:uid="{00000000-0005-0000-0000-00009F4B0000}"/>
    <cellStyle name="Note 53 2 2" xfId="9123" xr:uid="{00000000-0005-0000-0000-0000A04B0000}"/>
    <cellStyle name="Note 53 2 2 2" xfId="18538" xr:uid="{00000000-0005-0000-0000-0000A14B0000}"/>
    <cellStyle name="Note 53 2 2_est. MEAT" xfId="24966" xr:uid="{00000000-0005-0000-0000-0000A24B0000}"/>
    <cellStyle name="Note 53 2 3" xfId="18537" xr:uid="{00000000-0005-0000-0000-0000A34B0000}"/>
    <cellStyle name="Note 53 2_2012-2019" xfId="12849" xr:uid="{00000000-0005-0000-0000-0000A44B0000}"/>
    <cellStyle name="Note 53 3" xfId="9124" xr:uid="{00000000-0005-0000-0000-0000A54B0000}"/>
    <cellStyle name="Note 53 3 2" xfId="18539" xr:uid="{00000000-0005-0000-0000-0000A64B0000}"/>
    <cellStyle name="Note 53 3_est. MEAT" xfId="24967" xr:uid="{00000000-0005-0000-0000-0000A74B0000}"/>
    <cellStyle name="Note 53 4" xfId="18536" xr:uid="{00000000-0005-0000-0000-0000A84B0000}"/>
    <cellStyle name="Note 53_2012-2019" xfId="12848" xr:uid="{00000000-0005-0000-0000-0000A94B0000}"/>
    <cellStyle name="Note 54" xfId="9125" xr:uid="{00000000-0005-0000-0000-0000AA4B0000}"/>
    <cellStyle name="Note 54 2" xfId="9126" xr:uid="{00000000-0005-0000-0000-0000AB4B0000}"/>
    <cellStyle name="Note 54 2 2" xfId="9127" xr:uid="{00000000-0005-0000-0000-0000AC4B0000}"/>
    <cellStyle name="Note 54 2 2 2" xfId="18542" xr:uid="{00000000-0005-0000-0000-0000AD4B0000}"/>
    <cellStyle name="Note 54 2 2_est. MEAT" xfId="24968" xr:uid="{00000000-0005-0000-0000-0000AE4B0000}"/>
    <cellStyle name="Note 54 2 3" xfId="18541" xr:uid="{00000000-0005-0000-0000-0000AF4B0000}"/>
    <cellStyle name="Note 54 2_2012-2019" xfId="12851" xr:uid="{00000000-0005-0000-0000-0000B04B0000}"/>
    <cellStyle name="Note 54 3" xfId="9128" xr:uid="{00000000-0005-0000-0000-0000B14B0000}"/>
    <cellStyle name="Note 54 3 2" xfId="18543" xr:uid="{00000000-0005-0000-0000-0000B24B0000}"/>
    <cellStyle name="Note 54 3_est. MEAT" xfId="24969" xr:uid="{00000000-0005-0000-0000-0000B34B0000}"/>
    <cellStyle name="Note 54 4" xfId="18540" xr:uid="{00000000-0005-0000-0000-0000B44B0000}"/>
    <cellStyle name="Note 54_2012-2019" xfId="12850" xr:uid="{00000000-0005-0000-0000-0000B54B0000}"/>
    <cellStyle name="Note 55" xfId="9129" xr:uid="{00000000-0005-0000-0000-0000B64B0000}"/>
    <cellStyle name="Note 55 2" xfId="9130" xr:uid="{00000000-0005-0000-0000-0000B74B0000}"/>
    <cellStyle name="Note 55 2 2" xfId="9131" xr:uid="{00000000-0005-0000-0000-0000B84B0000}"/>
    <cellStyle name="Note 55 2 2 2" xfId="18546" xr:uid="{00000000-0005-0000-0000-0000B94B0000}"/>
    <cellStyle name="Note 55 2 2_est. MEAT" xfId="24970" xr:uid="{00000000-0005-0000-0000-0000BA4B0000}"/>
    <cellStyle name="Note 55 2 3" xfId="18545" xr:uid="{00000000-0005-0000-0000-0000BB4B0000}"/>
    <cellStyle name="Note 55 2_2012-2019" xfId="12853" xr:uid="{00000000-0005-0000-0000-0000BC4B0000}"/>
    <cellStyle name="Note 55 3" xfId="9132" xr:uid="{00000000-0005-0000-0000-0000BD4B0000}"/>
    <cellStyle name="Note 55 3 2" xfId="18547" xr:uid="{00000000-0005-0000-0000-0000BE4B0000}"/>
    <cellStyle name="Note 55 3_est. MEAT" xfId="24971" xr:uid="{00000000-0005-0000-0000-0000BF4B0000}"/>
    <cellStyle name="Note 55 4" xfId="18544" xr:uid="{00000000-0005-0000-0000-0000C04B0000}"/>
    <cellStyle name="Note 55_2012-2019" xfId="12852" xr:uid="{00000000-0005-0000-0000-0000C14B0000}"/>
    <cellStyle name="Note 56" xfId="9133" xr:uid="{00000000-0005-0000-0000-0000C24B0000}"/>
    <cellStyle name="Note 56 2" xfId="9134" xr:uid="{00000000-0005-0000-0000-0000C34B0000}"/>
    <cellStyle name="Note 56 2 2" xfId="9135" xr:uid="{00000000-0005-0000-0000-0000C44B0000}"/>
    <cellStyle name="Note 56 2 2 2" xfId="18550" xr:uid="{00000000-0005-0000-0000-0000C54B0000}"/>
    <cellStyle name="Note 56 2 2_est. MEAT" xfId="24972" xr:uid="{00000000-0005-0000-0000-0000C64B0000}"/>
    <cellStyle name="Note 56 2 3" xfId="18549" xr:uid="{00000000-0005-0000-0000-0000C74B0000}"/>
    <cellStyle name="Note 56 2_2012-2019" xfId="12855" xr:uid="{00000000-0005-0000-0000-0000C84B0000}"/>
    <cellStyle name="Note 56 3" xfId="9136" xr:uid="{00000000-0005-0000-0000-0000C94B0000}"/>
    <cellStyle name="Note 56 3 2" xfId="18551" xr:uid="{00000000-0005-0000-0000-0000CA4B0000}"/>
    <cellStyle name="Note 56 3_est. MEAT" xfId="24973" xr:uid="{00000000-0005-0000-0000-0000CB4B0000}"/>
    <cellStyle name="Note 56 4" xfId="18548" xr:uid="{00000000-0005-0000-0000-0000CC4B0000}"/>
    <cellStyle name="Note 56_2012-2019" xfId="12854" xr:uid="{00000000-0005-0000-0000-0000CD4B0000}"/>
    <cellStyle name="Note 57" xfId="9137" xr:uid="{00000000-0005-0000-0000-0000CE4B0000}"/>
    <cellStyle name="Note 57 2" xfId="9138" xr:uid="{00000000-0005-0000-0000-0000CF4B0000}"/>
    <cellStyle name="Note 57 2 2" xfId="9139" xr:uid="{00000000-0005-0000-0000-0000D04B0000}"/>
    <cellStyle name="Note 57 2 2 2" xfId="18554" xr:uid="{00000000-0005-0000-0000-0000D14B0000}"/>
    <cellStyle name="Note 57 2 2_est. MEAT" xfId="24974" xr:uid="{00000000-0005-0000-0000-0000D24B0000}"/>
    <cellStyle name="Note 57 2 3" xfId="18553" xr:uid="{00000000-0005-0000-0000-0000D34B0000}"/>
    <cellStyle name="Note 57 2_2012-2019" xfId="12857" xr:uid="{00000000-0005-0000-0000-0000D44B0000}"/>
    <cellStyle name="Note 57 3" xfId="9140" xr:uid="{00000000-0005-0000-0000-0000D54B0000}"/>
    <cellStyle name="Note 57 3 2" xfId="18555" xr:uid="{00000000-0005-0000-0000-0000D64B0000}"/>
    <cellStyle name="Note 57 3_est. MEAT" xfId="24975" xr:uid="{00000000-0005-0000-0000-0000D74B0000}"/>
    <cellStyle name="Note 57 4" xfId="18552" xr:uid="{00000000-0005-0000-0000-0000D84B0000}"/>
    <cellStyle name="Note 57_2012-2019" xfId="12856" xr:uid="{00000000-0005-0000-0000-0000D94B0000}"/>
    <cellStyle name="Note 58" xfId="9141" xr:uid="{00000000-0005-0000-0000-0000DA4B0000}"/>
    <cellStyle name="Note 58 2" xfId="9142" xr:uid="{00000000-0005-0000-0000-0000DB4B0000}"/>
    <cellStyle name="Note 58 2 2" xfId="9143" xr:uid="{00000000-0005-0000-0000-0000DC4B0000}"/>
    <cellStyle name="Note 58 2 2 2" xfId="18558" xr:uid="{00000000-0005-0000-0000-0000DD4B0000}"/>
    <cellStyle name="Note 58 2 2_est. MEAT" xfId="24976" xr:uid="{00000000-0005-0000-0000-0000DE4B0000}"/>
    <cellStyle name="Note 58 2 3" xfId="18557" xr:uid="{00000000-0005-0000-0000-0000DF4B0000}"/>
    <cellStyle name="Note 58 2_2012-2019" xfId="12859" xr:uid="{00000000-0005-0000-0000-0000E04B0000}"/>
    <cellStyle name="Note 58 3" xfId="9144" xr:uid="{00000000-0005-0000-0000-0000E14B0000}"/>
    <cellStyle name="Note 58 3 2" xfId="18559" xr:uid="{00000000-0005-0000-0000-0000E24B0000}"/>
    <cellStyle name="Note 58 3_est. MEAT" xfId="24977" xr:uid="{00000000-0005-0000-0000-0000E34B0000}"/>
    <cellStyle name="Note 58 4" xfId="18556" xr:uid="{00000000-0005-0000-0000-0000E44B0000}"/>
    <cellStyle name="Note 58_2012-2019" xfId="12858" xr:uid="{00000000-0005-0000-0000-0000E54B0000}"/>
    <cellStyle name="Note 59" xfId="9145" xr:uid="{00000000-0005-0000-0000-0000E64B0000}"/>
    <cellStyle name="Note 59 2" xfId="9146" xr:uid="{00000000-0005-0000-0000-0000E74B0000}"/>
    <cellStyle name="Note 59 2 2" xfId="9147" xr:uid="{00000000-0005-0000-0000-0000E84B0000}"/>
    <cellStyle name="Note 59 2 2 2" xfId="18562" xr:uid="{00000000-0005-0000-0000-0000E94B0000}"/>
    <cellStyle name="Note 59 2 2_est. MEAT" xfId="24978" xr:uid="{00000000-0005-0000-0000-0000EA4B0000}"/>
    <cellStyle name="Note 59 2 3" xfId="18561" xr:uid="{00000000-0005-0000-0000-0000EB4B0000}"/>
    <cellStyle name="Note 59 2_2012-2019" xfId="12861" xr:uid="{00000000-0005-0000-0000-0000EC4B0000}"/>
    <cellStyle name="Note 59 3" xfId="9148" xr:uid="{00000000-0005-0000-0000-0000ED4B0000}"/>
    <cellStyle name="Note 59 3 2" xfId="18563" xr:uid="{00000000-0005-0000-0000-0000EE4B0000}"/>
    <cellStyle name="Note 59 3_est. MEAT" xfId="24979" xr:uid="{00000000-0005-0000-0000-0000EF4B0000}"/>
    <cellStyle name="Note 59 4" xfId="18560" xr:uid="{00000000-0005-0000-0000-0000F04B0000}"/>
    <cellStyle name="Note 59_2012-2019" xfId="12860" xr:uid="{00000000-0005-0000-0000-0000F14B0000}"/>
    <cellStyle name="Note 6" xfId="9149" xr:uid="{00000000-0005-0000-0000-0000F24B0000}"/>
    <cellStyle name="Note 6 2" xfId="9150" xr:uid="{00000000-0005-0000-0000-0000F34B0000}"/>
    <cellStyle name="Note 6 2 2" xfId="9151" xr:uid="{00000000-0005-0000-0000-0000F44B0000}"/>
    <cellStyle name="Note 6 2 2 2" xfId="18566" xr:uid="{00000000-0005-0000-0000-0000F54B0000}"/>
    <cellStyle name="Note 6 2 2_est. MEAT" xfId="24980" xr:uid="{00000000-0005-0000-0000-0000F64B0000}"/>
    <cellStyle name="Note 6 2 3" xfId="18565" xr:uid="{00000000-0005-0000-0000-0000F74B0000}"/>
    <cellStyle name="Note 6 2_2012-2019" xfId="12863" xr:uid="{00000000-0005-0000-0000-0000F84B0000}"/>
    <cellStyle name="Note 6 3" xfId="9152" xr:uid="{00000000-0005-0000-0000-0000F94B0000}"/>
    <cellStyle name="Note 6 3 2" xfId="18567" xr:uid="{00000000-0005-0000-0000-0000FA4B0000}"/>
    <cellStyle name="Note 6 3_est. MEAT" xfId="24981" xr:uid="{00000000-0005-0000-0000-0000FB4B0000}"/>
    <cellStyle name="Note 6 4" xfId="18564" xr:uid="{00000000-0005-0000-0000-0000FC4B0000}"/>
    <cellStyle name="Note 6_2012-2019" xfId="12862" xr:uid="{00000000-0005-0000-0000-0000FD4B0000}"/>
    <cellStyle name="Note 60" xfId="9153" xr:uid="{00000000-0005-0000-0000-0000FE4B0000}"/>
    <cellStyle name="Note 60 2" xfId="9154" xr:uid="{00000000-0005-0000-0000-0000FF4B0000}"/>
    <cellStyle name="Note 60 2 2" xfId="9155" xr:uid="{00000000-0005-0000-0000-0000004C0000}"/>
    <cellStyle name="Note 60 2 2 2" xfId="18570" xr:uid="{00000000-0005-0000-0000-0000014C0000}"/>
    <cellStyle name="Note 60 2 2_est. MEAT" xfId="24982" xr:uid="{00000000-0005-0000-0000-0000024C0000}"/>
    <cellStyle name="Note 60 2 3" xfId="18569" xr:uid="{00000000-0005-0000-0000-0000034C0000}"/>
    <cellStyle name="Note 60 2_2012-2019" xfId="12865" xr:uid="{00000000-0005-0000-0000-0000044C0000}"/>
    <cellStyle name="Note 60 3" xfId="9156" xr:uid="{00000000-0005-0000-0000-0000054C0000}"/>
    <cellStyle name="Note 60 3 2" xfId="18571" xr:uid="{00000000-0005-0000-0000-0000064C0000}"/>
    <cellStyle name="Note 60 3_est. MEAT" xfId="24983" xr:uid="{00000000-0005-0000-0000-0000074C0000}"/>
    <cellStyle name="Note 60 4" xfId="18568" xr:uid="{00000000-0005-0000-0000-0000084C0000}"/>
    <cellStyle name="Note 60_2012-2019" xfId="12864" xr:uid="{00000000-0005-0000-0000-0000094C0000}"/>
    <cellStyle name="Note 61" xfId="9157" xr:uid="{00000000-0005-0000-0000-00000A4C0000}"/>
    <cellStyle name="Note 61 2" xfId="9158" xr:uid="{00000000-0005-0000-0000-00000B4C0000}"/>
    <cellStyle name="Note 61 2 2" xfId="18573" xr:uid="{00000000-0005-0000-0000-00000C4C0000}"/>
    <cellStyle name="Note 61 2_est. MEAT" xfId="24984" xr:uid="{00000000-0005-0000-0000-00000D4C0000}"/>
    <cellStyle name="Note 61 3" xfId="18572" xr:uid="{00000000-0005-0000-0000-00000E4C0000}"/>
    <cellStyle name="Note 61_2012-2019" xfId="12866" xr:uid="{00000000-0005-0000-0000-00000F4C0000}"/>
    <cellStyle name="Note 62" xfId="9159" xr:uid="{00000000-0005-0000-0000-0000104C0000}"/>
    <cellStyle name="Note 62 2" xfId="9160" xr:uid="{00000000-0005-0000-0000-0000114C0000}"/>
    <cellStyle name="Note 62 2 2" xfId="18575" xr:uid="{00000000-0005-0000-0000-0000124C0000}"/>
    <cellStyle name="Note 62 2_est. MEAT" xfId="24985" xr:uid="{00000000-0005-0000-0000-0000134C0000}"/>
    <cellStyle name="Note 62 3" xfId="18574" xr:uid="{00000000-0005-0000-0000-0000144C0000}"/>
    <cellStyle name="Note 62_2012-2019" xfId="12867" xr:uid="{00000000-0005-0000-0000-0000154C0000}"/>
    <cellStyle name="Note 63" xfId="9161" xr:uid="{00000000-0005-0000-0000-0000164C0000}"/>
    <cellStyle name="Note 63 2" xfId="9162" xr:uid="{00000000-0005-0000-0000-0000174C0000}"/>
    <cellStyle name="Note 63 2 2" xfId="18577" xr:uid="{00000000-0005-0000-0000-0000184C0000}"/>
    <cellStyle name="Note 63 2_est. MEAT" xfId="24986" xr:uid="{00000000-0005-0000-0000-0000194C0000}"/>
    <cellStyle name="Note 63 3" xfId="18576" xr:uid="{00000000-0005-0000-0000-00001A4C0000}"/>
    <cellStyle name="Note 63_2012-2019" xfId="12868" xr:uid="{00000000-0005-0000-0000-00001B4C0000}"/>
    <cellStyle name="Note 64" xfId="9163" xr:uid="{00000000-0005-0000-0000-00001C4C0000}"/>
    <cellStyle name="Note 64 2" xfId="9164" xr:uid="{00000000-0005-0000-0000-00001D4C0000}"/>
    <cellStyle name="Note 64 2 2" xfId="18579" xr:uid="{00000000-0005-0000-0000-00001E4C0000}"/>
    <cellStyle name="Note 64 2_est. MEAT" xfId="24987" xr:uid="{00000000-0005-0000-0000-00001F4C0000}"/>
    <cellStyle name="Note 64 3" xfId="18578" xr:uid="{00000000-0005-0000-0000-0000204C0000}"/>
    <cellStyle name="Note 64_2012-2019" xfId="12869" xr:uid="{00000000-0005-0000-0000-0000214C0000}"/>
    <cellStyle name="Note 65" xfId="9165" xr:uid="{00000000-0005-0000-0000-0000224C0000}"/>
    <cellStyle name="Note 65 2" xfId="9166" xr:uid="{00000000-0005-0000-0000-0000234C0000}"/>
    <cellStyle name="Note 65 2 2" xfId="18581" xr:uid="{00000000-0005-0000-0000-0000244C0000}"/>
    <cellStyle name="Note 65 2_est. MEAT" xfId="24988" xr:uid="{00000000-0005-0000-0000-0000254C0000}"/>
    <cellStyle name="Note 65 3" xfId="18580" xr:uid="{00000000-0005-0000-0000-0000264C0000}"/>
    <cellStyle name="Note 65_2012-2019" xfId="12870" xr:uid="{00000000-0005-0000-0000-0000274C0000}"/>
    <cellStyle name="Note 66" xfId="9167" xr:uid="{00000000-0005-0000-0000-0000284C0000}"/>
    <cellStyle name="Note 66 2" xfId="9168" xr:uid="{00000000-0005-0000-0000-0000294C0000}"/>
    <cellStyle name="Note 66 2 2" xfId="18583" xr:uid="{00000000-0005-0000-0000-00002A4C0000}"/>
    <cellStyle name="Note 66 2_est. MEAT" xfId="24989" xr:uid="{00000000-0005-0000-0000-00002B4C0000}"/>
    <cellStyle name="Note 66 3" xfId="18582" xr:uid="{00000000-0005-0000-0000-00002C4C0000}"/>
    <cellStyle name="Note 66_2012-2019" xfId="12871" xr:uid="{00000000-0005-0000-0000-00002D4C0000}"/>
    <cellStyle name="Note 67" xfId="9169" xr:uid="{00000000-0005-0000-0000-00002E4C0000}"/>
    <cellStyle name="Note 67 2" xfId="9170" xr:uid="{00000000-0005-0000-0000-00002F4C0000}"/>
    <cellStyle name="Note 67 2 2" xfId="18585" xr:uid="{00000000-0005-0000-0000-0000304C0000}"/>
    <cellStyle name="Note 67 2_est. MEAT" xfId="24990" xr:uid="{00000000-0005-0000-0000-0000314C0000}"/>
    <cellStyle name="Note 67 3" xfId="18584" xr:uid="{00000000-0005-0000-0000-0000324C0000}"/>
    <cellStyle name="Note 67_2012-2019" xfId="12872" xr:uid="{00000000-0005-0000-0000-0000334C0000}"/>
    <cellStyle name="Note 68" xfId="9171" xr:uid="{00000000-0005-0000-0000-0000344C0000}"/>
    <cellStyle name="Note 68 2" xfId="9172" xr:uid="{00000000-0005-0000-0000-0000354C0000}"/>
    <cellStyle name="Note 68 2 2" xfId="18587" xr:uid="{00000000-0005-0000-0000-0000364C0000}"/>
    <cellStyle name="Note 68 2_est. MEAT" xfId="24991" xr:uid="{00000000-0005-0000-0000-0000374C0000}"/>
    <cellStyle name="Note 68 3" xfId="18586" xr:uid="{00000000-0005-0000-0000-0000384C0000}"/>
    <cellStyle name="Note 68_2012-2019" xfId="12873" xr:uid="{00000000-0005-0000-0000-0000394C0000}"/>
    <cellStyle name="Note 69" xfId="9173" xr:uid="{00000000-0005-0000-0000-00003A4C0000}"/>
    <cellStyle name="Note 69 2" xfId="9174" xr:uid="{00000000-0005-0000-0000-00003B4C0000}"/>
    <cellStyle name="Note 69 2 2" xfId="18589" xr:uid="{00000000-0005-0000-0000-00003C4C0000}"/>
    <cellStyle name="Note 69 2_est. MEAT" xfId="24992" xr:uid="{00000000-0005-0000-0000-00003D4C0000}"/>
    <cellStyle name="Note 69 3" xfId="18588" xr:uid="{00000000-0005-0000-0000-00003E4C0000}"/>
    <cellStyle name="Note 69_2012-2019" xfId="12874" xr:uid="{00000000-0005-0000-0000-00003F4C0000}"/>
    <cellStyle name="Note 7" xfId="9175" xr:uid="{00000000-0005-0000-0000-0000404C0000}"/>
    <cellStyle name="Note 7 2" xfId="9176" xr:uid="{00000000-0005-0000-0000-0000414C0000}"/>
    <cellStyle name="Note 7 2 2" xfId="9177" xr:uid="{00000000-0005-0000-0000-0000424C0000}"/>
    <cellStyle name="Note 7 2 2 2" xfId="18592" xr:uid="{00000000-0005-0000-0000-0000434C0000}"/>
    <cellStyle name="Note 7 2 2_est. MEAT" xfId="24993" xr:uid="{00000000-0005-0000-0000-0000444C0000}"/>
    <cellStyle name="Note 7 2 3" xfId="18591" xr:uid="{00000000-0005-0000-0000-0000454C0000}"/>
    <cellStyle name="Note 7 2_2012-2019" xfId="12876" xr:uid="{00000000-0005-0000-0000-0000464C0000}"/>
    <cellStyle name="Note 7 3" xfId="9178" xr:uid="{00000000-0005-0000-0000-0000474C0000}"/>
    <cellStyle name="Note 7 3 2" xfId="18593" xr:uid="{00000000-0005-0000-0000-0000484C0000}"/>
    <cellStyle name="Note 7 3_est. MEAT" xfId="24994" xr:uid="{00000000-0005-0000-0000-0000494C0000}"/>
    <cellStyle name="Note 7 4" xfId="18590" xr:uid="{00000000-0005-0000-0000-00004A4C0000}"/>
    <cellStyle name="Note 7_2012-2019" xfId="12875" xr:uid="{00000000-0005-0000-0000-00004B4C0000}"/>
    <cellStyle name="Note 70" xfId="9179" xr:uid="{00000000-0005-0000-0000-00004C4C0000}"/>
    <cellStyle name="Note 70 2" xfId="9180" xr:uid="{00000000-0005-0000-0000-00004D4C0000}"/>
    <cellStyle name="Note 70 2 2" xfId="18595" xr:uid="{00000000-0005-0000-0000-00004E4C0000}"/>
    <cellStyle name="Note 70 2_est. MEAT" xfId="24995" xr:uid="{00000000-0005-0000-0000-00004F4C0000}"/>
    <cellStyle name="Note 70 3" xfId="18594" xr:uid="{00000000-0005-0000-0000-0000504C0000}"/>
    <cellStyle name="Note 70_2012-2019" xfId="12877" xr:uid="{00000000-0005-0000-0000-0000514C0000}"/>
    <cellStyle name="Note 71" xfId="9181" xr:uid="{00000000-0005-0000-0000-0000524C0000}"/>
    <cellStyle name="Note 71 2" xfId="9182" xr:uid="{00000000-0005-0000-0000-0000534C0000}"/>
    <cellStyle name="Note 71 2 2" xfId="18597" xr:uid="{00000000-0005-0000-0000-0000544C0000}"/>
    <cellStyle name="Note 71 2_est. MEAT" xfId="24996" xr:uid="{00000000-0005-0000-0000-0000554C0000}"/>
    <cellStyle name="Note 71 3" xfId="18596" xr:uid="{00000000-0005-0000-0000-0000564C0000}"/>
    <cellStyle name="Note 71_2012-2019" xfId="12878" xr:uid="{00000000-0005-0000-0000-0000574C0000}"/>
    <cellStyle name="Note 72" xfId="9183" xr:uid="{00000000-0005-0000-0000-0000584C0000}"/>
    <cellStyle name="Note 72 2" xfId="9184" xr:uid="{00000000-0005-0000-0000-0000594C0000}"/>
    <cellStyle name="Note 72 2 2" xfId="18599" xr:uid="{00000000-0005-0000-0000-00005A4C0000}"/>
    <cellStyle name="Note 72 2_est. MEAT" xfId="24997" xr:uid="{00000000-0005-0000-0000-00005B4C0000}"/>
    <cellStyle name="Note 72 3" xfId="18598" xr:uid="{00000000-0005-0000-0000-00005C4C0000}"/>
    <cellStyle name="Note 72_2012-2019" xfId="12879" xr:uid="{00000000-0005-0000-0000-00005D4C0000}"/>
    <cellStyle name="Note 73" xfId="9185" xr:uid="{00000000-0005-0000-0000-00005E4C0000}"/>
    <cellStyle name="Note 73 2" xfId="9186" xr:uid="{00000000-0005-0000-0000-00005F4C0000}"/>
    <cellStyle name="Note 73 2 2" xfId="18601" xr:uid="{00000000-0005-0000-0000-0000604C0000}"/>
    <cellStyle name="Note 73 2_est. MEAT" xfId="24998" xr:uid="{00000000-0005-0000-0000-0000614C0000}"/>
    <cellStyle name="Note 73 3" xfId="18600" xr:uid="{00000000-0005-0000-0000-0000624C0000}"/>
    <cellStyle name="Note 73_2012-2019" xfId="12880" xr:uid="{00000000-0005-0000-0000-0000634C0000}"/>
    <cellStyle name="Note 74" xfId="9187" xr:uid="{00000000-0005-0000-0000-0000644C0000}"/>
    <cellStyle name="Note 74 2" xfId="9188" xr:uid="{00000000-0005-0000-0000-0000654C0000}"/>
    <cellStyle name="Note 74 2 2" xfId="18603" xr:uid="{00000000-0005-0000-0000-0000664C0000}"/>
    <cellStyle name="Note 74 2_est. MEAT" xfId="24999" xr:uid="{00000000-0005-0000-0000-0000674C0000}"/>
    <cellStyle name="Note 74 3" xfId="18602" xr:uid="{00000000-0005-0000-0000-0000684C0000}"/>
    <cellStyle name="Note 74_2012-2019" xfId="12881" xr:uid="{00000000-0005-0000-0000-0000694C0000}"/>
    <cellStyle name="Note 75" xfId="9189" xr:uid="{00000000-0005-0000-0000-00006A4C0000}"/>
    <cellStyle name="Note 75 2" xfId="9190" xr:uid="{00000000-0005-0000-0000-00006B4C0000}"/>
    <cellStyle name="Note 75 2 2" xfId="18605" xr:uid="{00000000-0005-0000-0000-00006C4C0000}"/>
    <cellStyle name="Note 75 2_est. MEAT" xfId="25000" xr:uid="{00000000-0005-0000-0000-00006D4C0000}"/>
    <cellStyle name="Note 75 3" xfId="18604" xr:uid="{00000000-0005-0000-0000-00006E4C0000}"/>
    <cellStyle name="Note 75_2012-2019" xfId="12882" xr:uid="{00000000-0005-0000-0000-00006F4C0000}"/>
    <cellStyle name="Note 76" xfId="9191" xr:uid="{00000000-0005-0000-0000-0000704C0000}"/>
    <cellStyle name="Note 76 2" xfId="9192" xr:uid="{00000000-0005-0000-0000-0000714C0000}"/>
    <cellStyle name="Note 76 2 2" xfId="18607" xr:uid="{00000000-0005-0000-0000-0000724C0000}"/>
    <cellStyle name="Note 76 2_est. MEAT" xfId="25001" xr:uid="{00000000-0005-0000-0000-0000734C0000}"/>
    <cellStyle name="Note 76 3" xfId="18606" xr:uid="{00000000-0005-0000-0000-0000744C0000}"/>
    <cellStyle name="Note 76_2012-2019" xfId="12883" xr:uid="{00000000-0005-0000-0000-0000754C0000}"/>
    <cellStyle name="Note 77" xfId="9193" xr:uid="{00000000-0005-0000-0000-0000764C0000}"/>
    <cellStyle name="Note 77 2" xfId="9194" xr:uid="{00000000-0005-0000-0000-0000774C0000}"/>
    <cellStyle name="Note 77 2 2" xfId="18609" xr:uid="{00000000-0005-0000-0000-0000784C0000}"/>
    <cellStyle name="Note 77 2_est. MEAT" xfId="25002" xr:uid="{00000000-0005-0000-0000-0000794C0000}"/>
    <cellStyle name="Note 77 3" xfId="18608" xr:uid="{00000000-0005-0000-0000-00007A4C0000}"/>
    <cellStyle name="Note 77_2012-2019" xfId="12884" xr:uid="{00000000-0005-0000-0000-00007B4C0000}"/>
    <cellStyle name="Note 78" xfId="9195" xr:uid="{00000000-0005-0000-0000-00007C4C0000}"/>
    <cellStyle name="Note 78 2" xfId="9196" xr:uid="{00000000-0005-0000-0000-00007D4C0000}"/>
    <cellStyle name="Note 78 2 2" xfId="18611" xr:uid="{00000000-0005-0000-0000-00007E4C0000}"/>
    <cellStyle name="Note 78 2_est. MEAT" xfId="25003" xr:uid="{00000000-0005-0000-0000-00007F4C0000}"/>
    <cellStyle name="Note 78 3" xfId="18610" xr:uid="{00000000-0005-0000-0000-0000804C0000}"/>
    <cellStyle name="Note 78_2012-2019" xfId="12885" xr:uid="{00000000-0005-0000-0000-0000814C0000}"/>
    <cellStyle name="Note 79" xfId="9197" xr:uid="{00000000-0005-0000-0000-0000824C0000}"/>
    <cellStyle name="Note 79 2" xfId="9198" xr:uid="{00000000-0005-0000-0000-0000834C0000}"/>
    <cellStyle name="Note 79 2 2" xfId="18613" xr:uid="{00000000-0005-0000-0000-0000844C0000}"/>
    <cellStyle name="Note 79 2_est. MEAT" xfId="25004" xr:uid="{00000000-0005-0000-0000-0000854C0000}"/>
    <cellStyle name="Note 79 3" xfId="18612" xr:uid="{00000000-0005-0000-0000-0000864C0000}"/>
    <cellStyle name="Note 79_2012-2019" xfId="12886" xr:uid="{00000000-0005-0000-0000-0000874C0000}"/>
    <cellStyle name="Note 8" xfId="9199" xr:uid="{00000000-0005-0000-0000-0000884C0000}"/>
    <cellStyle name="Note 8 2" xfId="9200" xr:uid="{00000000-0005-0000-0000-0000894C0000}"/>
    <cellStyle name="Note 8 2 2" xfId="9201" xr:uid="{00000000-0005-0000-0000-00008A4C0000}"/>
    <cellStyle name="Note 8 2 2 2" xfId="18616" xr:uid="{00000000-0005-0000-0000-00008B4C0000}"/>
    <cellStyle name="Note 8 2 2_est. MEAT" xfId="25005" xr:uid="{00000000-0005-0000-0000-00008C4C0000}"/>
    <cellStyle name="Note 8 2 3" xfId="18615" xr:uid="{00000000-0005-0000-0000-00008D4C0000}"/>
    <cellStyle name="Note 8 2_2012-2019" xfId="12888" xr:uid="{00000000-0005-0000-0000-00008E4C0000}"/>
    <cellStyle name="Note 8 3" xfId="9202" xr:uid="{00000000-0005-0000-0000-00008F4C0000}"/>
    <cellStyle name="Note 8 3 2" xfId="18617" xr:uid="{00000000-0005-0000-0000-0000904C0000}"/>
    <cellStyle name="Note 8 3_est. MEAT" xfId="25006" xr:uid="{00000000-0005-0000-0000-0000914C0000}"/>
    <cellStyle name="Note 8 4" xfId="18614" xr:uid="{00000000-0005-0000-0000-0000924C0000}"/>
    <cellStyle name="Note 8_2012-2019" xfId="12887" xr:uid="{00000000-0005-0000-0000-0000934C0000}"/>
    <cellStyle name="Note 80" xfId="9203" xr:uid="{00000000-0005-0000-0000-0000944C0000}"/>
    <cellStyle name="Note 80 2" xfId="9204" xr:uid="{00000000-0005-0000-0000-0000954C0000}"/>
    <cellStyle name="Note 80 2 2" xfId="18619" xr:uid="{00000000-0005-0000-0000-0000964C0000}"/>
    <cellStyle name="Note 80 2_est. MEAT" xfId="25007" xr:uid="{00000000-0005-0000-0000-0000974C0000}"/>
    <cellStyle name="Note 80 3" xfId="18618" xr:uid="{00000000-0005-0000-0000-0000984C0000}"/>
    <cellStyle name="Note 80_2012-2019" xfId="12889" xr:uid="{00000000-0005-0000-0000-0000994C0000}"/>
    <cellStyle name="Note 81" xfId="9205" xr:uid="{00000000-0005-0000-0000-00009A4C0000}"/>
    <cellStyle name="Note 81 2" xfId="9206" xr:uid="{00000000-0005-0000-0000-00009B4C0000}"/>
    <cellStyle name="Note 81 2 2" xfId="18621" xr:uid="{00000000-0005-0000-0000-00009C4C0000}"/>
    <cellStyle name="Note 81 2_est. MEAT" xfId="25008" xr:uid="{00000000-0005-0000-0000-00009D4C0000}"/>
    <cellStyle name="Note 81 3" xfId="18620" xr:uid="{00000000-0005-0000-0000-00009E4C0000}"/>
    <cellStyle name="Note 81_2012-2019" xfId="12890" xr:uid="{00000000-0005-0000-0000-00009F4C0000}"/>
    <cellStyle name="Note 82" xfId="9207" xr:uid="{00000000-0005-0000-0000-0000A04C0000}"/>
    <cellStyle name="Note 82 2" xfId="9208" xr:uid="{00000000-0005-0000-0000-0000A14C0000}"/>
    <cellStyle name="Note 82 2 2" xfId="18623" xr:uid="{00000000-0005-0000-0000-0000A24C0000}"/>
    <cellStyle name="Note 82 2_est. MEAT" xfId="25009" xr:uid="{00000000-0005-0000-0000-0000A34C0000}"/>
    <cellStyle name="Note 82 3" xfId="18622" xr:uid="{00000000-0005-0000-0000-0000A44C0000}"/>
    <cellStyle name="Note 82_2012-2019" xfId="12891" xr:uid="{00000000-0005-0000-0000-0000A54C0000}"/>
    <cellStyle name="Note 83" xfId="9209" xr:uid="{00000000-0005-0000-0000-0000A64C0000}"/>
    <cellStyle name="Note 83 2" xfId="9210" xr:uid="{00000000-0005-0000-0000-0000A74C0000}"/>
    <cellStyle name="Note 83 2 2" xfId="18625" xr:uid="{00000000-0005-0000-0000-0000A84C0000}"/>
    <cellStyle name="Note 83 2_est. MEAT" xfId="25010" xr:uid="{00000000-0005-0000-0000-0000A94C0000}"/>
    <cellStyle name="Note 83 3" xfId="18624" xr:uid="{00000000-0005-0000-0000-0000AA4C0000}"/>
    <cellStyle name="Note 83_2012-2019" xfId="12892" xr:uid="{00000000-0005-0000-0000-0000AB4C0000}"/>
    <cellStyle name="Note 84" xfId="9211" xr:uid="{00000000-0005-0000-0000-0000AC4C0000}"/>
    <cellStyle name="Note 84 2" xfId="9212" xr:uid="{00000000-0005-0000-0000-0000AD4C0000}"/>
    <cellStyle name="Note 84 2 2" xfId="18627" xr:uid="{00000000-0005-0000-0000-0000AE4C0000}"/>
    <cellStyle name="Note 84 2_est. MEAT" xfId="25011" xr:uid="{00000000-0005-0000-0000-0000AF4C0000}"/>
    <cellStyle name="Note 84 3" xfId="18626" xr:uid="{00000000-0005-0000-0000-0000B04C0000}"/>
    <cellStyle name="Note 84_2012-2019" xfId="12893" xr:uid="{00000000-0005-0000-0000-0000B14C0000}"/>
    <cellStyle name="Note 85" xfId="9213" xr:uid="{00000000-0005-0000-0000-0000B24C0000}"/>
    <cellStyle name="Note 85 2" xfId="9214" xr:uid="{00000000-0005-0000-0000-0000B34C0000}"/>
    <cellStyle name="Note 85 2 2" xfId="18629" xr:uid="{00000000-0005-0000-0000-0000B44C0000}"/>
    <cellStyle name="Note 85 2_est. MEAT" xfId="25012" xr:uid="{00000000-0005-0000-0000-0000B54C0000}"/>
    <cellStyle name="Note 85 3" xfId="18628" xr:uid="{00000000-0005-0000-0000-0000B64C0000}"/>
    <cellStyle name="Note 85_2012-2019" xfId="12894" xr:uid="{00000000-0005-0000-0000-0000B74C0000}"/>
    <cellStyle name="Note 86" xfId="9215" xr:uid="{00000000-0005-0000-0000-0000B84C0000}"/>
    <cellStyle name="Note 86 2" xfId="9216" xr:uid="{00000000-0005-0000-0000-0000B94C0000}"/>
    <cellStyle name="Note 86 2 2" xfId="18631" xr:uid="{00000000-0005-0000-0000-0000BA4C0000}"/>
    <cellStyle name="Note 86 2_est. MEAT" xfId="25013" xr:uid="{00000000-0005-0000-0000-0000BB4C0000}"/>
    <cellStyle name="Note 86 3" xfId="18630" xr:uid="{00000000-0005-0000-0000-0000BC4C0000}"/>
    <cellStyle name="Note 86_2012-2019" xfId="12895" xr:uid="{00000000-0005-0000-0000-0000BD4C0000}"/>
    <cellStyle name="Note 87" xfId="9217" xr:uid="{00000000-0005-0000-0000-0000BE4C0000}"/>
    <cellStyle name="Note 87 2" xfId="9218" xr:uid="{00000000-0005-0000-0000-0000BF4C0000}"/>
    <cellStyle name="Note 87 2 2" xfId="18633" xr:uid="{00000000-0005-0000-0000-0000C04C0000}"/>
    <cellStyle name="Note 87 2_est. MEAT" xfId="25014" xr:uid="{00000000-0005-0000-0000-0000C14C0000}"/>
    <cellStyle name="Note 87 3" xfId="18632" xr:uid="{00000000-0005-0000-0000-0000C24C0000}"/>
    <cellStyle name="Note 87_2012-2019" xfId="12896" xr:uid="{00000000-0005-0000-0000-0000C34C0000}"/>
    <cellStyle name="Note 88" xfId="9219" xr:uid="{00000000-0005-0000-0000-0000C44C0000}"/>
    <cellStyle name="Note 88 2" xfId="9220" xr:uid="{00000000-0005-0000-0000-0000C54C0000}"/>
    <cellStyle name="Note 88 2 2" xfId="18635" xr:uid="{00000000-0005-0000-0000-0000C64C0000}"/>
    <cellStyle name="Note 88 2_est. MEAT" xfId="25015" xr:uid="{00000000-0005-0000-0000-0000C74C0000}"/>
    <cellStyle name="Note 88 3" xfId="18634" xr:uid="{00000000-0005-0000-0000-0000C84C0000}"/>
    <cellStyle name="Note 88_2012-2019" xfId="12897" xr:uid="{00000000-0005-0000-0000-0000C94C0000}"/>
    <cellStyle name="Note 89" xfId="9221" xr:uid="{00000000-0005-0000-0000-0000CA4C0000}"/>
    <cellStyle name="Note 89 2" xfId="9222" xr:uid="{00000000-0005-0000-0000-0000CB4C0000}"/>
    <cellStyle name="Note 89 2 2" xfId="18637" xr:uid="{00000000-0005-0000-0000-0000CC4C0000}"/>
    <cellStyle name="Note 89 2_est. MEAT" xfId="25016" xr:uid="{00000000-0005-0000-0000-0000CD4C0000}"/>
    <cellStyle name="Note 89 3" xfId="18636" xr:uid="{00000000-0005-0000-0000-0000CE4C0000}"/>
    <cellStyle name="Note 89_2012-2019" xfId="12898" xr:uid="{00000000-0005-0000-0000-0000CF4C0000}"/>
    <cellStyle name="Note 9" xfId="9223" xr:uid="{00000000-0005-0000-0000-0000D04C0000}"/>
    <cellStyle name="Note 9 2" xfId="9224" xr:uid="{00000000-0005-0000-0000-0000D14C0000}"/>
    <cellStyle name="Note 9 2 2" xfId="9225" xr:uid="{00000000-0005-0000-0000-0000D24C0000}"/>
    <cellStyle name="Note 9 2 2 2" xfId="18640" xr:uid="{00000000-0005-0000-0000-0000D34C0000}"/>
    <cellStyle name="Note 9 2 2_est. MEAT" xfId="25017" xr:uid="{00000000-0005-0000-0000-0000D44C0000}"/>
    <cellStyle name="Note 9 2 3" xfId="18639" xr:uid="{00000000-0005-0000-0000-0000D54C0000}"/>
    <cellStyle name="Note 9 2_2012-2019" xfId="12900" xr:uid="{00000000-0005-0000-0000-0000D64C0000}"/>
    <cellStyle name="Note 9 3" xfId="9226" xr:uid="{00000000-0005-0000-0000-0000D74C0000}"/>
    <cellStyle name="Note 9 3 2" xfId="18641" xr:uid="{00000000-0005-0000-0000-0000D84C0000}"/>
    <cellStyle name="Note 9 3_est. MEAT" xfId="25018" xr:uid="{00000000-0005-0000-0000-0000D94C0000}"/>
    <cellStyle name="Note 9 4" xfId="18638" xr:uid="{00000000-0005-0000-0000-0000DA4C0000}"/>
    <cellStyle name="Note 9_2012-2019" xfId="12899" xr:uid="{00000000-0005-0000-0000-0000DB4C0000}"/>
    <cellStyle name="Note 90" xfId="9227" xr:uid="{00000000-0005-0000-0000-0000DC4C0000}"/>
    <cellStyle name="Note 90 2" xfId="9228" xr:uid="{00000000-0005-0000-0000-0000DD4C0000}"/>
    <cellStyle name="Note 90 2 2" xfId="18643" xr:uid="{00000000-0005-0000-0000-0000DE4C0000}"/>
    <cellStyle name="Note 90 2_est. MEAT" xfId="25019" xr:uid="{00000000-0005-0000-0000-0000DF4C0000}"/>
    <cellStyle name="Note 90 3" xfId="18642" xr:uid="{00000000-0005-0000-0000-0000E04C0000}"/>
    <cellStyle name="Note 90_2012-2019" xfId="12901" xr:uid="{00000000-0005-0000-0000-0000E14C0000}"/>
    <cellStyle name="Note 91" xfId="9229" xr:uid="{00000000-0005-0000-0000-0000E24C0000}"/>
    <cellStyle name="Note 91 2" xfId="9230" xr:uid="{00000000-0005-0000-0000-0000E34C0000}"/>
    <cellStyle name="Note 91 2 2" xfId="18645" xr:uid="{00000000-0005-0000-0000-0000E44C0000}"/>
    <cellStyle name="Note 91 2_est. MEAT" xfId="25020" xr:uid="{00000000-0005-0000-0000-0000E54C0000}"/>
    <cellStyle name="Note 91 3" xfId="18644" xr:uid="{00000000-0005-0000-0000-0000E64C0000}"/>
    <cellStyle name="Note 91_2012-2019" xfId="12902" xr:uid="{00000000-0005-0000-0000-0000E74C0000}"/>
    <cellStyle name="Note 92" xfId="9231" xr:uid="{00000000-0005-0000-0000-0000E84C0000}"/>
    <cellStyle name="Note 92 2" xfId="9232" xr:uid="{00000000-0005-0000-0000-0000E94C0000}"/>
    <cellStyle name="Note 92 2 2" xfId="18647" xr:uid="{00000000-0005-0000-0000-0000EA4C0000}"/>
    <cellStyle name="Note 92 2_est. MEAT" xfId="25021" xr:uid="{00000000-0005-0000-0000-0000EB4C0000}"/>
    <cellStyle name="Note 92 3" xfId="18646" xr:uid="{00000000-0005-0000-0000-0000EC4C0000}"/>
    <cellStyle name="Note 92_2012-2019" xfId="12903" xr:uid="{00000000-0005-0000-0000-0000ED4C0000}"/>
    <cellStyle name="Note 93" xfId="9233" xr:uid="{00000000-0005-0000-0000-0000EE4C0000}"/>
    <cellStyle name="Note 93 2" xfId="9234" xr:uid="{00000000-0005-0000-0000-0000EF4C0000}"/>
    <cellStyle name="Note 93 2 2" xfId="18649" xr:uid="{00000000-0005-0000-0000-0000F04C0000}"/>
    <cellStyle name="Note 93 2_est. MEAT" xfId="25022" xr:uid="{00000000-0005-0000-0000-0000F14C0000}"/>
    <cellStyle name="Note 93 3" xfId="18648" xr:uid="{00000000-0005-0000-0000-0000F24C0000}"/>
    <cellStyle name="Note 93_2012-2019" xfId="12904" xr:uid="{00000000-0005-0000-0000-0000F34C0000}"/>
    <cellStyle name="Note 94" xfId="9235" xr:uid="{00000000-0005-0000-0000-0000F44C0000}"/>
    <cellStyle name="Note 94 2" xfId="9236" xr:uid="{00000000-0005-0000-0000-0000F54C0000}"/>
    <cellStyle name="Note 94 2 2" xfId="18651" xr:uid="{00000000-0005-0000-0000-0000F64C0000}"/>
    <cellStyle name="Note 94 2_est. MEAT" xfId="25023" xr:uid="{00000000-0005-0000-0000-0000F74C0000}"/>
    <cellStyle name="Note 94 3" xfId="18650" xr:uid="{00000000-0005-0000-0000-0000F84C0000}"/>
    <cellStyle name="Note 94_2012-2019" xfId="12905" xr:uid="{00000000-0005-0000-0000-0000F94C0000}"/>
    <cellStyle name="Note 95" xfId="9237" xr:uid="{00000000-0005-0000-0000-0000FA4C0000}"/>
    <cellStyle name="Note 95 2" xfId="9238" xr:uid="{00000000-0005-0000-0000-0000FB4C0000}"/>
    <cellStyle name="Note 95 2 2" xfId="18653" xr:uid="{00000000-0005-0000-0000-0000FC4C0000}"/>
    <cellStyle name="Note 95 2_est. MEAT" xfId="25024" xr:uid="{00000000-0005-0000-0000-0000FD4C0000}"/>
    <cellStyle name="Note 95 3" xfId="18652" xr:uid="{00000000-0005-0000-0000-0000FE4C0000}"/>
    <cellStyle name="Note 95_2012-2019" xfId="12906" xr:uid="{00000000-0005-0000-0000-0000FF4C0000}"/>
    <cellStyle name="Note 96" xfId="9239" xr:uid="{00000000-0005-0000-0000-0000004D0000}"/>
    <cellStyle name="Note 96 2" xfId="9240" xr:uid="{00000000-0005-0000-0000-0000014D0000}"/>
    <cellStyle name="Note 96 2 2" xfId="18655" xr:uid="{00000000-0005-0000-0000-0000024D0000}"/>
    <cellStyle name="Note 96 2_est. MEAT" xfId="25025" xr:uid="{00000000-0005-0000-0000-0000034D0000}"/>
    <cellStyle name="Note 96 3" xfId="18654" xr:uid="{00000000-0005-0000-0000-0000044D0000}"/>
    <cellStyle name="Note 96_2012-2019" xfId="12907" xr:uid="{00000000-0005-0000-0000-0000054D0000}"/>
    <cellStyle name="Note 97" xfId="9241" xr:uid="{00000000-0005-0000-0000-0000064D0000}"/>
    <cellStyle name="Note 97 2" xfId="9242" xr:uid="{00000000-0005-0000-0000-0000074D0000}"/>
    <cellStyle name="Note 97 2 2" xfId="18657" xr:uid="{00000000-0005-0000-0000-0000084D0000}"/>
    <cellStyle name="Note 97 2_est. MEAT" xfId="25026" xr:uid="{00000000-0005-0000-0000-0000094D0000}"/>
    <cellStyle name="Note 97 3" xfId="18656" xr:uid="{00000000-0005-0000-0000-00000A4D0000}"/>
    <cellStyle name="Note 97_2012-2019" xfId="12908" xr:uid="{00000000-0005-0000-0000-00000B4D0000}"/>
    <cellStyle name="Note 98" xfId="9243" xr:uid="{00000000-0005-0000-0000-00000C4D0000}"/>
    <cellStyle name="Note 98 2" xfId="9244" xr:uid="{00000000-0005-0000-0000-00000D4D0000}"/>
    <cellStyle name="Note 98 2 2" xfId="18659" xr:uid="{00000000-0005-0000-0000-00000E4D0000}"/>
    <cellStyle name="Note 98 2_est. MEAT" xfId="25027" xr:uid="{00000000-0005-0000-0000-00000F4D0000}"/>
    <cellStyle name="Note 98 3" xfId="18658" xr:uid="{00000000-0005-0000-0000-0000104D0000}"/>
    <cellStyle name="Note 98_2012-2019" xfId="12909" xr:uid="{00000000-0005-0000-0000-0000114D0000}"/>
    <cellStyle name="Note 99" xfId="9245" xr:uid="{00000000-0005-0000-0000-0000124D0000}"/>
    <cellStyle name="Note 99 2" xfId="9246" xr:uid="{00000000-0005-0000-0000-0000134D0000}"/>
    <cellStyle name="Note 99 2 2" xfId="18661" xr:uid="{00000000-0005-0000-0000-0000144D0000}"/>
    <cellStyle name="Note 99 2_est. MEAT" xfId="25028" xr:uid="{00000000-0005-0000-0000-0000154D0000}"/>
    <cellStyle name="Note 99 3" xfId="18660" xr:uid="{00000000-0005-0000-0000-0000164D0000}"/>
    <cellStyle name="Note 99_2012-2019" xfId="12910" xr:uid="{00000000-0005-0000-0000-0000174D0000}"/>
    <cellStyle name="Note_AE 2014" xfId="25029" xr:uid="{00000000-0005-0000-0000-0000184D0000}"/>
    <cellStyle name="Notiz" xfId="9247" xr:uid="{00000000-0005-0000-0000-0000194D0000}"/>
    <cellStyle name="Notiz 10" xfId="9248" xr:uid="{00000000-0005-0000-0000-00001A4D0000}"/>
    <cellStyle name="Notiz 10 2" xfId="9249" xr:uid="{00000000-0005-0000-0000-00001B4D0000}"/>
    <cellStyle name="Notiz 10 2 2" xfId="18664" xr:uid="{00000000-0005-0000-0000-00001C4D0000}"/>
    <cellStyle name="Notiz 10 2_est. MEAT" xfId="25030" xr:uid="{00000000-0005-0000-0000-00001D4D0000}"/>
    <cellStyle name="Notiz 10 3" xfId="18663" xr:uid="{00000000-0005-0000-0000-00001E4D0000}"/>
    <cellStyle name="Notiz 10_2012-2019" xfId="12912" xr:uid="{00000000-0005-0000-0000-00001F4D0000}"/>
    <cellStyle name="Notiz 100" xfId="9250" xr:uid="{00000000-0005-0000-0000-0000204D0000}"/>
    <cellStyle name="Notiz 100 2" xfId="9251" xr:uid="{00000000-0005-0000-0000-0000214D0000}"/>
    <cellStyle name="Notiz 100 2 2" xfId="18666" xr:uid="{00000000-0005-0000-0000-0000224D0000}"/>
    <cellStyle name="Notiz 100 2_est. MEAT" xfId="25031" xr:uid="{00000000-0005-0000-0000-0000234D0000}"/>
    <cellStyle name="Notiz 100 3" xfId="18665" xr:uid="{00000000-0005-0000-0000-0000244D0000}"/>
    <cellStyle name="Notiz 100_2012-2019" xfId="12913" xr:uid="{00000000-0005-0000-0000-0000254D0000}"/>
    <cellStyle name="Notiz 101" xfId="9252" xr:uid="{00000000-0005-0000-0000-0000264D0000}"/>
    <cellStyle name="Notiz 101 2" xfId="9253" xr:uid="{00000000-0005-0000-0000-0000274D0000}"/>
    <cellStyle name="Notiz 101 2 2" xfId="18668" xr:uid="{00000000-0005-0000-0000-0000284D0000}"/>
    <cellStyle name="Notiz 101 2_est. MEAT" xfId="25032" xr:uid="{00000000-0005-0000-0000-0000294D0000}"/>
    <cellStyle name="Notiz 101 3" xfId="18667" xr:uid="{00000000-0005-0000-0000-00002A4D0000}"/>
    <cellStyle name="Notiz 101_2012-2019" xfId="12914" xr:uid="{00000000-0005-0000-0000-00002B4D0000}"/>
    <cellStyle name="Notiz 102" xfId="9254" xr:uid="{00000000-0005-0000-0000-00002C4D0000}"/>
    <cellStyle name="Notiz 102 2" xfId="9255" xr:uid="{00000000-0005-0000-0000-00002D4D0000}"/>
    <cellStyle name="Notiz 102 2 2" xfId="18670" xr:uid="{00000000-0005-0000-0000-00002E4D0000}"/>
    <cellStyle name="Notiz 102 2_est. MEAT" xfId="25033" xr:uid="{00000000-0005-0000-0000-00002F4D0000}"/>
    <cellStyle name="Notiz 102 3" xfId="18669" xr:uid="{00000000-0005-0000-0000-0000304D0000}"/>
    <cellStyle name="Notiz 102_2012-2019" xfId="12915" xr:uid="{00000000-0005-0000-0000-0000314D0000}"/>
    <cellStyle name="Notiz 103" xfId="9256" xr:uid="{00000000-0005-0000-0000-0000324D0000}"/>
    <cellStyle name="Notiz 103 2" xfId="9257" xr:uid="{00000000-0005-0000-0000-0000334D0000}"/>
    <cellStyle name="Notiz 103 2 2" xfId="18672" xr:uid="{00000000-0005-0000-0000-0000344D0000}"/>
    <cellStyle name="Notiz 103 2_est. MEAT" xfId="25034" xr:uid="{00000000-0005-0000-0000-0000354D0000}"/>
    <cellStyle name="Notiz 103 3" xfId="18671" xr:uid="{00000000-0005-0000-0000-0000364D0000}"/>
    <cellStyle name="Notiz 103_2012-2019" xfId="12916" xr:uid="{00000000-0005-0000-0000-0000374D0000}"/>
    <cellStyle name="Notiz 104" xfId="9258" xr:uid="{00000000-0005-0000-0000-0000384D0000}"/>
    <cellStyle name="Notiz 104 2" xfId="9259" xr:uid="{00000000-0005-0000-0000-0000394D0000}"/>
    <cellStyle name="Notiz 104 2 2" xfId="18674" xr:uid="{00000000-0005-0000-0000-00003A4D0000}"/>
    <cellStyle name="Notiz 104 2_est. MEAT" xfId="25035" xr:uid="{00000000-0005-0000-0000-00003B4D0000}"/>
    <cellStyle name="Notiz 104 3" xfId="18673" xr:uid="{00000000-0005-0000-0000-00003C4D0000}"/>
    <cellStyle name="Notiz 104_2012-2019" xfId="12917" xr:uid="{00000000-0005-0000-0000-00003D4D0000}"/>
    <cellStyle name="Notiz 105" xfId="9260" xr:uid="{00000000-0005-0000-0000-00003E4D0000}"/>
    <cellStyle name="Notiz 105 2" xfId="9261" xr:uid="{00000000-0005-0000-0000-00003F4D0000}"/>
    <cellStyle name="Notiz 105 2 2" xfId="18676" xr:uid="{00000000-0005-0000-0000-0000404D0000}"/>
    <cellStyle name="Notiz 105 2_est. MEAT" xfId="25036" xr:uid="{00000000-0005-0000-0000-0000414D0000}"/>
    <cellStyle name="Notiz 105 3" xfId="18675" xr:uid="{00000000-0005-0000-0000-0000424D0000}"/>
    <cellStyle name="Notiz 105_2012-2019" xfId="12918" xr:uid="{00000000-0005-0000-0000-0000434D0000}"/>
    <cellStyle name="Notiz 106" xfId="9262" xr:uid="{00000000-0005-0000-0000-0000444D0000}"/>
    <cellStyle name="Notiz 106 2" xfId="9263" xr:uid="{00000000-0005-0000-0000-0000454D0000}"/>
    <cellStyle name="Notiz 106 2 2" xfId="18678" xr:uid="{00000000-0005-0000-0000-0000464D0000}"/>
    <cellStyle name="Notiz 106 2_est. MEAT" xfId="25037" xr:uid="{00000000-0005-0000-0000-0000474D0000}"/>
    <cellStyle name="Notiz 106 3" xfId="18677" xr:uid="{00000000-0005-0000-0000-0000484D0000}"/>
    <cellStyle name="Notiz 106_2012-2019" xfId="12919" xr:uid="{00000000-0005-0000-0000-0000494D0000}"/>
    <cellStyle name="Notiz 107" xfId="9264" xr:uid="{00000000-0005-0000-0000-00004A4D0000}"/>
    <cellStyle name="Notiz 107 2" xfId="9265" xr:uid="{00000000-0005-0000-0000-00004B4D0000}"/>
    <cellStyle name="Notiz 107 2 2" xfId="18680" xr:uid="{00000000-0005-0000-0000-00004C4D0000}"/>
    <cellStyle name="Notiz 107 2_est. MEAT" xfId="25038" xr:uid="{00000000-0005-0000-0000-00004D4D0000}"/>
    <cellStyle name="Notiz 107 3" xfId="18679" xr:uid="{00000000-0005-0000-0000-00004E4D0000}"/>
    <cellStyle name="Notiz 107_2012-2019" xfId="12920" xr:uid="{00000000-0005-0000-0000-00004F4D0000}"/>
    <cellStyle name="Notiz 108" xfId="9266" xr:uid="{00000000-0005-0000-0000-0000504D0000}"/>
    <cellStyle name="Notiz 108 2" xfId="9267" xr:uid="{00000000-0005-0000-0000-0000514D0000}"/>
    <cellStyle name="Notiz 108 2 2" xfId="18682" xr:uid="{00000000-0005-0000-0000-0000524D0000}"/>
    <cellStyle name="Notiz 108 2_est. MEAT" xfId="25039" xr:uid="{00000000-0005-0000-0000-0000534D0000}"/>
    <cellStyle name="Notiz 108 3" xfId="18681" xr:uid="{00000000-0005-0000-0000-0000544D0000}"/>
    <cellStyle name="Notiz 108_2012-2019" xfId="12921" xr:uid="{00000000-0005-0000-0000-0000554D0000}"/>
    <cellStyle name="Notiz 109" xfId="9268" xr:uid="{00000000-0005-0000-0000-0000564D0000}"/>
    <cellStyle name="Notiz 109 2" xfId="9269" xr:uid="{00000000-0005-0000-0000-0000574D0000}"/>
    <cellStyle name="Notiz 109 2 2" xfId="18684" xr:uid="{00000000-0005-0000-0000-0000584D0000}"/>
    <cellStyle name="Notiz 109 2_est. MEAT" xfId="25040" xr:uid="{00000000-0005-0000-0000-0000594D0000}"/>
    <cellStyle name="Notiz 109 3" xfId="18683" xr:uid="{00000000-0005-0000-0000-00005A4D0000}"/>
    <cellStyle name="Notiz 109_2012-2019" xfId="12922" xr:uid="{00000000-0005-0000-0000-00005B4D0000}"/>
    <cellStyle name="Notiz 11" xfId="9270" xr:uid="{00000000-0005-0000-0000-00005C4D0000}"/>
    <cellStyle name="Notiz 11 2" xfId="9271" xr:uid="{00000000-0005-0000-0000-00005D4D0000}"/>
    <cellStyle name="Notiz 11 2 2" xfId="18686" xr:uid="{00000000-0005-0000-0000-00005E4D0000}"/>
    <cellStyle name="Notiz 11 2_est. MEAT" xfId="25041" xr:uid="{00000000-0005-0000-0000-00005F4D0000}"/>
    <cellStyle name="Notiz 11 3" xfId="18685" xr:uid="{00000000-0005-0000-0000-0000604D0000}"/>
    <cellStyle name="Notiz 11_2012-2019" xfId="12923" xr:uid="{00000000-0005-0000-0000-0000614D0000}"/>
    <cellStyle name="Notiz 110" xfId="9272" xr:uid="{00000000-0005-0000-0000-0000624D0000}"/>
    <cellStyle name="Notiz 110 2" xfId="9273" xr:uid="{00000000-0005-0000-0000-0000634D0000}"/>
    <cellStyle name="Notiz 110 2 2" xfId="18688" xr:uid="{00000000-0005-0000-0000-0000644D0000}"/>
    <cellStyle name="Notiz 110 2_est. MEAT" xfId="25042" xr:uid="{00000000-0005-0000-0000-0000654D0000}"/>
    <cellStyle name="Notiz 110 3" xfId="18687" xr:uid="{00000000-0005-0000-0000-0000664D0000}"/>
    <cellStyle name="Notiz 110_2012-2019" xfId="12924" xr:uid="{00000000-0005-0000-0000-0000674D0000}"/>
    <cellStyle name="Notiz 111" xfId="9274" xr:uid="{00000000-0005-0000-0000-0000684D0000}"/>
    <cellStyle name="Notiz 111 2" xfId="9275" xr:uid="{00000000-0005-0000-0000-0000694D0000}"/>
    <cellStyle name="Notiz 111 2 2" xfId="18690" xr:uid="{00000000-0005-0000-0000-00006A4D0000}"/>
    <cellStyle name="Notiz 111 2_est. MEAT" xfId="25043" xr:uid="{00000000-0005-0000-0000-00006B4D0000}"/>
    <cellStyle name="Notiz 111 3" xfId="18689" xr:uid="{00000000-0005-0000-0000-00006C4D0000}"/>
    <cellStyle name="Notiz 111_2012-2019" xfId="12925" xr:uid="{00000000-0005-0000-0000-00006D4D0000}"/>
    <cellStyle name="Notiz 112" xfId="9276" xr:uid="{00000000-0005-0000-0000-00006E4D0000}"/>
    <cellStyle name="Notiz 112 2" xfId="9277" xr:uid="{00000000-0005-0000-0000-00006F4D0000}"/>
    <cellStyle name="Notiz 112 2 2" xfId="18692" xr:uid="{00000000-0005-0000-0000-0000704D0000}"/>
    <cellStyle name="Notiz 112 2_est. MEAT" xfId="25044" xr:uid="{00000000-0005-0000-0000-0000714D0000}"/>
    <cellStyle name="Notiz 112 3" xfId="18691" xr:uid="{00000000-0005-0000-0000-0000724D0000}"/>
    <cellStyle name="Notiz 112_2012-2019" xfId="12926" xr:uid="{00000000-0005-0000-0000-0000734D0000}"/>
    <cellStyle name="Notiz 113" xfId="9278" xr:uid="{00000000-0005-0000-0000-0000744D0000}"/>
    <cellStyle name="Notiz 113 2" xfId="9279" xr:uid="{00000000-0005-0000-0000-0000754D0000}"/>
    <cellStyle name="Notiz 113 2 2" xfId="18694" xr:uid="{00000000-0005-0000-0000-0000764D0000}"/>
    <cellStyle name="Notiz 113 2_est. MEAT" xfId="25045" xr:uid="{00000000-0005-0000-0000-0000774D0000}"/>
    <cellStyle name="Notiz 113 3" xfId="18693" xr:uid="{00000000-0005-0000-0000-0000784D0000}"/>
    <cellStyle name="Notiz 113_2012-2019" xfId="12927" xr:uid="{00000000-0005-0000-0000-0000794D0000}"/>
    <cellStyle name="Notiz 114" xfId="9280" xr:uid="{00000000-0005-0000-0000-00007A4D0000}"/>
    <cellStyle name="Notiz 114 2" xfId="9281" xr:uid="{00000000-0005-0000-0000-00007B4D0000}"/>
    <cellStyle name="Notiz 114 2 2" xfId="18696" xr:uid="{00000000-0005-0000-0000-00007C4D0000}"/>
    <cellStyle name="Notiz 114 2_est. MEAT" xfId="25046" xr:uid="{00000000-0005-0000-0000-00007D4D0000}"/>
    <cellStyle name="Notiz 114 3" xfId="18695" xr:uid="{00000000-0005-0000-0000-00007E4D0000}"/>
    <cellStyle name="Notiz 114_2012-2019" xfId="12928" xr:uid="{00000000-0005-0000-0000-00007F4D0000}"/>
    <cellStyle name="Notiz 115" xfId="9282" xr:uid="{00000000-0005-0000-0000-0000804D0000}"/>
    <cellStyle name="Notiz 115 2" xfId="9283" xr:uid="{00000000-0005-0000-0000-0000814D0000}"/>
    <cellStyle name="Notiz 115 2 2" xfId="18698" xr:uid="{00000000-0005-0000-0000-0000824D0000}"/>
    <cellStyle name="Notiz 115 2_est. MEAT" xfId="25047" xr:uid="{00000000-0005-0000-0000-0000834D0000}"/>
    <cellStyle name="Notiz 115 3" xfId="18697" xr:uid="{00000000-0005-0000-0000-0000844D0000}"/>
    <cellStyle name="Notiz 115_2012-2019" xfId="12929" xr:uid="{00000000-0005-0000-0000-0000854D0000}"/>
    <cellStyle name="Notiz 116" xfId="9284" xr:uid="{00000000-0005-0000-0000-0000864D0000}"/>
    <cellStyle name="Notiz 116 2" xfId="9285" xr:uid="{00000000-0005-0000-0000-0000874D0000}"/>
    <cellStyle name="Notiz 116 2 2" xfId="18700" xr:uid="{00000000-0005-0000-0000-0000884D0000}"/>
    <cellStyle name="Notiz 116 2_est. MEAT" xfId="25048" xr:uid="{00000000-0005-0000-0000-0000894D0000}"/>
    <cellStyle name="Notiz 116 3" xfId="18699" xr:uid="{00000000-0005-0000-0000-00008A4D0000}"/>
    <cellStyle name="Notiz 116_2012-2019" xfId="12930" xr:uid="{00000000-0005-0000-0000-00008B4D0000}"/>
    <cellStyle name="Notiz 117" xfId="9286" xr:uid="{00000000-0005-0000-0000-00008C4D0000}"/>
    <cellStyle name="Notiz 117 2" xfId="9287" xr:uid="{00000000-0005-0000-0000-00008D4D0000}"/>
    <cellStyle name="Notiz 117 2 2" xfId="18702" xr:uid="{00000000-0005-0000-0000-00008E4D0000}"/>
    <cellStyle name="Notiz 117 2_est. MEAT" xfId="25049" xr:uid="{00000000-0005-0000-0000-00008F4D0000}"/>
    <cellStyle name="Notiz 117 3" xfId="18701" xr:uid="{00000000-0005-0000-0000-0000904D0000}"/>
    <cellStyle name="Notiz 117_2012-2019" xfId="12931" xr:uid="{00000000-0005-0000-0000-0000914D0000}"/>
    <cellStyle name="Notiz 118" xfId="9288" xr:uid="{00000000-0005-0000-0000-0000924D0000}"/>
    <cellStyle name="Notiz 118 2" xfId="9289" xr:uid="{00000000-0005-0000-0000-0000934D0000}"/>
    <cellStyle name="Notiz 118 2 2" xfId="18704" xr:uid="{00000000-0005-0000-0000-0000944D0000}"/>
    <cellStyle name="Notiz 118 2_est. MEAT" xfId="25050" xr:uid="{00000000-0005-0000-0000-0000954D0000}"/>
    <cellStyle name="Notiz 118 3" xfId="18703" xr:uid="{00000000-0005-0000-0000-0000964D0000}"/>
    <cellStyle name="Notiz 118_2012-2019" xfId="12932" xr:uid="{00000000-0005-0000-0000-0000974D0000}"/>
    <cellStyle name="Notiz 119" xfId="9290" xr:uid="{00000000-0005-0000-0000-0000984D0000}"/>
    <cellStyle name="Notiz 119 2" xfId="9291" xr:uid="{00000000-0005-0000-0000-0000994D0000}"/>
    <cellStyle name="Notiz 119 2 2" xfId="18706" xr:uid="{00000000-0005-0000-0000-00009A4D0000}"/>
    <cellStyle name="Notiz 119 2_est. MEAT" xfId="25051" xr:uid="{00000000-0005-0000-0000-00009B4D0000}"/>
    <cellStyle name="Notiz 119 3" xfId="18705" xr:uid="{00000000-0005-0000-0000-00009C4D0000}"/>
    <cellStyle name="Notiz 119_2012-2019" xfId="12933" xr:uid="{00000000-0005-0000-0000-00009D4D0000}"/>
    <cellStyle name="Notiz 12" xfId="9292" xr:uid="{00000000-0005-0000-0000-00009E4D0000}"/>
    <cellStyle name="Notiz 12 2" xfId="9293" xr:uid="{00000000-0005-0000-0000-00009F4D0000}"/>
    <cellStyle name="Notiz 12 2 2" xfId="18708" xr:uid="{00000000-0005-0000-0000-0000A04D0000}"/>
    <cellStyle name="Notiz 12 2_est. MEAT" xfId="25052" xr:uid="{00000000-0005-0000-0000-0000A14D0000}"/>
    <cellStyle name="Notiz 12 3" xfId="18707" xr:uid="{00000000-0005-0000-0000-0000A24D0000}"/>
    <cellStyle name="Notiz 12_2012-2019" xfId="12934" xr:uid="{00000000-0005-0000-0000-0000A34D0000}"/>
    <cellStyle name="Notiz 120" xfId="9294" xr:uid="{00000000-0005-0000-0000-0000A44D0000}"/>
    <cellStyle name="Notiz 120 2" xfId="9295" xr:uid="{00000000-0005-0000-0000-0000A54D0000}"/>
    <cellStyle name="Notiz 120 2 2" xfId="18710" xr:uid="{00000000-0005-0000-0000-0000A64D0000}"/>
    <cellStyle name="Notiz 120 2_est. MEAT" xfId="25053" xr:uid="{00000000-0005-0000-0000-0000A74D0000}"/>
    <cellStyle name="Notiz 120 3" xfId="18709" xr:uid="{00000000-0005-0000-0000-0000A84D0000}"/>
    <cellStyle name="Notiz 120_2012-2019" xfId="12935" xr:uid="{00000000-0005-0000-0000-0000A94D0000}"/>
    <cellStyle name="Notiz 121" xfId="9296" xr:uid="{00000000-0005-0000-0000-0000AA4D0000}"/>
    <cellStyle name="Notiz 121 2" xfId="9297" xr:uid="{00000000-0005-0000-0000-0000AB4D0000}"/>
    <cellStyle name="Notiz 121 2 2" xfId="18712" xr:uid="{00000000-0005-0000-0000-0000AC4D0000}"/>
    <cellStyle name="Notiz 121 2_est. MEAT" xfId="25054" xr:uid="{00000000-0005-0000-0000-0000AD4D0000}"/>
    <cellStyle name="Notiz 121 3" xfId="18711" xr:uid="{00000000-0005-0000-0000-0000AE4D0000}"/>
    <cellStyle name="Notiz 121_2012-2019" xfId="12936" xr:uid="{00000000-0005-0000-0000-0000AF4D0000}"/>
    <cellStyle name="Notiz 122" xfId="9298" xr:uid="{00000000-0005-0000-0000-0000B04D0000}"/>
    <cellStyle name="Notiz 122 2" xfId="9299" xr:uid="{00000000-0005-0000-0000-0000B14D0000}"/>
    <cellStyle name="Notiz 122 2 2" xfId="18714" xr:uid="{00000000-0005-0000-0000-0000B24D0000}"/>
    <cellStyle name="Notiz 122 2_est. MEAT" xfId="25055" xr:uid="{00000000-0005-0000-0000-0000B34D0000}"/>
    <cellStyle name="Notiz 122 3" xfId="18713" xr:uid="{00000000-0005-0000-0000-0000B44D0000}"/>
    <cellStyle name="Notiz 122_2012-2019" xfId="12937" xr:uid="{00000000-0005-0000-0000-0000B54D0000}"/>
    <cellStyle name="Notiz 123" xfId="9300" xr:uid="{00000000-0005-0000-0000-0000B64D0000}"/>
    <cellStyle name="Notiz 123 2" xfId="9301" xr:uid="{00000000-0005-0000-0000-0000B74D0000}"/>
    <cellStyle name="Notiz 123 2 2" xfId="18716" xr:uid="{00000000-0005-0000-0000-0000B84D0000}"/>
    <cellStyle name="Notiz 123 2_est. MEAT" xfId="25056" xr:uid="{00000000-0005-0000-0000-0000B94D0000}"/>
    <cellStyle name="Notiz 123 3" xfId="18715" xr:uid="{00000000-0005-0000-0000-0000BA4D0000}"/>
    <cellStyle name="Notiz 123_2012-2019" xfId="12938" xr:uid="{00000000-0005-0000-0000-0000BB4D0000}"/>
    <cellStyle name="Notiz 124" xfId="9302" xr:uid="{00000000-0005-0000-0000-0000BC4D0000}"/>
    <cellStyle name="Notiz 124 2" xfId="9303" xr:uid="{00000000-0005-0000-0000-0000BD4D0000}"/>
    <cellStyle name="Notiz 124 2 2" xfId="18718" xr:uid="{00000000-0005-0000-0000-0000BE4D0000}"/>
    <cellStyle name="Notiz 124 2_est. MEAT" xfId="25057" xr:uid="{00000000-0005-0000-0000-0000BF4D0000}"/>
    <cellStyle name="Notiz 124 3" xfId="18717" xr:uid="{00000000-0005-0000-0000-0000C04D0000}"/>
    <cellStyle name="Notiz 124_2012-2019" xfId="12939" xr:uid="{00000000-0005-0000-0000-0000C14D0000}"/>
    <cellStyle name="Notiz 125" xfId="9304" xr:uid="{00000000-0005-0000-0000-0000C24D0000}"/>
    <cellStyle name="Notiz 125 2" xfId="9305" xr:uid="{00000000-0005-0000-0000-0000C34D0000}"/>
    <cellStyle name="Notiz 125 2 2" xfId="18720" xr:uid="{00000000-0005-0000-0000-0000C44D0000}"/>
    <cellStyle name="Notiz 125 2_est. MEAT" xfId="25058" xr:uid="{00000000-0005-0000-0000-0000C54D0000}"/>
    <cellStyle name="Notiz 125 3" xfId="18719" xr:uid="{00000000-0005-0000-0000-0000C64D0000}"/>
    <cellStyle name="Notiz 125_2012-2019" xfId="12940" xr:uid="{00000000-0005-0000-0000-0000C74D0000}"/>
    <cellStyle name="Notiz 126" xfId="9306" xr:uid="{00000000-0005-0000-0000-0000C84D0000}"/>
    <cellStyle name="Notiz 126 2" xfId="9307" xr:uid="{00000000-0005-0000-0000-0000C94D0000}"/>
    <cellStyle name="Notiz 126 2 2" xfId="18722" xr:uid="{00000000-0005-0000-0000-0000CA4D0000}"/>
    <cellStyle name="Notiz 126 2_est. MEAT" xfId="25059" xr:uid="{00000000-0005-0000-0000-0000CB4D0000}"/>
    <cellStyle name="Notiz 126 3" xfId="18721" xr:uid="{00000000-0005-0000-0000-0000CC4D0000}"/>
    <cellStyle name="Notiz 126_2012-2019" xfId="12941" xr:uid="{00000000-0005-0000-0000-0000CD4D0000}"/>
    <cellStyle name="Notiz 127" xfId="9308" xr:uid="{00000000-0005-0000-0000-0000CE4D0000}"/>
    <cellStyle name="Notiz 127 2" xfId="9309" xr:uid="{00000000-0005-0000-0000-0000CF4D0000}"/>
    <cellStyle name="Notiz 127 2 2" xfId="18724" xr:uid="{00000000-0005-0000-0000-0000D04D0000}"/>
    <cellStyle name="Notiz 127 2_est. MEAT" xfId="25060" xr:uid="{00000000-0005-0000-0000-0000D14D0000}"/>
    <cellStyle name="Notiz 127 3" xfId="18723" xr:uid="{00000000-0005-0000-0000-0000D24D0000}"/>
    <cellStyle name="Notiz 127_2012-2019" xfId="12942" xr:uid="{00000000-0005-0000-0000-0000D34D0000}"/>
    <cellStyle name="Notiz 128" xfId="9310" xr:uid="{00000000-0005-0000-0000-0000D44D0000}"/>
    <cellStyle name="Notiz 128 2" xfId="9311" xr:uid="{00000000-0005-0000-0000-0000D54D0000}"/>
    <cellStyle name="Notiz 128 2 2" xfId="18726" xr:uid="{00000000-0005-0000-0000-0000D64D0000}"/>
    <cellStyle name="Notiz 128 2_est. MEAT" xfId="25061" xr:uid="{00000000-0005-0000-0000-0000D74D0000}"/>
    <cellStyle name="Notiz 128 3" xfId="18725" xr:uid="{00000000-0005-0000-0000-0000D84D0000}"/>
    <cellStyle name="Notiz 128_2012-2019" xfId="12943" xr:uid="{00000000-0005-0000-0000-0000D94D0000}"/>
    <cellStyle name="Notiz 129" xfId="9312" xr:uid="{00000000-0005-0000-0000-0000DA4D0000}"/>
    <cellStyle name="Notiz 129 2" xfId="9313" xr:uid="{00000000-0005-0000-0000-0000DB4D0000}"/>
    <cellStyle name="Notiz 129 2 2" xfId="18728" xr:uid="{00000000-0005-0000-0000-0000DC4D0000}"/>
    <cellStyle name="Notiz 129 2_est. MEAT" xfId="25062" xr:uid="{00000000-0005-0000-0000-0000DD4D0000}"/>
    <cellStyle name="Notiz 129 3" xfId="18727" xr:uid="{00000000-0005-0000-0000-0000DE4D0000}"/>
    <cellStyle name="Notiz 129_2012-2019" xfId="12944" xr:uid="{00000000-0005-0000-0000-0000DF4D0000}"/>
    <cellStyle name="Notiz 13" xfId="9314" xr:uid="{00000000-0005-0000-0000-0000E04D0000}"/>
    <cellStyle name="Notiz 13 2" xfId="9315" xr:uid="{00000000-0005-0000-0000-0000E14D0000}"/>
    <cellStyle name="Notiz 13 2 2" xfId="18730" xr:uid="{00000000-0005-0000-0000-0000E24D0000}"/>
    <cellStyle name="Notiz 13 2_est. MEAT" xfId="25063" xr:uid="{00000000-0005-0000-0000-0000E34D0000}"/>
    <cellStyle name="Notiz 13 3" xfId="18729" xr:uid="{00000000-0005-0000-0000-0000E44D0000}"/>
    <cellStyle name="Notiz 13_2012-2019" xfId="12945" xr:uid="{00000000-0005-0000-0000-0000E54D0000}"/>
    <cellStyle name="Notiz 130" xfId="9316" xr:uid="{00000000-0005-0000-0000-0000E64D0000}"/>
    <cellStyle name="Notiz 130 2" xfId="9317" xr:uid="{00000000-0005-0000-0000-0000E74D0000}"/>
    <cellStyle name="Notiz 130 2 2" xfId="18732" xr:uid="{00000000-0005-0000-0000-0000E84D0000}"/>
    <cellStyle name="Notiz 130 2_est. MEAT" xfId="25064" xr:uid="{00000000-0005-0000-0000-0000E94D0000}"/>
    <cellStyle name="Notiz 130 3" xfId="18731" xr:uid="{00000000-0005-0000-0000-0000EA4D0000}"/>
    <cellStyle name="Notiz 130_2012-2019" xfId="12946" xr:uid="{00000000-0005-0000-0000-0000EB4D0000}"/>
    <cellStyle name="Notiz 131" xfId="9318" xr:uid="{00000000-0005-0000-0000-0000EC4D0000}"/>
    <cellStyle name="Notiz 131 2" xfId="9319" xr:uid="{00000000-0005-0000-0000-0000ED4D0000}"/>
    <cellStyle name="Notiz 131 2 2" xfId="18734" xr:uid="{00000000-0005-0000-0000-0000EE4D0000}"/>
    <cellStyle name="Notiz 131 2_est. MEAT" xfId="25065" xr:uid="{00000000-0005-0000-0000-0000EF4D0000}"/>
    <cellStyle name="Notiz 131 3" xfId="18733" xr:uid="{00000000-0005-0000-0000-0000F04D0000}"/>
    <cellStyle name="Notiz 131_2012-2019" xfId="12947" xr:uid="{00000000-0005-0000-0000-0000F14D0000}"/>
    <cellStyle name="Notiz 132" xfId="9320" xr:uid="{00000000-0005-0000-0000-0000F24D0000}"/>
    <cellStyle name="Notiz 132 2" xfId="9321" xr:uid="{00000000-0005-0000-0000-0000F34D0000}"/>
    <cellStyle name="Notiz 132 2 2" xfId="18736" xr:uid="{00000000-0005-0000-0000-0000F44D0000}"/>
    <cellStyle name="Notiz 132 2_est. MEAT" xfId="25066" xr:uid="{00000000-0005-0000-0000-0000F54D0000}"/>
    <cellStyle name="Notiz 132 3" xfId="18735" xr:uid="{00000000-0005-0000-0000-0000F64D0000}"/>
    <cellStyle name="Notiz 132_2012-2019" xfId="12948" xr:uid="{00000000-0005-0000-0000-0000F74D0000}"/>
    <cellStyle name="Notiz 133" xfId="9322" xr:uid="{00000000-0005-0000-0000-0000F84D0000}"/>
    <cellStyle name="Notiz 133 2" xfId="9323" xr:uid="{00000000-0005-0000-0000-0000F94D0000}"/>
    <cellStyle name="Notiz 133 2 2" xfId="18738" xr:uid="{00000000-0005-0000-0000-0000FA4D0000}"/>
    <cellStyle name="Notiz 133 2_est. MEAT" xfId="25067" xr:uid="{00000000-0005-0000-0000-0000FB4D0000}"/>
    <cellStyle name="Notiz 133 3" xfId="18737" xr:uid="{00000000-0005-0000-0000-0000FC4D0000}"/>
    <cellStyle name="Notiz 133_2012-2019" xfId="12949" xr:uid="{00000000-0005-0000-0000-0000FD4D0000}"/>
    <cellStyle name="Notiz 134" xfId="9324" xr:uid="{00000000-0005-0000-0000-0000FE4D0000}"/>
    <cellStyle name="Notiz 134 2" xfId="9325" xr:uid="{00000000-0005-0000-0000-0000FF4D0000}"/>
    <cellStyle name="Notiz 134 2 2" xfId="18740" xr:uid="{00000000-0005-0000-0000-0000004E0000}"/>
    <cellStyle name="Notiz 134 2_est. MEAT" xfId="25068" xr:uid="{00000000-0005-0000-0000-0000014E0000}"/>
    <cellStyle name="Notiz 134 3" xfId="18739" xr:uid="{00000000-0005-0000-0000-0000024E0000}"/>
    <cellStyle name="Notiz 134_2012-2019" xfId="12950" xr:uid="{00000000-0005-0000-0000-0000034E0000}"/>
    <cellStyle name="Notiz 135" xfId="9326" xr:uid="{00000000-0005-0000-0000-0000044E0000}"/>
    <cellStyle name="Notiz 135 2" xfId="9327" xr:uid="{00000000-0005-0000-0000-0000054E0000}"/>
    <cellStyle name="Notiz 135 2 2" xfId="18742" xr:uid="{00000000-0005-0000-0000-0000064E0000}"/>
    <cellStyle name="Notiz 135 2_est. MEAT" xfId="25069" xr:uid="{00000000-0005-0000-0000-0000074E0000}"/>
    <cellStyle name="Notiz 135 3" xfId="18741" xr:uid="{00000000-0005-0000-0000-0000084E0000}"/>
    <cellStyle name="Notiz 135_2012-2019" xfId="12951" xr:uid="{00000000-0005-0000-0000-0000094E0000}"/>
    <cellStyle name="Notiz 136" xfId="9328" xr:uid="{00000000-0005-0000-0000-00000A4E0000}"/>
    <cellStyle name="Notiz 136 2" xfId="9329" xr:uid="{00000000-0005-0000-0000-00000B4E0000}"/>
    <cellStyle name="Notiz 136 2 2" xfId="18744" xr:uid="{00000000-0005-0000-0000-00000C4E0000}"/>
    <cellStyle name="Notiz 136 2_est. MEAT" xfId="25070" xr:uid="{00000000-0005-0000-0000-00000D4E0000}"/>
    <cellStyle name="Notiz 136 3" xfId="18743" xr:uid="{00000000-0005-0000-0000-00000E4E0000}"/>
    <cellStyle name="Notiz 136_2012-2019" xfId="12952" xr:uid="{00000000-0005-0000-0000-00000F4E0000}"/>
    <cellStyle name="Notiz 137" xfId="9330" xr:uid="{00000000-0005-0000-0000-0000104E0000}"/>
    <cellStyle name="Notiz 137 2" xfId="9331" xr:uid="{00000000-0005-0000-0000-0000114E0000}"/>
    <cellStyle name="Notiz 137 2 2" xfId="18746" xr:uid="{00000000-0005-0000-0000-0000124E0000}"/>
    <cellStyle name="Notiz 137 2_est. MEAT" xfId="25071" xr:uid="{00000000-0005-0000-0000-0000134E0000}"/>
    <cellStyle name="Notiz 137 3" xfId="18745" xr:uid="{00000000-0005-0000-0000-0000144E0000}"/>
    <cellStyle name="Notiz 137_2012-2019" xfId="12953" xr:uid="{00000000-0005-0000-0000-0000154E0000}"/>
    <cellStyle name="Notiz 138" xfId="9332" xr:uid="{00000000-0005-0000-0000-0000164E0000}"/>
    <cellStyle name="Notiz 138 2" xfId="9333" xr:uid="{00000000-0005-0000-0000-0000174E0000}"/>
    <cellStyle name="Notiz 138 2 2" xfId="18748" xr:uid="{00000000-0005-0000-0000-0000184E0000}"/>
    <cellStyle name="Notiz 138 2_est. MEAT" xfId="25072" xr:uid="{00000000-0005-0000-0000-0000194E0000}"/>
    <cellStyle name="Notiz 138 3" xfId="18747" xr:uid="{00000000-0005-0000-0000-00001A4E0000}"/>
    <cellStyle name="Notiz 138_2012-2019" xfId="12954" xr:uid="{00000000-0005-0000-0000-00001B4E0000}"/>
    <cellStyle name="Notiz 139" xfId="9334" xr:uid="{00000000-0005-0000-0000-00001C4E0000}"/>
    <cellStyle name="Notiz 139 2" xfId="9335" xr:uid="{00000000-0005-0000-0000-00001D4E0000}"/>
    <cellStyle name="Notiz 139 2 2" xfId="18750" xr:uid="{00000000-0005-0000-0000-00001E4E0000}"/>
    <cellStyle name="Notiz 139 2_est. MEAT" xfId="25073" xr:uid="{00000000-0005-0000-0000-00001F4E0000}"/>
    <cellStyle name="Notiz 139 3" xfId="18749" xr:uid="{00000000-0005-0000-0000-0000204E0000}"/>
    <cellStyle name="Notiz 139_2012-2019" xfId="12955" xr:uid="{00000000-0005-0000-0000-0000214E0000}"/>
    <cellStyle name="Notiz 14" xfId="9336" xr:uid="{00000000-0005-0000-0000-0000224E0000}"/>
    <cellStyle name="Notiz 14 2" xfId="9337" xr:uid="{00000000-0005-0000-0000-0000234E0000}"/>
    <cellStyle name="Notiz 14 2 2" xfId="18752" xr:uid="{00000000-0005-0000-0000-0000244E0000}"/>
    <cellStyle name="Notiz 14 2_est. MEAT" xfId="25074" xr:uid="{00000000-0005-0000-0000-0000254E0000}"/>
    <cellStyle name="Notiz 14 3" xfId="18751" xr:uid="{00000000-0005-0000-0000-0000264E0000}"/>
    <cellStyle name="Notiz 14_2012-2019" xfId="12956" xr:uid="{00000000-0005-0000-0000-0000274E0000}"/>
    <cellStyle name="Notiz 140" xfId="9338" xr:uid="{00000000-0005-0000-0000-0000284E0000}"/>
    <cellStyle name="Notiz 140 2" xfId="9339" xr:uid="{00000000-0005-0000-0000-0000294E0000}"/>
    <cellStyle name="Notiz 140 2 2" xfId="18754" xr:uid="{00000000-0005-0000-0000-00002A4E0000}"/>
    <cellStyle name="Notiz 140 2_est. MEAT" xfId="25075" xr:uid="{00000000-0005-0000-0000-00002B4E0000}"/>
    <cellStyle name="Notiz 140 3" xfId="18753" xr:uid="{00000000-0005-0000-0000-00002C4E0000}"/>
    <cellStyle name="Notiz 140_2012-2019" xfId="12957" xr:uid="{00000000-0005-0000-0000-00002D4E0000}"/>
    <cellStyle name="Notiz 141" xfId="9340" xr:uid="{00000000-0005-0000-0000-00002E4E0000}"/>
    <cellStyle name="Notiz 141 2" xfId="9341" xr:uid="{00000000-0005-0000-0000-00002F4E0000}"/>
    <cellStyle name="Notiz 141 2 2" xfId="18756" xr:uid="{00000000-0005-0000-0000-0000304E0000}"/>
    <cellStyle name="Notiz 141 2_est. MEAT" xfId="25076" xr:uid="{00000000-0005-0000-0000-0000314E0000}"/>
    <cellStyle name="Notiz 141 3" xfId="18755" xr:uid="{00000000-0005-0000-0000-0000324E0000}"/>
    <cellStyle name="Notiz 141_2012-2019" xfId="12958" xr:uid="{00000000-0005-0000-0000-0000334E0000}"/>
    <cellStyle name="Notiz 142" xfId="9342" xr:uid="{00000000-0005-0000-0000-0000344E0000}"/>
    <cellStyle name="Notiz 142 2" xfId="9343" xr:uid="{00000000-0005-0000-0000-0000354E0000}"/>
    <cellStyle name="Notiz 142 2 2" xfId="18758" xr:uid="{00000000-0005-0000-0000-0000364E0000}"/>
    <cellStyle name="Notiz 142 2_est. MEAT" xfId="25077" xr:uid="{00000000-0005-0000-0000-0000374E0000}"/>
    <cellStyle name="Notiz 142 3" xfId="18757" xr:uid="{00000000-0005-0000-0000-0000384E0000}"/>
    <cellStyle name="Notiz 142_2012-2019" xfId="12959" xr:uid="{00000000-0005-0000-0000-0000394E0000}"/>
    <cellStyle name="Notiz 143" xfId="9344" xr:uid="{00000000-0005-0000-0000-00003A4E0000}"/>
    <cellStyle name="Notiz 143 2" xfId="9345" xr:uid="{00000000-0005-0000-0000-00003B4E0000}"/>
    <cellStyle name="Notiz 143 2 2" xfId="18760" xr:uid="{00000000-0005-0000-0000-00003C4E0000}"/>
    <cellStyle name="Notiz 143 2_est. MEAT" xfId="25078" xr:uid="{00000000-0005-0000-0000-00003D4E0000}"/>
    <cellStyle name="Notiz 143 3" xfId="18759" xr:uid="{00000000-0005-0000-0000-00003E4E0000}"/>
    <cellStyle name="Notiz 143_2012-2019" xfId="12960" xr:uid="{00000000-0005-0000-0000-00003F4E0000}"/>
    <cellStyle name="Notiz 144" xfId="9346" xr:uid="{00000000-0005-0000-0000-0000404E0000}"/>
    <cellStyle name="Notiz 144 2" xfId="9347" xr:uid="{00000000-0005-0000-0000-0000414E0000}"/>
    <cellStyle name="Notiz 144 2 2" xfId="18762" xr:uid="{00000000-0005-0000-0000-0000424E0000}"/>
    <cellStyle name="Notiz 144 2_est. MEAT" xfId="25079" xr:uid="{00000000-0005-0000-0000-0000434E0000}"/>
    <cellStyle name="Notiz 144 3" xfId="18761" xr:uid="{00000000-0005-0000-0000-0000444E0000}"/>
    <cellStyle name="Notiz 144_2012-2019" xfId="12961" xr:uid="{00000000-0005-0000-0000-0000454E0000}"/>
    <cellStyle name="Notiz 145" xfId="9348" xr:uid="{00000000-0005-0000-0000-0000464E0000}"/>
    <cellStyle name="Notiz 145 2" xfId="9349" xr:uid="{00000000-0005-0000-0000-0000474E0000}"/>
    <cellStyle name="Notiz 145 2 2" xfId="18764" xr:uid="{00000000-0005-0000-0000-0000484E0000}"/>
    <cellStyle name="Notiz 145 2_est. MEAT" xfId="25080" xr:uid="{00000000-0005-0000-0000-0000494E0000}"/>
    <cellStyle name="Notiz 145 3" xfId="18763" xr:uid="{00000000-0005-0000-0000-00004A4E0000}"/>
    <cellStyle name="Notiz 145_2012-2019" xfId="12962" xr:uid="{00000000-0005-0000-0000-00004B4E0000}"/>
    <cellStyle name="Notiz 146" xfId="9350" xr:uid="{00000000-0005-0000-0000-00004C4E0000}"/>
    <cellStyle name="Notiz 146 2" xfId="9351" xr:uid="{00000000-0005-0000-0000-00004D4E0000}"/>
    <cellStyle name="Notiz 146 2 2" xfId="18766" xr:uid="{00000000-0005-0000-0000-00004E4E0000}"/>
    <cellStyle name="Notiz 146 2_est. MEAT" xfId="25081" xr:uid="{00000000-0005-0000-0000-00004F4E0000}"/>
    <cellStyle name="Notiz 146 3" xfId="18765" xr:uid="{00000000-0005-0000-0000-0000504E0000}"/>
    <cellStyle name="Notiz 146_2012-2019" xfId="12963" xr:uid="{00000000-0005-0000-0000-0000514E0000}"/>
    <cellStyle name="Notiz 147" xfId="9352" xr:uid="{00000000-0005-0000-0000-0000524E0000}"/>
    <cellStyle name="Notiz 147 2" xfId="9353" xr:uid="{00000000-0005-0000-0000-0000534E0000}"/>
    <cellStyle name="Notiz 147 2 2" xfId="18768" xr:uid="{00000000-0005-0000-0000-0000544E0000}"/>
    <cellStyle name="Notiz 147 2_est. MEAT" xfId="25082" xr:uid="{00000000-0005-0000-0000-0000554E0000}"/>
    <cellStyle name="Notiz 147 3" xfId="18767" xr:uid="{00000000-0005-0000-0000-0000564E0000}"/>
    <cellStyle name="Notiz 147_2012-2019" xfId="12964" xr:uid="{00000000-0005-0000-0000-0000574E0000}"/>
    <cellStyle name="Notiz 148" xfId="9354" xr:uid="{00000000-0005-0000-0000-0000584E0000}"/>
    <cellStyle name="Notiz 148 2" xfId="9355" xr:uid="{00000000-0005-0000-0000-0000594E0000}"/>
    <cellStyle name="Notiz 148 2 2" xfId="18770" xr:uid="{00000000-0005-0000-0000-00005A4E0000}"/>
    <cellStyle name="Notiz 148 2_est. MEAT" xfId="25083" xr:uid="{00000000-0005-0000-0000-00005B4E0000}"/>
    <cellStyle name="Notiz 148 3" xfId="18769" xr:uid="{00000000-0005-0000-0000-00005C4E0000}"/>
    <cellStyle name="Notiz 148_2012-2019" xfId="12965" xr:uid="{00000000-0005-0000-0000-00005D4E0000}"/>
    <cellStyle name="Notiz 149" xfId="9356" xr:uid="{00000000-0005-0000-0000-00005E4E0000}"/>
    <cellStyle name="Notiz 149 2" xfId="9357" xr:uid="{00000000-0005-0000-0000-00005F4E0000}"/>
    <cellStyle name="Notiz 149 2 2" xfId="18772" xr:uid="{00000000-0005-0000-0000-0000604E0000}"/>
    <cellStyle name="Notiz 149 2_est. MEAT" xfId="25084" xr:uid="{00000000-0005-0000-0000-0000614E0000}"/>
    <cellStyle name="Notiz 149 3" xfId="18771" xr:uid="{00000000-0005-0000-0000-0000624E0000}"/>
    <cellStyle name="Notiz 149_2012-2019" xfId="12966" xr:uid="{00000000-0005-0000-0000-0000634E0000}"/>
    <cellStyle name="Notiz 15" xfId="9358" xr:uid="{00000000-0005-0000-0000-0000644E0000}"/>
    <cellStyle name="Notiz 15 2" xfId="9359" xr:uid="{00000000-0005-0000-0000-0000654E0000}"/>
    <cellStyle name="Notiz 15 2 2" xfId="9360" xr:uid="{00000000-0005-0000-0000-0000664E0000}"/>
    <cellStyle name="Notiz 15 2 2 2" xfId="18775" xr:uid="{00000000-0005-0000-0000-0000674E0000}"/>
    <cellStyle name="Notiz 15 2 2_est. MEAT" xfId="25085" xr:uid="{00000000-0005-0000-0000-0000684E0000}"/>
    <cellStyle name="Notiz 15 2 3" xfId="18774" xr:uid="{00000000-0005-0000-0000-0000694E0000}"/>
    <cellStyle name="Notiz 15 2_2012-2019" xfId="12968" xr:uid="{00000000-0005-0000-0000-00006A4E0000}"/>
    <cellStyle name="Notiz 15 3" xfId="9361" xr:uid="{00000000-0005-0000-0000-00006B4E0000}"/>
    <cellStyle name="Notiz 15 3 2" xfId="18776" xr:uid="{00000000-0005-0000-0000-00006C4E0000}"/>
    <cellStyle name="Notiz 15 3_est. MEAT" xfId="25086" xr:uid="{00000000-0005-0000-0000-00006D4E0000}"/>
    <cellStyle name="Notiz 15 4" xfId="18773" xr:uid="{00000000-0005-0000-0000-00006E4E0000}"/>
    <cellStyle name="Notiz 15_2012-2019" xfId="12967" xr:uid="{00000000-0005-0000-0000-00006F4E0000}"/>
    <cellStyle name="Notiz 150" xfId="9362" xr:uid="{00000000-0005-0000-0000-0000704E0000}"/>
    <cellStyle name="Notiz 150 2" xfId="9363" xr:uid="{00000000-0005-0000-0000-0000714E0000}"/>
    <cellStyle name="Notiz 150 2 2" xfId="18778" xr:uid="{00000000-0005-0000-0000-0000724E0000}"/>
    <cellStyle name="Notiz 150 2_est. MEAT" xfId="25087" xr:uid="{00000000-0005-0000-0000-0000734E0000}"/>
    <cellStyle name="Notiz 150 3" xfId="18777" xr:uid="{00000000-0005-0000-0000-0000744E0000}"/>
    <cellStyle name="Notiz 150_2012-2019" xfId="12969" xr:uid="{00000000-0005-0000-0000-0000754E0000}"/>
    <cellStyle name="Notiz 151" xfId="9364" xr:uid="{00000000-0005-0000-0000-0000764E0000}"/>
    <cellStyle name="Notiz 151 2" xfId="9365" xr:uid="{00000000-0005-0000-0000-0000774E0000}"/>
    <cellStyle name="Notiz 151 2 2" xfId="18780" xr:uid="{00000000-0005-0000-0000-0000784E0000}"/>
    <cellStyle name="Notiz 151 2_est. MEAT" xfId="25088" xr:uid="{00000000-0005-0000-0000-0000794E0000}"/>
    <cellStyle name="Notiz 151 3" xfId="18779" xr:uid="{00000000-0005-0000-0000-00007A4E0000}"/>
    <cellStyle name="Notiz 151_2012-2019" xfId="12970" xr:uid="{00000000-0005-0000-0000-00007B4E0000}"/>
    <cellStyle name="Notiz 152" xfId="18662" xr:uid="{00000000-0005-0000-0000-00007C4E0000}"/>
    <cellStyle name="Notiz 16" xfId="9366" xr:uid="{00000000-0005-0000-0000-00007D4E0000}"/>
    <cellStyle name="Notiz 16 2" xfId="9367" xr:uid="{00000000-0005-0000-0000-00007E4E0000}"/>
    <cellStyle name="Notiz 16 2 2" xfId="9368" xr:uid="{00000000-0005-0000-0000-00007F4E0000}"/>
    <cellStyle name="Notiz 16 2 2 2" xfId="18783" xr:uid="{00000000-0005-0000-0000-0000804E0000}"/>
    <cellStyle name="Notiz 16 2 2_est. MEAT" xfId="25089" xr:uid="{00000000-0005-0000-0000-0000814E0000}"/>
    <cellStyle name="Notiz 16 2 3" xfId="18782" xr:uid="{00000000-0005-0000-0000-0000824E0000}"/>
    <cellStyle name="Notiz 16 2_2012-2019" xfId="12972" xr:uid="{00000000-0005-0000-0000-0000834E0000}"/>
    <cellStyle name="Notiz 16 3" xfId="9369" xr:uid="{00000000-0005-0000-0000-0000844E0000}"/>
    <cellStyle name="Notiz 16 3 2" xfId="18784" xr:uid="{00000000-0005-0000-0000-0000854E0000}"/>
    <cellStyle name="Notiz 16 3_est. MEAT" xfId="25090" xr:uid="{00000000-0005-0000-0000-0000864E0000}"/>
    <cellStyle name="Notiz 16 4" xfId="18781" xr:uid="{00000000-0005-0000-0000-0000874E0000}"/>
    <cellStyle name="Notiz 16_2012-2019" xfId="12971" xr:uid="{00000000-0005-0000-0000-0000884E0000}"/>
    <cellStyle name="Notiz 17" xfId="9370" xr:uid="{00000000-0005-0000-0000-0000894E0000}"/>
    <cellStyle name="Notiz 17 2" xfId="9371" xr:uid="{00000000-0005-0000-0000-00008A4E0000}"/>
    <cellStyle name="Notiz 17 2 2" xfId="9372" xr:uid="{00000000-0005-0000-0000-00008B4E0000}"/>
    <cellStyle name="Notiz 17 2 2 2" xfId="18787" xr:uid="{00000000-0005-0000-0000-00008C4E0000}"/>
    <cellStyle name="Notiz 17 2 2_est. MEAT" xfId="25091" xr:uid="{00000000-0005-0000-0000-00008D4E0000}"/>
    <cellStyle name="Notiz 17 2 3" xfId="18786" xr:uid="{00000000-0005-0000-0000-00008E4E0000}"/>
    <cellStyle name="Notiz 17 2_2012-2019" xfId="12974" xr:uid="{00000000-0005-0000-0000-00008F4E0000}"/>
    <cellStyle name="Notiz 17 3" xfId="9373" xr:uid="{00000000-0005-0000-0000-0000904E0000}"/>
    <cellStyle name="Notiz 17 3 2" xfId="18788" xr:uid="{00000000-0005-0000-0000-0000914E0000}"/>
    <cellStyle name="Notiz 17 3_est. MEAT" xfId="25092" xr:uid="{00000000-0005-0000-0000-0000924E0000}"/>
    <cellStyle name="Notiz 17 4" xfId="18785" xr:uid="{00000000-0005-0000-0000-0000934E0000}"/>
    <cellStyle name="Notiz 17_2012-2019" xfId="12973" xr:uid="{00000000-0005-0000-0000-0000944E0000}"/>
    <cellStyle name="Notiz 18" xfId="9374" xr:uid="{00000000-0005-0000-0000-0000954E0000}"/>
    <cellStyle name="Notiz 18 2" xfId="9375" xr:uid="{00000000-0005-0000-0000-0000964E0000}"/>
    <cellStyle name="Notiz 18 2 2" xfId="9376" xr:uid="{00000000-0005-0000-0000-0000974E0000}"/>
    <cellStyle name="Notiz 18 2 2 2" xfId="18791" xr:uid="{00000000-0005-0000-0000-0000984E0000}"/>
    <cellStyle name="Notiz 18 2 2_est. MEAT" xfId="25093" xr:uid="{00000000-0005-0000-0000-0000994E0000}"/>
    <cellStyle name="Notiz 18 2 3" xfId="18790" xr:uid="{00000000-0005-0000-0000-00009A4E0000}"/>
    <cellStyle name="Notiz 18 2_2012-2019" xfId="12976" xr:uid="{00000000-0005-0000-0000-00009B4E0000}"/>
    <cellStyle name="Notiz 18 3" xfId="9377" xr:uid="{00000000-0005-0000-0000-00009C4E0000}"/>
    <cellStyle name="Notiz 18 3 2" xfId="18792" xr:uid="{00000000-0005-0000-0000-00009D4E0000}"/>
    <cellStyle name="Notiz 18 3_est. MEAT" xfId="25094" xr:uid="{00000000-0005-0000-0000-00009E4E0000}"/>
    <cellStyle name="Notiz 18 4" xfId="18789" xr:uid="{00000000-0005-0000-0000-00009F4E0000}"/>
    <cellStyle name="Notiz 18_2012-2019" xfId="12975" xr:uid="{00000000-0005-0000-0000-0000A04E0000}"/>
    <cellStyle name="Notiz 19" xfId="9378" xr:uid="{00000000-0005-0000-0000-0000A14E0000}"/>
    <cellStyle name="Notiz 19 2" xfId="9379" xr:uid="{00000000-0005-0000-0000-0000A24E0000}"/>
    <cellStyle name="Notiz 19 2 2" xfId="9380" xr:uid="{00000000-0005-0000-0000-0000A34E0000}"/>
    <cellStyle name="Notiz 19 2 2 2" xfId="18795" xr:uid="{00000000-0005-0000-0000-0000A44E0000}"/>
    <cellStyle name="Notiz 19 2 2_est. MEAT" xfId="25095" xr:uid="{00000000-0005-0000-0000-0000A54E0000}"/>
    <cellStyle name="Notiz 19 2 3" xfId="18794" xr:uid="{00000000-0005-0000-0000-0000A64E0000}"/>
    <cellStyle name="Notiz 19 2_2012-2019" xfId="12978" xr:uid="{00000000-0005-0000-0000-0000A74E0000}"/>
    <cellStyle name="Notiz 19 3" xfId="9381" xr:uid="{00000000-0005-0000-0000-0000A84E0000}"/>
    <cellStyle name="Notiz 19 3 2" xfId="18796" xr:uid="{00000000-0005-0000-0000-0000A94E0000}"/>
    <cellStyle name="Notiz 19 3_est. MEAT" xfId="25096" xr:uid="{00000000-0005-0000-0000-0000AA4E0000}"/>
    <cellStyle name="Notiz 19 4" xfId="18793" xr:uid="{00000000-0005-0000-0000-0000AB4E0000}"/>
    <cellStyle name="Notiz 19_2012-2019" xfId="12977" xr:uid="{00000000-0005-0000-0000-0000AC4E0000}"/>
    <cellStyle name="Notiz 2" xfId="9382" xr:uid="{00000000-0005-0000-0000-0000AD4E0000}"/>
    <cellStyle name="Notiz 2 2" xfId="9383" xr:uid="{00000000-0005-0000-0000-0000AE4E0000}"/>
    <cellStyle name="Notiz 2 2 2" xfId="9384" xr:uid="{00000000-0005-0000-0000-0000AF4E0000}"/>
    <cellStyle name="Notiz 2 2 2 2" xfId="18799" xr:uid="{00000000-0005-0000-0000-0000B04E0000}"/>
    <cellStyle name="Notiz 2 2 2_est. MEAT" xfId="25097" xr:uid="{00000000-0005-0000-0000-0000B14E0000}"/>
    <cellStyle name="Notiz 2 2 3" xfId="18798" xr:uid="{00000000-0005-0000-0000-0000B24E0000}"/>
    <cellStyle name="Notiz 2 2_2012-2019" xfId="12980" xr:uid="{00000000-0005-0000-0000-0000B34E0000}"/>
    <cellStyle name="Notiz 2 3" xfId="9385" xr:uid="{00000000-0005-0000-0000-0000B44E0000}"/>
    <cellStyle name="Notiz 2 3 2" xfId="9386" xr:uid="{00000000-0005-0000-0000-0000B54E0000}"/>
    <cellStyle name="Notiz 2 3 2 2" xfId="18801" xr:uid="{00000000-0005-0000-0000-0000B64E0000}"/>
    <cellStyle name="Notiz 2 3 2_est. MEAT" xfId="25098" xr:uid="{00000000-0005-0000-0000-0000B74E0000}"/>
    <cellStyle name="Notiz 2 3 3" xfId="18800" xr:uid="{00000000-0005-0000-0000-0000B84E0000}"/>
    <cellStyle name="Notiz 2 3_2012-2019" xfId="12981" xr:uid="{00000000-0005-0000-0000-0000B94E0000}"/>
    <cellStyle name="Notiz 2 4" xfId="9387" xr:uid="{00000000-0005-0000-0000-0000BA4E0000}"/>
    <cellStyle name="Notiz 2 4 2" xfId="9388" xr:uid="{00000000-0005-0000-0000-0000BB4E0000}"/>
    <cellStyle name="Notiz 2 4 2 2" xfId="18803" xr:uid="{00000000-0005-0000-0000-0000BC4E0000}"/>
    <cellStyle name="Notiz 2 4 2_est. MEAT" xfId="25099" xr:uid="{00000000-0005-0000-0000-0000BD4E0000}"/>
    <cellStyle name="Notiz 2 4 3" xfId="18802" xr:uid="{00000000-0005-0000-0000-0000BE4E0000}"/>
    <cellStyle name="Notiz 2 4_2012-2019" xfId="12982" xr:uid="{00000000-0005-0000-0000-0000BF4E0000}"/>
    <cellStyle name="Notiz 2 5" xfId="9389" xr:uid="{00000000-0005-0000-0000-0000C04E0000}"/>
    <cellStyle name="Notiz 2 5 2" xfId="18804" xr:uid="{00000000-0005-0000-0000-0000C14E0000}"/>
    <cellStyle name="Notiz 2 5_est. MEAT" xfId="25100" xr:uid="{00000000-0005-0000-0000-0000C24E0000}"/>
    <cellStyle name="Notiz 2 6" xfId="18797" xr:uid="{00000000-0005-0000-0000-0000C34E0000}"/>
    <cellStyle name="Notiz 2_2012-2019" xfId="12979" xr:uid="{00000000-0005-0000-0000-0000C44E0000}"/>
    <cellStyle name="Notiz 20" xfId="9390" xr:uid="{00000000-0005-0000-0000-0000C54E0000}"/>
    <cellStyle name="Notiz 20 2" xfId="9391" xr:uid="{00000000-0005-0000-0000-0000C64E0000}"/>
    <cellStyle name="Notiz 20 2 2" xfId="9392" xr:uid="{00000000-0005-0000-0000-0000C74E0000}"/>
    <cellStyle name="Notiz 20 2 2 2" xfId="18807" xr:uid="{00000000-0005-0000-0000-0000C84E0000}"/>
    <cellStyle name="Notiz 20 2 2_est. MEAT" xfId="25101" xr:uid="{00000000-0005-0000-0000-0000C94E0000}"/>
    <cellStyle name="Notiz 20 2 3" xfId="18806" xr:uid="{00000000-0005-0000-0000-0000CA4E0000}"/>
    <cellStyle name="Notiz 20 2_2012-2019" xfId="12984" xr:uid="{00000000-0005-0000-0000-0000CB4E0000}"/>
    <cellStyle name="Notiz 20 3" xfId="9393" xr:uid="{00000000-0005-0000-0000-0000CC4E0000}"/>
    <cellStyle name="Notiz 20 3 2" xfId="18808" xr:uid="{00000000-0005-0000-0000-0000CD4E0000}"/>
    <cellStyle name="Notiz 20 3_est. MEAT" xfId="25102" xr:uid="{00000000-0005-0000-0000-0000CE4E0000}"/>
    <cellStyle name="Notiz 20 4" xfId="18805" xr:uid="{00000000-0005-0000-0000-0000CF4E0000}"/>
    <cellStyle name="Notiz 20_2012-2019" xfId="12983" xr:uid="{00000000-0005-0000-0000-0000D04E0000}"/>
    <cellStyle name="Notiz 21" xfId="9394" xr:uid="{00000000-0005-0000-0000-0000D14E0000}"/>
    <cellStyle name="Notiz 21 2" xfId="9395" xr:uid="{00000000-0005-0000-0000-0000D24E0000}"/>
    <cellStyle name="Notiz 21 2 2" xfId="9396" xr:uid="{00000000-0005-0000-0000-0000D34E0000}"/>
    <cellStyle name="Notiz 21 2 2 2" xfId="18811" xr:uid="{00000000-0005-0000-0000-0000D44E0000}"/>
    <cellStyle name="Notiz 21 2 2_est. MEAT" xfId="25103" xr:uid="{00000000-0005-0000-0000-0000D54E0000}"/>
    <cellStyle name="Notiz 21 2 3" xfId="18810" xr:uid="{00000000-0005-0000-0000-0000D64E0000}"/>
    <cellStyle name="Notiz 21 2_2012-2019" xfId="12986" xr:uid="{00000000-0005-0000-0000-0000D74E0000}"/>
    <cellStyle name="Notiz 21 3" xfId="9397" xr:uid="{00000000-0005-0000-0000-0000D84E0000}"/>
    <cellStyle name="Notiz 21 3 2" xfId="18812" xr:uid="{00000000-0005-0000-0000-0000D94E0000}"/>
    <cellStyle name="Notiz 21 3_est. MEAT" xfId="25104" xr:uid="{00000000-0005-0000-0000-0000DA4E0000}"/>
    <cellStyle name="Notiz 21 4" xfId="18809" xr:uid="{00000000-0005-0000-0000-0000DB4E0000}"/>
    <cellStyle name="Notiz 21_2012-2019" xfId="12985" xr:uid="{00000000-0005-0000-0000-0000DC4E0000}"/>
    <cellStyle name="Notiz 22" xfId="9398" xr:uid="{00000000-0005-0000-0000-0000DD4E0000}"/>
    <cellStyle name="Notiz 22 2" xfId="9399" xr:uid="{00000000-0005-0000-0000-0000DE4E0000}"/>
    <cellStyle name="Notiz 22 2 2" xfId="9400" xr:uid="{00000000-0005-0000-0000-0000DF4E0000}"/>
    <cellStyle name="Notiz 22 2 2 2" xfId="18815" xr:uid="{00000000-0005-0000-0000-0000E04E0000}"/>
    <cellStyle name="Notiz 22 2 2_est. MEAT" xfId="25105" xr:uid="{00000000-0005-0000-0000-0000E14E0000}"/>
    <cellStyle name="Notiz 22 2 3" xfId="18814" xr:uid="{00000000-0005-0000-0000-0000E24E0000}"/>
    <cellStyle name="Notiz 22 2_2012-2019" xfId="12988" xr:uid="{00000000-0005-0000-0000-0000E34E0000}"/>
    <cellStyle name="Notiz 22 3" xfId="9401" xr:uid="{00000000-0005-0000-0000-0000E44E0000}"/>
    <cellStyle name="Notiz 22 3 2" xfId="18816" xr:uid="{00000000-0005-0000-0000-0000E54E0000}"/>
    <cellStyle name="Notiz 22 3_est. MEAT" xfId="25106" xr:uid="{00000000-0005-0000-0000-0000E64E0000}"/>
    <cellStyle name="Notiz 22 4" xfId="18813" xr:uid="{00000000-0005-0000-0000-0000E74E0000}"/>
    <cellStyle name="Notiz 22_2012-2019" xfId="12987" xr:uid="{00000000-0005-0000-0000-0000E84E0000}"/>
    <cellStyle name="Notiz 23" xfId="9402" xr:uid="{00000000-0005-0000-0000-0000E94E0000}"/>
    <cellStyle name="Notiz 23 2" xfId="9403" xr:uid="{00000000-0005-0000-0000-0000EA4E0000}"/>
    <cellStyle name="Notiz 23 2 2" xfId="9404" xr:uid="{00000000-0005-0000-0000-0000EB4E0000}"/>
    <cellStyle name="Notiz 23 2 2 2" xfId="18819" xr:uid="{00000000-0005-0000-0000-0000EC4E0000}"/>
    <cellStyle name="Notiz 23 2 2_est. MEAT" xfId="25107" xr:uid="{00000000-0005-0000-0000-0000ED4E0000}"/>
    <cellStyle name="Notiz 23 2 3" xfId="18818" xr:uid="{00000000-0005-0000-0000-0000EE4E0000}"/>
    <cellStyle name="Notiz 23 2_2012-2019" xfId="12990" xr:uid="{00000000-0005-0000-0000-0000EF4E0000}"/>
    <cellStyle name="Notiz 23 3" xfId="9405" xr:uid="{00000000-0005-0000-0000-0000F04E0000}"/>
    <cellStyle name="Notiz 23 3 2" xfId="18820" xr:uid="{00000000-0005-0000-0000-0000F14E0000}"/>
    <cellStyle name="Notiz 23 3_est. MEAT" xfId="25108" xr:uid="{00000000-0005-0000-0000-0000F24E0000}"/>
    <cellStyle name="Notiz 23 4" xfId="18817" xr:uid="{00000000-0005-0000-0000-0000F34E0000}"/>
    <cellStyle name="Notiz 23_2012-2019" xfId="12989" xr:uid="{00000000-0005-0000-0000-0000F44E0000}"/>
    <cellStyle name="Notiz 24" xfId="9406" xr:uid="{00000000-0005-0000-0000-0000F54E0000}"/>
    <cellStyle name="Notiz 24 2" xfId="9407" xr:uid="{00000000-0005-0000-0000-0000F64E0000}"/>
    <cellStyle name="Notiz 24 2 2" xfId="9408" xr:uid="{00000000-0005-0000-0000-0000F74E0000}"/>
    <cellStyle name="Notiz 24 2 2 2" xfId="18823" xr:uid="{00000000-0005-0000-0000-0000F84E0000}"/>
    <cellStyle name="Notiz 24 2 2_est. MEAT" xfId="25109" xr:uid="{00000000-0005-0000-0000-0000F94E0000}"/>
    <cellStyle name="Notiz 24 2 3" xfId="18822" xr:uid="{00000000-0005-0000-0000-0000FA4E0000}"/>
    <cellStyle name="Notiz 24 2_2012-2019" xfId="12992" xr:uid="{00000000-0005-0000-0000-0000FB4E0000}"/>
    <cellStyle name="Notiz 24 3" xfId="9409" xr:uid="{00000000-0005-0000-0000-0000FC4E0000}"/>
    <cellStyle name="Notiz 24 3 2" xfId="18824" xr:uid="{00000000-0005-0000-0000-0000FD4E0000}"/>
    <cellStyle name="Notiz 24 3_est. MEAT" xfId="25110" xr:uid="{00000000-0005-0000-0000-0000FE4E0000}"/>
    <cellStyle name="Notiz 24 4" xfId="18821" xr:uid="{00000000-0005-0000-0000-0000FF4E0000}"/>
    <cellStyle name="Notiz 24_2012-2019" xfId="12991" xr:uid="{00000000-0005-0000-0000-0000004F0000}"/>
    <cellStyle name="Notiz 25" xfId="9410" xr:uid="{00000000-0005-0000-0000-0000014F0000}"/>
    <cellStyle name="Notiz 25 2" xfId="9411" xr:uid="{00000000-0005-0000-0000-0000024F0000}"/>
    <cellStyle name="Notiz 25 2 2" xfId="9412" xr:uid="{00000000-0005-0000-0000-0000034F0000}"/>
    <cellStyle name="Notiz 25 2 2 2" xfId="18827" xr:uid="{00000000-0005-0000-0000-0000044F0000}"/>
    <cellStyle name="Notiz 25 2 2_est. MEAT" xfId="25111" xr:uid="{00000000-0005-0000-0000-0000054F0000}"/>
    <cellStyle name="Notiz 25 2 3" xfId="18826" xr:uid="{00000000-0005-0000-0000-0000064F0000}"/>
    <cellStyle name="Notiz 25 2_2012-2019" xfId="12994" xr:uid="{00000000-0005-0000-0000-0000074F0000}"/>
    <cellStyle name="Notiz 25 3" xfId="9413" xr:uid="{00000000-0005-0000-0000-0000084F0000}"/>
    <cellStyle name="Notiz 25 3 2" xfId="18828" xr:uid="{00000000-0005-0000-0000-0000094F0000}"/>
    <cellStyle name="Notiz 25 3_est. MEAT" xfId="25112" xr:uid="{00000000-0005-0000-0000-00000A4F0000}"/>
    <cellStyle name="Notiz 25 4" xfId="18825" xr:uid="{00000000-0005-0000-0000-00000B4F0000}"/>
    <cellStyle name="Notiz 25_2012-2019" xfId="12993" xr:uid="{00000000-0005-0000-0000-00000C4F0000}"/>
    <cellStyle name="Notiz 26" xfId="9414" xr:uid="{00000000-0005-0000-0000-00000D4F0000}"/>
    <cellStyle name="Notiz 26 2" xfId="9415" xr:uid="{00000000-0005-0000-0000-00000E4F0000}"/>
    <cellStyle name="Notiz 26 2 2" xfId="9416" xr:uid="{00000000-0005-0000-0000-00000F4F0000}"/>
    <cellStyle name="Notiz 26 2 2 2" xfId="18831" xr:uid="{00000000-0005-0000-0000-0000104F0000}"/>
    <cellStyle name="Notiz 26 2 2_est. MEAT" xfId="25113" xr:uid="{00000000-0005-0000-0000-0000114F0000}"/>
    <cellStyle name="Notiz 26 2 3" xfId="18830" xr:uid="{00000000-0005-0000-0000-0000124F0000}"/>
    <cellStyle name="Notiz 26 2_2012-2019" xfId="12996" xr:uid="{00000000-0005-0000-0000-0000134F0000}"/>
    <cellStyle name="Notiz 26 3" xfId="9417" xr:uid="{00000000-0005-0000-0000-0000144F0000}"/>
    <cellStyle name="Notiz 26 3 2" xfId="18832" xr:uid="{00000000-0005-0000-0000-0000154F0000}"/>
    <cellStyle name="Notiz 26 3_est. MEAT" xfId="25114" xr:uid="{00000000-0005-0000-0000-0000164F0000}"/>
    <cellStyle name="Notiz 26 4" xfId="18829" xr:uid="{00000000-0005-0000-0000-0000174F0000}"/>
    <cellStyle name="Notiz 26_2012-2019" xfId="12995" xr:uid="{00000000-0005-0000-0000-0000184F0000}"/>
    <cellStyle name="Notiz 27" xfId="9418" xr:uid="{00000000-0005-0000-0000-0000194F0000}"/>
    <cellStyle name="Notiz 27 2" xfId="9419" xr:uid="{00000000-0005-0000-0000-00001A4F0000}"/>
    <cellStyle name="Notiz 27 2 2" xfId="9420" xr:uid="{00000000-0005-0000-0000-00001B4F0000}"/>
    <cellStyle name="Notiz 27 2 2 2" xfId="18835" xr:uid="{00000000-0005-0000-0000-00001C4F0000}"/>
    <cellStyle name="Notiz 27 2 2_est. MEAT" xfId="25115" xr:uid="{00000000-0005-0000-0000-00001D4F0000}"/>
    <cellStyle name="Notiz 27 2 3" xfId="18834" xr:uid="{00000000-0005-0000-0000-00001E4F0000}"/>
    <cellStyle name="Notiz 27 2_2012-2019" xfId="12998" xr:uid="{00000000-0005-0000-0000-00001F4F0000}"/>
    <cellStyle name="Notiz 27 3" xfId="9421" xr:uid="{00000000-0005-0000-0000-0000204F0000}"/>
    <cellStyle name="Notiz 27 3 2" xfId="18836" xr:uid="{00000000-0005-0000-0000-0000214F0000}"/>
    <cellStyle name="Notiz 27 3_est. MEAT" xfId="25116" xr:uid="{00000000-0005-0000-0000-0000224F0000}"/>
    <cellStyle name="Notiz 27 4" xfId="18833" xr:uid="{00000000-0005-0000-0000-0000234F0000}"/>
    <cellStyle name="Notiz 27_2012-2019" xfId="12997" xr:uid="{00000000-0005-0000-0000-0000244F0000}"/>
    <cellStyle name="Notiz 28" xfId="9422" xr:uid="{00000000-0005-0000-0000-0000254F0000}"/>
    <cellStyle name="Notiz 28 2" xfId="9423" xr:uid="{00000000-0005-0000-0000-0000264F0000}"/>
    <cellStyle name="Notiz 28 2 2" xfId="9424" xr:uid="{00000000-0005-0000-0000-0000274F0000}"/>
    <cellStyle name="Notiz 28 2 2 2" xfId="18839" xr:uid="{00000000-0005-0000-0000-0000284F0000}"/>
    <cellStyle name="Notiz 28 2 2_est. MEAT" xfId="25117" xr:uid="{00000000-0005-0000-0000-0000294F0000}"/>
    <cellStyle name="Notiz 28 2 3" xfId="18838" xr:uid="{00000000-0005-0000-0000-00002A4F0000}"/>
    <cellStyle name="Notiz 28 2_2012-2019" xfId="13000" xr:uid="{00000000-0005-0000-0000-00002B4F0000}"/>
    <cellStyle name="Notiz 28 3" xfId="9425" xr:uid="{00000000-0005-0000-0000-00002C4F0000}"/>
    <cellStyle name="Notiz 28 3 2" xfId="18840" xr:uid="{00000000-0005-0000-0000-00002D4F0000}"/>
    <cellStyle name="Notiz 28 3_est. MEAT" xfId="25118" xr:uid="{00000000-0005-0000-0000-00002E4F0000}"/>
    <cellStyle name="Notiz 28 4" xfId="18837" xr:uid="{00000000-0005-0000-0000-00002F4F0000}"/>
    <cellStyle name="Notiz 28_2012-2019" xfId="12999" xr:uid="{00000000-0005-0000-0000-0000304F0000}"/>
    <cellStyle name="Notiz 29" xfId="9426" xr:uid="{00000000-0005-0000-0000-0000314F0000}"/>
    <cellStyle name="Notiz 29 2" xfId="9427" xr:uid="{00000000-0005-0000-0000-0000324F0000}"/>
    <cellStyle name="Notiz 29 2 2" xfId="9428" xr:uid="{00000000-0005-0000-0000-0000334F0000}"/>
    <cellStyle name="Notiz 29 2 2 2" xfId="18843" xr:uid="{00000000-0005-0000-0000-0000344F0000}"/>
    <cellStyle name="Notiz 29 2 2_est. MEAT" xfId="25119" xr:uid="{00000000-0005-0000-0000-0000354F0000}"/>
    <cellStyle name="Notiz 29 2 3" xfId="18842" xr:uid="{00000000-0005-0000-0000-0000364F0000}"/>
    <cellStyle name="Notiz 29 2_2012-2019" xfId="13002" xr:uid="{00000000-0005-0000-0000-0000374F0000}"/>
    <cellStyle name="Notiz 29 3" xfId="9429" xr:uid="{00000000-0005-0000-0000-0000384F0000}"/>
    <cellStyle name="Notiz 29 3 2" xfId="18844" xr:uid="{00000000-0005-0000-0000-0000394F0000}"/>
    <cellStyle name="Notiz 29 3_est. MEAT" xfId="25120" xr:uid="{00000000-0005-0000-0000-00003A4F0000}"/>
    <cellStyle name="Notiz 29 4" xfId="18841" xr:uid="{00000000-0005-0000-0000-00003B4F0000}"/>
    <cellStyle name="Notiz 29_2012-2019" xfId="13001" xr:uid="{00000000-0005-0000-0000-00003C4F0000}"/>
    <cellStyle name="Notiz 3" xfId="9430" xr:uid="{00000000-0005-0000-0000-00003D4F0000}"/>
    <cellStyle name="Notiz 3 2" xfId="9431" xr:uid="{00000000-0005-0000-0000-00003E4F0000}"/>
    <cellStyle name="Notiz 3 2 2" xfId="9432" xr:uid="{00000000-0005-0000-0000-00003F4F0000}"/>
    <cellStyle name="Notiz 3 2 2 2" xfId="18847" xr:uid="{00000000-0005-0000-0000-0000404F0000}"/>
    <cellStyle name="Notiz 3 2 2_est. MEAT" xfId="25121" xr:uid="{00000000-0005-0000-0000-0000414F0000}"/>
    <cellStyle name="Notiz 3 2 3" xfId="18846" xr:uid="{00000000-0005-0000-0000-0000424F0000}"/>
    <cellStyle name="Notiz 3 2_2012-2019" xfId="13004" xr:uid="{00000000-0005-0000-0000-0000434F0000}"/>
    <cellStyle name="Notiz 3 3" xfId="9433" xr:uid="{00000000-0005-0000-0000-0000444F0000}"/>
    <cellStyle name="Notiz 3 3 2" xfId="9434" xr:uid="{00000000-0005-0000-0000-0000454F0000}"/>
    <cellStyle name="Notiz 3 3 2 2" xfId="18849" xr:uid="{00000000-0005-0000-0000-0000464F0000}"/>
    <cellStyle name="Notiz 3 3 2_est. MEAT" xfId="25122" xr:uid="{00000000-0005-0000-0000-0000474F0000}"/>
    <cellStyle name="Notiz 3 3 3" xfId="18848" xr:uid="{00000000-0005-0000-0000-0000484F0000}"/>
    <cellStyle name="Notiz 3 3_2012-2019" xfId="13005" xr:uid="{00000000-0005-0000-0000-0000494F0000}"/>
    <cellStyle name="Notiz 3 4" xfId="9435" xr:uid="{00000000-0005-0000-0000-00004A4F0000}"/>
    <cellStyle name="Notiz 3 4 2" xfId="9436" xr:uid="{00000000-0005-0000-0000-00004B4F0000}"/>
    <cellStyle name="Notiz 3 4 2 2" xfId="18851" xr:uid="{00000000-0005-0000-0000-00004C4F0000}"/>
    <cellStyle name="Notiz 3 4 2_est. MEAT" xfId="25123" xr:uid="{00000000-0005-0000-0000-00004D4F0000}"/>
    <cellStyle name="Notiz 3 4 3" xfId="18850" xr:uid="{00000000-0005-0000-0000-00004E4F0000}"/>
    <cellStyle name="Notiz 3 4_2012-2019" xfId="13006" xr:uid="{00000000-0005-0000-0000-00004F4F0000}"/>
    <cellStyle name="Notiz 3 5" xfId="9437" xr:uid="{00000000-0005-0000-0000-0000504F0000}"/>
    <cellStyle name="Notiz 3 5 2" xfId="18852" xr:uid="{00000000-0005-0000-0000-0000514F0000}"/>
    <cellStyle name="Notiz 3 5_est. MEAT" xfId="25124" xr:uid="{00000000-0005-0000-0000-0000524F0000}"/>
    <cellStyle name="Notiz 3 6" xfId="18845" xr:uid="{00000000-0005-0000-0000-0000534F0000}"/>
    <cellStyle name="Notiz 3_2012-2019" xfId="13003" xr:uid="{00000000-0005-0000-0000-0000544F0000}"/>
    <cellStyle name="Notiz 30" xfId="9438" xr:uid="{00000000-0005-0000-0000-0000554F0000}"/>
    <cellStyle name="Notiz 30 2" xfId="9439" xr:uid="{00000000-0005-0000-0000-0000564F0000}"/>
    <cellStyle name="Notiz 30 2 2" xfId="9440" xr:uid="{00000000-0005-0000-0000-0000574F0000}"/>
    <cellStyle name="Notiz 30 2 2 2" xfId="18855" xr:uid="{00000000-0005-0000-0000-0000584F0000}"/>
    <cellStyle name="Notiz 30 2 2_est. MEAT" xfId="25125" xr:uid="{00000000-0005-0000-0000-0000594F0000}"/>
    <cellStyle name="Notiz 30 2 3" xfId="18854" xr:uid="{00000000-0005-0000-0000-00005A4F0000}"/>
    <cellStyle name="Notiz 30 2_2012-2019" xfId="13008" xr:uid="{00000000-0005-0000-0000-00005B4F0000}"/>
    <cellStyle name="Notiz 30 3" xfId="9441" xr:uid="{00000000-0005-0000-0000-00005C4F0000}"/>
    <cellStyle name="Notiz 30 3 2" xfId="18856" xr:uid="{00000000-0005-0000-0000-00005D4F0000}"/>
    <cellStyle name="Notiz 30 3_est. MEAT" xfId="25126" xr:uid="{00000000-0005-0000-0000-00005E4F0000}"/>
    <cellStyle name="Notiz 30 4" xfId="18853" xr:uid="{00000000-0005-0000-0000-00005F4F0000}"/>
    <cellStyle name="Notiz 30_2012-2019" xfId="13007" xr:uid="{00000000-0005-0000-0000-0000604F0000}"/>
    <cellStyle name="Notiz 31" xfId="9442" xr:uid="{00000000-0005-0000-0000-0000614F0000}"/>
    <cellStyle name="Notiz 31 2" xfId="9443" xr:uid="{00000000-0005-0000-0000-0000624F0000}"/>
    <cellStyle name="Notiz 31 2 2" xfId="9444" xr:uid="{00000000-0005-0000-0000-0000634F0000}"/>
    <cellStyle name="Notiz 31 2 2 2" xfId="18859" xr:uid="{00000000-0005-0000-0000-0000644F0000}"/>
    <cellStyle name="Notiz 31 2 2_est. MEAT" xfId="25127" xr:uid="{00000000-0005-0000-0000-0000654F0000}"/>
    <cellStyle name="Notiz 31 2 3" xfId="18858" xr:uid="{00000000-0005-0000-0000-0000664F0000}"/>
    <cellStyle name="Notiz 31 2_2012-2019" xfId="13010" xr:uid="{00000000-0005-0000-0000-0000674F0000}"/>
    <cellStyle name="Notiz 31 3" xfId="9445" xr:uid="{00000000-0005-0000-0000-0000684F0000}"/>
    <cellStyle name="Notiz 31 3 2" xfId="18860" xr:uid="{00000000-0005-0000-0000-0000694F0000}"/>
    <cellStyle name="Notiz 31 3_est. MEAT" xfId="25128" xr:uid="{00000000-0005-0000-0000-00006A4F0000}"/>
    <cellStyle name="Notiz 31 4" xfId="18857" xr:uid="{00000000-0005-0000-0000-00006B4F0000}"/>
    <cellStyle name="Notiz 31_2012-2019" xfId="13009" xr:uid="{00000000-0005-0000-0000-00006C4F0000}"/>
    <cellStyle name="Notiz 32" xfId="9446" xr:uid="{00000000-0005-0000-0000-00006D4F0000}"/>
    <cellStyle name="Notiz 32 2" xfId="9447" xr:uid="{00000000-0005-0000-0000-00006E4F0000}"/>
    <cellStyle name="Notiz 32 2 2" xfId="9448" xr:uid="{00000000-0005-0000-0000-00006F4F0000}"/>
    <cellStyle name="Notiz 32 2 2 2" xfId="18863" xr:uid="{00000000-0005-0000-0000-0000704F0000}"/>
    <cellStyle name="Notiz 32 2 2_est. MEAT" xfId="25129" xr:uid="{00000000-0005-0000-0000-0000714F0000}"/>
    <cellStyle name="Notiz 32 2 3" xfId="18862" xr:uid="{00000000-0005-0000-0000-0000724F0000}"/>
    <cellStyle name="Notiz 32 2_2012-2019" xfId="13012" xr:uid="{00000000-0005-0000-0000-0000734F0000}"/>
    <cellStyle name="Notiz 32 3" xfId="9449" xr:uid="{00000000-0005-0000-0000-0000744F0000}"/>
    <cellStyle name="Notiz 32 3 2" xfId="18864" xr:uid="{00000000-0005-0000-0000-0000754F0000}"/>
    <cellStyle name="Notiz 32 3_est. MEAT" xfId="25130" xr:uid="{00000000-0005-0000-0000-0000764F0000}"/>
    <cellStyle name="Notiz 32 4" xfId="18861" xr:uid="{00000000-0005-0000-0000-0000774F0000}"/>
    <cellStyle name="Notiz 32_2012-2019" xfId="13011" xr:uid="{00000000-0005-0000-0000-0000784F0000}"/>
    <cellStyle name="Notiz 33" xfId="9450" xr:uid="{00000000-0005-0000-0000-0000794F0000}"/>
    <cellStyle name="Notiz 33 2" xfId="9451" xr:uid="{00000000-0005-0000-0000-00007A4F0000}"/>
    <cellStyle name="Notiz 33 2 2" xfId="9452" xr:uid="{00000000-0005-0000-0000-00007B4F0000}"/>
    <cellStyle name="Notiz 33 2 2 2" xfId="18867" xr:uid="{00000000-0005-0000-0000-00007C4F0000}"/>
    <cellStyle name="Notiz 33 2 2_est. MEAT" xfId="25131" xr:uid="{00000000-0005-0000-0000-00007D4F0000}"/>
    <cellStyle name="Notiz 33 2 3" xfId="18866" xr:uid="{00000000-0005-0000-0000-00007E4F0000}"/>
    <cellStyle name="Notiz 33 2_2012-2019" xfId="13014" xr:uid="{00000000-0005-0000-0000-00007F4F0000}"/>
    <cellStyle name="Notiz 33 3" xfId="9453" xr:uid="{00000000-0005-0000-0000-0000804F0000}"/>
    <cellStyle name="Notiz 33 3 2" xfId="18868" xr:uid="{00000000-0005-0000-0000-0000814F0000}"/>
    <cellStyle name="Notiz 33 3_est. MEAT" xfId="25132" xr:uid="{00000000-0005-0000-0000-0000824F0000}"/>
    <cellStyle name="Notiz 33 4" xfId="18865" xr:uid="{00000000-0005-0000-0000-0000834F0000}"/>
    <cellStyle name="Notiz 33_2012-2019" xfId="13013" xr:uid="{00000000-0005-0000-0000-0000844F0000}"/>
    <cellStyle name="Notiz 34" xfId="9454" xr:uid="{00000000-0005-0000-0000-0000854F0000}"/>
    <cellStyle name="Notiz 34 2" xfId="9455" xr:uid="{00000000-0005-0000-0000-0000864F0000}"/>
    <cellStyle name="Notiz 34 2 2" xfId="9456" xr:uid="{00000000-0005-0000-0000-0000874F0000}"/>
    <cellStyle name="Notiz 34 2 2 2" xfId="18871" xr:uid="{00000000-0005-0000-0000-0000884F0000}"/>
    <cellStyle name="Notiz 34 2 2_est. MEAT" xfId="25133" xr:uid="{00000000-0005-0000-0000-0000894F0000}"/>
    <cellStyle name="Notiz 34 2 3" xfId="18870" xr:uid="{00000000-0005-0000-0000-00008A4F0000}"/>
    <cellStyle name="Notiz 34 2_2012-2019" xfId="13016" xr:uid="{00000000-0005-0000-0000-00008B4F0000}"/>
    <cellStyle name="Notiz 34 3" xfId="9457" xr:uid="{00000000-0005-0000-0000-00008C4F0000}"/>
    <cellStyle name="Notiz 34 3 2" xfId="18872" xr:uid="{00000000-0005-0000-0000-00008D4F0000}"/>
    <cellStyle name="Notiz 34 3_est. MEAT" xfId="25134" xr:uid="{00000000-0005-0000-0000-00008E4F0000}"/>
    <cellStyle name="Notiz 34 4" xfId="18869" xr:uid="{00000000-0005-0000-0000-00008F4F0000}"/>
    <cellStyle name="Notiz 34_2012-2019" xfId="13015" xr:uid="{00000000-0005-0000-0000-0000904F0000}"/>
    <cellStyle name="Notiz 35" xfId="9458" xr:uid="{00000000-0005-0000-0000-0000914F0000}"/>
    <cellStyle name="Notiz 35 2" xfId="9459" xr:uid="{00000000-0005-0000-0000-0000924F0000}"/>
    <cellStyle name="Notiz 35 2 2" xfId="9460" xr:uid="{00000000-0005-0000-0000-0000934F0000}"/>
    <cellStyle name="Notiz 35 2 2 2" xfId="18875" xr:uid="{00000000-0005-0000-0000-0000944F0000}"/>
    <cellStyle name="Notiz 35 2 2_est. MEAT" xfId="25135" xr:uid="{00000000-0005-0000-0000-0000954F0000}"/>
    <cellStyle name="Notiz 35 2 3" xfId="18874" xr:uid="{00000000-0005-0000-0000-0000964F0000}"/>
    <cellStyle name="Notiz 35 2_2012-2019" xfId="13018" xr:uid="{00000000-0005-0000-0000-0000974F0000}"/>
    <cellStyle name="Notiz 35 3" xfId="9461" xr:uid="{00000000-0005-0000-0000-0000984F0000}"/>
    <cellStyle name="Notiz 35 3 2" xfId="18876" xr:uid="{00000000-0005-0000-0000-0000994F0000}"/>
    <cellStyle name="Notiz 35 3_est. MEAT" xfId="25136" xr:uid="{00000000-0005-0000-0000-00009A4F0000}"/>
    <cellStyle name="Notiz 35 4" xfId="18873" xr:uid="{00000000-0005-0000-0000-00009B4F0000}"/>
    <cellStyle name="Notiz 35_2012-2019" xfId="13017" xr:uid="{00000000-0005-0000-0000-00009C4F0000}"/>
    <cellStyle name="Notiz 36" xfId="9462" xr:uid="{00000000-0005-0000-0000-00009D4F0000}"/>
    <cellStyle name="Notiz 36 2" xfId="9463" xr:uid="{00000000-0005-0000-0000-00009E4F0000}"/>
    <cellStyle name="Notiz 36 2 2" xfId="9464" xr:uid="{00000000-0005-0000-0000-00009F4F0000}"/>
    <cellStyle name="Notiz 36 2 2 2" xfId="18879" xr:uid="{00000000-0005-0000-0000-0000A04F0000}"/>
    <cellStyle name="Notiz 36 2 2_est. MEAT" xfId="25137" xr:uid="{00000000-0005-0000-0000-0000A14F0000}"/>
    <cellStyle name="Notiz 36 2 3" xfId="18878" xr:uid="{00000000-0005-0000-0000-0000A24F0000}"/>
    <cellStyle name="Notiz 36 2_2012-2019" xfId="13020" xr:uid="{00000000-0005-0000-0000-0000A34F0000}"/>
    <cellStyle name="Notiz 36 3" xfId="9465" xr:uid="{00000000-0005-0000-0000-0000A44F0000}"/>
    <cellStyle name="Notiz 36 3 2" xfId="18880" xr:uid="{00000000-0005-0000-0000-0000A54F0000}"/>
    <cellStyle name="Notiz 36 3_est. MEAT" xfId="25138" xr:uid="{00000000-0005-0000-0000-0000A64F0000}"/>
    <cellStyle name="Notiz 36 4" xfId="18877" xr:uid="{00000000-0005-0000-0000-0000A74F0000}"/>
    <cellStyle name="Notiz 36_2012-2019" xfId="13019" xr:uid="{00000000-0005-0000-0000-0000A84F0000}"/>
    <cellStyle name="Notiz 37" xfId="9466" xr:uid="{00000000-0005-0000-0000-0000A94F0000}"/>
    <cellStyle name="Notiz 37 2" xfId="9467" xr:uid="{00000000-0005-0000-0000-0000AA4F0000}"/>
    <cellStyle name="Notiz 37 2 2" xfId="9468" xr:uid="{00000000-0005-0000-0000-0000AB4F0000}"/>
    <cellStyle name="Notiz 37 2 2 2" xfId="18883" xr:uid="{00000000-0005-0000-0000-0000AC4F0000}"/>
    <cellStyle name="Notiz 37 2 2_est. MEAT" xfId="25139" xr:uid="{00000000-0005-0000-0000-0000AD4F0000}"/>
    <cellStyle name="Notiz 37 2 3" xfId="18882" xr:uid="{00000000-0005-0000-0000-0000AE4F0000}"/>
    <cellStyle name="Notiz 37 2_2012-2019" xfId="13022" xr:uid="{00000000-0005-0000-0000-0000AF4F0000}"/>
    <cellStyle name="Notiz 37 3" xfId="9469" xr:uid="{00000000-0005-0000-0000-0000B04F0000}"/>
    <cellStyle name="Notiz 37 3 2" xfId="18884" xr:uid="{00000000-0005-0000-0000-0000B14F0000}"/>
    <cellStyle name="Notiz 37 3_est. MEAT" xfId="25140" xr:uid="{00000000-0005-0000-0000-0000B24F0000}"/>
    <cellStyle name="Notiz 37 4" xfId="18881" xr:uid="{00000000-0005-0000-0000-0000B34F0000}"/>
    <cellStyle name="Notiz 37_2012-2019" xfId="13021" xr:uid="{00000000-0005-0000-0000-0000B44F0000}"/>
    <cellStyle name="Notiz 38" xfId="9470" xr:uid="{00000000-0005-0000-0000-0000B54F0000}"/>
    <cellStyle name="Notiz 38 2" xfId="9471" xr:uid="{00000000-0005-0000-0000-0000B64F0000}"/>
    <cellStyle name="Notiz 38 2 2" xfId="9472" xr:uid="{00000000-0005-0000-0000-0000B74F0000}"/>
    <cellStyle name="Notiz 38 2 2 2" xfId="18887" xr:uid="{00000000-0005-0000-0000-0000B84F0000}"/>
    <cellStyle name="Notiz 38 2 2_est. MEAT" xfId="25141" xr:uid="{00000000-0005-0000-0000-0000B94F0000}"/>
    <cellStyle name="Notiz 38 2 3" xfId="18886" xr:uid="{00000000-0005-0000-0000-0000BA4F0000}"/>
    <cellStyle name="Notiz 38 2_2012-2019" xfId="13024" xr:uid="{00000000-0005-0000-0000-0000BB4F0000}"/>
    <cellStyle name="Notiz 38 3" xfId="9473" xr:uid="{00000000-0005-0000-0000-0000BC4F0000}"/>
    <cellStyle name="Notiz 38 3 2" xfId="18888" xr:uid="{00000000-0005-0000-0000-0000BD4F0000}"/>
    <cellStyle name="Notiz 38 3_est. MEAT" xfId="25142" xr:uid="{00000000-0005-0000-0000-0000BE4F0000}"/>
    <cellStyle name="Notiz 38 4" xfId="18885" xr:uid="{00000000-0005-0000-0000-0000BF4F0000}"/>
    <cellStyle name="Notiz 38_2012-2019" xfId="13023" xr:uid="{00000000-0005-0000-0000-0000C04F0000}"/>
    <cellStyle name="Notiz 39" xfId="9474" xr:uid="{00000000-0005-0000-0000-0000C14F0000}"/>
    <cellStyle name="Notiz 39 2" xfId="9475" xr:uid="{00000000-0005-0000-0000-0000C24F0000}"/>
    <cellStyle name="Notiz 39 2 2" xfId="9476" xr:uid="{00000000-0005-0000-0000-0000C34F0000}"/>
    <cellStyle name="Notiz 39 2 2 2" xfId="18891" xr:uid="{00000000-0005-0000-0000-0000C44F0000}"/>
    <cellStyle name="Notiz 39 2 2_est. MEAT" xfId="25143" xr:uid="{00000000-0005-0000-0000-0000C54F0000}"/>
    <cellStyle name="Notiz 39 2 3" xfId="18890" xr:uid="{00000000-0005-0000-0000-0000C64F0000}"/>
    <cellStyle name="Notiz 39 2_2012-2019" xfId="13026" xr:uid="{00000000-0005-0000-0000-0000C74F0000}"/>
    <cellStyle name="Notiz 39 3" xfId="9477" xr:uid="{00000000-0005-0000-0000-0000C84F0000}"/>
    <cellStyle name="Notiz 39 3 2" xfId="18892" xr:uid="{00000000-0005-0000-0000-0000C94F0000}"/>
    <cellStyle name="Notiz 39 3_est. MEAT" xfId="25144" xr:uid="{00000000-0005-0000-0000-0000CA4F0000}"/>
    <cellStyle name="Notiz 39 4" xfId="18889" xr:uid="{00000000-0005-0000-0000-0000CB4F0000}"/>
    <cellStyle name="Notiz 39_2012-2019" xfId="13025" xr:uid="{00000000-0005-0000-0000-0000CC4F0000}"/>
    <cellStyle name="Notiz 4" xfId="9478" xr:uid="{00000000-0005-0000-0000-0000CD4F0000}"/>
    <cellStyle name="Notiz 4 2" xfId="9479" xr:uid="{00000000-0005-0000-0000-0000CE4F0000}"/>
    <cellStyle name="Notiz 4 2 2" xfId="9480" xr:uid="{00000000-0005-0000-0000-0000CF4F0000}"/>
    <cellStyle name="Notiz 4 2 2 2" xfId="18895" xr:uid="{00000000-0005-0000-0000-0000D04F0000}"/>
    <cellStyle name="Notiz 4 2 2_est. MEAT" xfId="25145" xr:uid="{00000000-0005-0000-0000-0000D14F0000}"/>
    <cellStyle name="Notiz 4 2 3" xfId="18894" xr:uid="{00000000-0005-0000-0000-0000D24F0000}"/>
    <cellStyle name="Notiz 4 2_2012-2019" xfId="13028" xr:uid="{00000000-0005-0000-0000-0000D34F0000}"/>
    <cellStyle name="Notiz 4 3" xfId="9481" xr:uid="{00000000-0005-0000-0000-0000D44F0000}"/>
    <cellStyle name="Notiz 4 3 2" xfId="9482" xr:uid="{00000000-0005-0000-0000-0000D54F0000}"/>
    <cellStyle name="Notiz 4 3 2 2" xfId="18897" xr:uid="{00000000-0005-0000-0000-0000D64F0000}"/>
    <cellStyle name="Notiz 4 3 2_est. MEAT" xfId="25146" xr:uid="{00000000-0005-0000-0000-0000D74F0000}"/>
    <cellStyle name="Notiz 4 3 3" xfId="18896" xr:uid="{00000000-0005-0000-0000-0000D84F0000}"/>
    <cellStyle name="Notiz 4 3_2012-2019" xfId="13029" xr:uid="{00000000-0005-0000-0000-0000D94F0000}"/>
    <cellStyle name="Notiz 4 4" xfId="9483" xr:uid="{00000000-0005-0000-0000-0000DA4F0000}"/>
    <cellStyle name="Notiz 4 4 2" xfId="9484" xr:uid="{00000000-0005-0000-0000-0000DB4F0000}"/>
    <cellStyle name="Notiz 4 4 2 2" xfId="18899" xr:uid="{00000000-0005-0000-0000-0000DC4F0000}"/>
    <cellStyle name="Notiz 4 4 2_est. MEAT" xfId="25147" xr:uid="{00000000-0005-0000-0000-0000DD4F0000}"/>
    <cellStyle name="Notiz 4 4 3" xfId="18898" xr:uid="{00000000-0005-0000-0000-0000DE4F0000}"/>
    <cellStyle name="Notiz 4 4_2012-2019" xfId="13030" xr:uid="{00000000-0005-0000-0000-0000DF4F0000}"/>
    <cellStyle name="Notiz 4 5" xfId="9485" xr:uid="{00000000-0005-0000-0000-0000E04F0000}"/>
    <cellStyle name="Notiz 4 5 2" xfId="18900" xr:uid="{00000000-0005-0000-0000-0000E14F0000}"/>
    <cellStyle name="Notiz 4 5_est. MEAT" xfId="25148" xr:uid="{00000000-0005-0000-0000-0000E24F0000}"/>
    <cellStyle name="Notiz 4 6" xfId="18893" xr:uid="{00000000-0005-0000-0000-0000E34F0000}"/>
    <cellStyle name="Notiz 4_2012-2019" xfId="13027" xr:uid="{00000000-0005-0000-0000-0000E44F0000}"/>
    <cellStyle name="Notiz 40" xfId="9486" xr:uid="{00000000-0005-0000-0000-0000E54F0000}"/>
    <cellStyle name="Notiz 40 2" xfId="9487" xr:uid="{00000000-0005-0000-0000-0000E64F0000}"/>
    <cellStyle name="Notiz 40 2 2" xfId="9488" xr:uid="{00000000-0005-0000-0000-0000E74F0000}"/>
    <cellStyle name="Notiz 40 2 2 2" xfId="18903" xr:uid="{00000000-0005-0000-0000-0000E84F0000}"/>
    <cellStyle name="Notiz 40 2 2_est. MEAT" xfId="25149" xr:uid="{00000000-0005-0000-0000-0000E94F0000}"/>
    <cellStyle name="Notiz 40 2 3" xfId="18902" xr:uid="{00000000-0005-0000-0000-0000EA4F0000}"/>
    <cellStyle name="Notiz 40 2_2012-2019" xfId="13032" xr:uid="{00000000-0005-0000-0000-0000EB4F0000}"/>
    <cellStyle name="Notiz 40 3" xfId="9489" xr:uid="{00000000-0005-0000-0000-0000EC4F0000}"/>
    <cellStyle name="Notiz 40 3 2" xfId="18904" xr:uid="{00000000-0005-0000-0000-0000ED4F0000}"/>
    <cellStyle name="Notiz 40 3_est. MEAT" xfId="25150" xr:uid="{00000000-0005-0000-0000-0000EE4F0000}"/>
    <cellStyle name="Notiz 40 4" xfId="18901" xr:uid="{00000000-0005-0000-0000-0000EF4F0000}"/>
    <cellStyle name="Notiz 40_2012-2019" xfId="13031" xr:uid="{00000000-0005-0000-0000-0000F04F0000}"/>
    <cellStyle name="Notiz 41" xfId="9490" xr:uid="{00000000-0005-0000-0000-0000F14F0000}"/>
    <cellStyle name="Notiz 41 2" xfId="9491" xr:uid="{00000000-0005-0000-0000-0000F24F0000}"/>
    <cellStyle name="Notiz 41 2 2" xfId="9492" xr:uid="{00000000-0005-0000-0000-0000F34F0000}"/>
    <cellStyle name="Notiz 41 2 2 2" xfId="18907" xr:uid="{00000000-0005-0000-0000-0000F44F0000}"/>
    <cellStyle name="Notiz 41 2 2_est. MEAT" xfId="25151" xr:uid="{00000000-0005-0000-0000-0000F54F0000}"/>
    <cellStyle name="Notiz 41 2 3" xfId="18906" xr:uid="{00000000-0005-0000-0000-0000F64F0000}"/>
    <cellStyle name="Notiz 41 2_2012-2019" xfId="13034" xr:uid="{00000000-0005-0000-0000-0000F74F0000}"/>
    <cellStyle name="Notiz 41 3" xfId="9493" xr:uid="{00000000-0005-0000-0000-0000F84F0000}"/>
    <cellStyle name="Notiz 41 3 2" xfId="18908" xr:uid="{00000000-0005-0000-0000-0000F94F0000}"/>
    <cellStyle name="Notiz 41 3_est. MEAT" xfId="25152" xr:uid="{00000000-0005-0000-0000-0000FA4F0000}"/>
    <cellStyle name="Notiz 41 4" xfId="18905" xr:uid="{00000000-0005-0000-0000-0000FB4F0000}"/>
    <cellStyle name="Notiz 41_2012-2019" xfId="13033" xr:uid="{00000000-0005-0000-0000-0000FC4F0000}"/>
    <cellStyle name="Notiz 42" xfId="9494" xr:uid="{00000000-0005-0000-0000-0000FD4F0000}"/>
    <cellStyle name="Notiz 42 2" xfId="9495" xr:uid="{00000000-0005-0000-0000-0000FE4F0000}"/>
    <cellStyle name="Notiz 42 2 2" xfId="9496" xr:uid="{00000000-0005-0000-0000-0000FF4F0000}"/>
    <cellStyle name="Notiz 42 2 2 2" xfId="18911" xr:uid="{00000000-0005-0000-0000-000000500000}"/>
    <cellStyle name="Notiz 42 2 2_est. MEAT" xfId="25153" xr:uid="{00000000-0005-0000-0000-000001500000}"/>
    <cellStyle name="Notiz 42 2 3" xfId="18910" xr:uid="{00000000-0005-0000-0000-000002500000}"/>
    <cellStyle name="Notiz 42 2_2012-2019" xfId="13036" xr:uid="{00000000-0005-0000-0000-000003500000}"/>
    <cellStyle name="Notiz 42 3" xfId="9497" xr:uid="{00000000-0005-0000-0000-000004500000}"/>
    <cellStyle name="Notiz 42 3 2" xfId="18912" xr:uid="{00000000-0005-0000-0000-000005500000}"/>
    <cellStyle name="Notiz 42 3_est. MEAT" xfId="25154" xr:uid="{00000000-0005-0000-0000-000006500000}"/>
    <cellStyle name="Notiz 42 4" xfId="18909" xr:uid="{00000000-0005-0000-0000-000007500000}"/>
    <cellStyle name="Notiz 42_2012-2019" xfId="13035" xr:uid="{00000000-0005-0000-0000-000008500000}"/>
    <cellStyle name="Notiz 43" xfId="9498" xr:uid="{00000000-0005-0000-0000-000009500000}"/>
    <cellStyle name="Notiz 43 2" xfId="9499" xr:uid="{00000000-0005-0000-0000-00000A500000}"/>
    <cellStyle name="Notiz 43 2 2" xfId="9500" xr:uid="{00000000-0005-0000-0000-00000B500000}"/>
    <cellStyle name="Notiz 43 2 2 2" xfId="18915" xr:uid="{00000000-0005-0000-0000-00000C500000}"/>
    <cellStyle name="Notiz 43 2 2_est. MEAT" xfId="25155" xr:uid="{00000000-0005-0000-0000-00000D500000}"/>
    <cellStyle name="Notiz 43 2 3" xfId="18914" xr:uid="{00000000-0005-0000-0000-00000E500000}"/>
    <cellStyle name="Notiz 43 2_2012-2019" xfId="13038" xr:uid="{00000000-0005-0000-0000-00000F500000}"/>
    <cellStyle name="Notiz 43 3" xfId="9501" xr:uid="{00000000-0005-0000-0000-000010500000}"/>
    <cellStyle name="Notiz 43 3 2" xfId="18916" xr:uid="{00000000-0005-0000-0000-000011500000}"/>
    <cellStyle name="Notiz 43 3_est. MEAT" xfId="25156" xr:uid="{00000000-0005-0000-0000-000012500000}"/>
    <cellStyle name="Notiz 43 4" xfId="18913" xr:uid="{00000000-0005-0000-0000-000013500000}"/>
    <cellStyle name="Notiz 43_2012-2019" xfId="13037" xr:uid="{00000000-0005-0000-0000-000014500000}"/>
    <cellStyle name="Notiz 44" xfId="9502" xr:uid="{00000000-0005-0000-0000-000015500000}"/>
    <cellStyle name="Notiz 44 2" xfId="9503" xr:uid="{00000000-0005-0000-0000-000016500000}"/>
    <cellStyle name="Notiz 44 2 2" xfId="9504" xr:uid="{00000000-0005-0000-0000-000017500000}"/>
    <cellStyle name="Notiz 44 2 2 2" xfId="18919" xr:uid="{00000000-0005-0000-0000-000018500000}"/>
    <cellStyle name="Notiz 44 2 2_est. MEAT" xfId="25157" xr:uid="{00000000-0005-0000-0000-000019500000}"/>
    <cellStyle name="Notiz 44 2 3" xfId="18918" xr:uid="{00000000-0005-0000-0000-00001A500000}"/>
    <cellStyle name="Notiz 44 2_2012-2019" xfId="13040" xr:uid="{00000000-0005-0000-0000-00001B500000}"/>
    <cellStyle name="Notiz 44 3" xfId="9505" xr:uid="{00000000-0005-0000-0000-00001C500000}"/>
    <cellStyle name="Notiz 44 3 2" xfId="18920" xr:uid="{00000000-0005-0000-0000-00001D500000}"/>
    <cellStyle name="Notiz 44 3_est. MEAT" xfId="25158" xr:uid="{00000000-0005-0000-0000-00001E500000}"/>
    <cellStyle name="Notiz 44 4" xfId="18917" xr:uid="{00000000-0005-0000-0000-00001F500000}"/>
    <cellStyle name="Notiz 44_2012-2019" xfId="13039" xr:uid="{00000000-0005-0000-0000-000020500000}"/>
    <cellStyle name="Notiz 45" xfId="9506" xr:uid="{00000000-0005-0000-0000-000021500000}"/>
    <cellStyle name="Notiz 45 2" xfId="9507" xr:uid="{00000000-0005-0000-0000-000022500000}"/>
    <cellStyle name="Notiz 45 2 2" xfId="9508" xr:uid="{00000000-0005-0000-0000-000023500000}"/>
    <cellStyle name="Notiz 45 2 2 2" xfId="18923" xr:uid="{00000000-0005-0000-0000-000024500000}"/>
    <cellStyle name="Notiz 45 2 2_est. MEAT" xfId="25159" xr:uid="{00000000-0005-0000-0000-000025500000}"/>
    <cellStyle name="Notiz 45 2 3" xfId="18922" xr:uid="{00000000-0005-0000-0000-000026500000}"/>
    <cellStyle name="Notiz 45 2_2012-2019" xfId="13042" xr:uid="{00000000-0005-0000-0000-000027500000}"/>
    <cellStyle name="Notiz 45 3" xfId="9509" xr:uid="{00000000-0005-0000-0000-000028500000}"/>
    <cellStyle name="Notiz 45 3 2" xfId="18924" xr:uid="{00000000-0005-0000-0000-000029500000}"/>
    <cellStyle name="Notiz 45 3_est. MEAT" xfId="25160" xr:uid="{00000000-0005-0000-0000-00002A500000}"/>
    <cellStyle name="Notiz 45 4" xfId="18921" xr:uid="{00000000-0005-0000-0000-00002B500000}"/>
    <cellStyle name="Notiz 45_2012-2019" xfId="13041" xr:uid="{00000000-0005-0000-0000-00002C500000}"/>
    <cellStyle name="Notiz 46" xfId="9510" xr:uid="{00000000-0005-0000-0000-00002D500000}"/>
    <cellStyle name="Notiz 46 2" xfId="9511" xr:uid="{00000000-0005-0000-0000-00002E500000}"/>
    <cellStyle name="Notiz 46 2 2" xfId="9512" xr:uid="{00000000-0005-0000-0000-00002F500000}"/>
    <cellStyle name="Notiz 46 2 2 2" xfId="18927" xr:uid="{00000000-0005-0000-0000-000030500000}"/>
    <cellStyle name="Notiz 46 2 2_est. MEAT" xfId="25161" xr:uid="{00000000-0005-0000-0000-000031500000}"/>
    <cellStyle name="Notiz 46 2 3" xfId="18926" xr:uid="{00000000-0005-0000-0000-000032500000}"/>
    <cellStyle name="Notiz 46 2_2012-2019" xfId="13044" xr:uid="{00000000-0005-0000-0000-000033500000}"/>
    <cellStyle name="Notiz 46 3" xfId="9513" xr:uid="{00000000-0005-0000-0000-000034500000}"/>
    <cellStyle name="Notiz 46 3 2" xfId="18928" xr:uid="{00000000-0005-0000-0000-000035500000}"/>
    <cellStyle name="Notiz 46 3_est. MEAT" xfId="25162" xr:uid="{00000000-0005-0000-0000-000036500000}"/>
    <cellStyle name="Notiz 46 4" xfId="18925" xr:uid="{00000000-0005-0000-0000-000037500000}"/>
    <cellStyle name="Notiz 46_2012-2019" xfId="13043" xr:uid="{00000000-0005-0000-0000-000038500000}"/>
    <cellStyle name="Notiz 47" xfId="9514" xr:uid="{00000000-0005-0000-0000-000039500000}"/>
    <cellStyle name="Notiz 47 2" xfId="9515" xr:uid="{00000000-0005-0000-0000-00003A500000}"/>
    <cellStyle name="Notiz 47 2 2" xfId="9516" xr:uid="{00000000-0005-0000-0000-00003B500000}"/>
    <cellStyle name="Notiz 47 2 2 2" xfId="18931" xr:uid="{00000000-0005-0000-0000-00003C500000}"/>
    <cellStyle name="Notiz 47 2 2_est. MEAT" xfId="25163" xr:uid="{00000000-0005-0000-0000-00003D500000}"/>
    <cellStyle name="Notiz 47 2 3" xfId="18930" xr:uid="{00000000-0005-0000-0000-00003E500000}"/>
    <cellStyle name="Notiz 47 2_2012-2019" xfId="13046" xr:uid="{00000000-0005-0000-0000-00003F500000}"/>
    <cellStyle name="Notiz 47 3" xfId="9517" xr:uid="{00000000-0005-0000-0000-000040500000}"/>
    <cellStyle name="Notiz 47 3 2" xfId="18932" xr:uid="{00000000-0005-0000-0000-000041500000}"/>
    <cellStyle name="Notiz 47 3_est. MEAT" xfId="25164" xr:uid="{00000000-0005-0000-0000-000042500000}"/>
    <cellStyle name="Notiz 47 4" xfId="18929" xr:uid="{00000000-0005-0000-0000-000043500000}"/>
    <cellStyle name="Notiz 47_2012-2019" xfId="13045" xr:uid="{00000000-0005-0000-0000-000044500000}"/>
    <cellStyle name="Notiz 48" xfId="9518" xr:uid="{00000000-0005-0000-0000-000045500000}"/>
    <cellStyle name="Notiz 48 2" xfId="9519" xr:uid="{00000000-0005-0000-0000-000046500000}"/>
    <cellStyle name="Notiz 48 2 2" xfId="9520" xr:uid="{00000000-0005-0000-0000-000047500000}"/>
    <cellStyle name="Notiz 48 2 2 2" xfId="18935" xr:uid="{00000000-0005-0000-0000-000048500000}"/>
    <cellStyle name="Notiz 48 2 2_est. MEAT" xfId="25165" xr:uid="{00000000-0005-0000-0000-000049500000}"/>
    <cellStyle name="Notiz 48 2 3" xfId="18934" xr:uid="{00000000-0005-0000-0000-00004A500000}"/>
    <cellStyle name="Notiz 48 2_2012-2019" xfId="13048" xr:uid="{00000000-0005-0000-0000-00004B500000}"/>
    <cellStyle name="Notiz 48 3" xfId="9521" xr:uid="{00000000-0005-0000-0000-00004C500000}"/>
    <cellStyle name="Notiz 48 3 2" xfId="18936" xr:uid="{00000000-0005-0000-0000-00004D500000}"/>
    <cellStyle name="Notiz 48 3_est. MEAT" xfId="25166" xr:uid="{00000000-0005-0000-0000-00004E500000}"/>
    <cellStyle name="Notiz 48 4" xfId="18933" xr:uid="{00000000-0005-0000-0000-00004F500000}"/>
    <cellStyle name="Notiz 48_2012-2019" xfId="13047" xr:uid="{00000000-0005-0000-0000-000050500000}"/>
    <cellStyle name="Notiz 49" xfId="9522" xr:uid="{00000000-0005-0000-0000-000051500000}"/>
    <cellStyle name="Notiz 49 2" xfId="9523" xr:uid="{00000000-0005-0000-0000-000052500000}"/>
    <cellStyle name="Notiz 49 2 2" xfId="9524" xr:uid="{00000000-0005-0000-0000-000053500000}"/>
    <cellStyle name="Notiz 49 2 2 2" xfId="18939" xr:uid="{00000000-0005-0000-0000-000054500000}"/>
    <cellStyle name="Notiz 49 2 2_est. MEAT" xfId="25167" xr:uid="{00000000-0005-0000-0000-000055500000}"/>
    <cellStyle name="Notiz 49 2 3" xfId="18938" xr:uid="{00000000-0005-0000-0000-000056500000}"/>
    <cellStyle name="Notiz 49 2_2012-2019" xfId="13050" xr:uid="{00000000-0005-0000-0000-000057500000}"/>
    <cellStyle name="Notiz 49 3" xfId="9525" xr:uid="{00000000-0005-0000-0000-000058500000}"/>
    <cellStyle name="Notiz 49 3 2" xfId="18940" xr:uid="{00000000-0005-0000-0000-000059500000}"/>
    <cellStyle name="Notiz 49 3_est. MEAT" xfId="25168" xr:uid="{00000000-0005-0000-0000-00005A500000}"/>
    <cellStyle name="Notiz 49 4" xfId="18937" xr:uid="{00000000-0005-0000-0000-00005B500000}"/>
    <cellStyle name="Notiz 49_2012-2019" xfId="13049" xr:uid="{00000000-0005-0000-0000-00005C500000}"/>
    <cellStyle name="Notiz 5" xfId="9526" xr:uid="{00000000-0005-0000-0000-00005D500000}"/>
    <cellStyle name="Notiz 5 2" xfId="9527" xr:uid="{00000000-0005-0000-0000-00005E500000}"/>
    <cellStyle name="Notiz 5 2 2" xfId="9528" xr:uid="{00000000-0005-0000-0000-00005F500000}"/>
    <cellStyle name="Notiz 5 2 2 2" xfId="18943" xr:uid="{00000000-0005-0000-0000-000060500000}"/>
    <cellStyle name="Notiz 5 2 2_est. MEAT" xfId="25169" xr:uid="{00000000-0005-0000-0000-000061500000}"/>
    <cellStyle name="Notiz 5 2 3" xfId="18942" xr:uid="{00000000-0005-0000-0000-000062500000}"/>
    <cellStyle name="Notiz 5 2_2012-2019" xfId="13052" xr:uid="{00000000-0005-0000-0000-000063500000}"/>
    <cellStyle name="Notiz 5 3" xfId="9529" xr:uid="{00000000-0005-0000-0000-000064500000}"/>
    <cellStyle name="Notiz 5 3 2" xfId="9530" xr:uid="{00000000-0005-0000-0000-000065500000}"/>
    <cellStyle name="Notiz 5 3 2 2" xfId="18945" xr:uid="{00000000-0005-0000-0000-000066500000}"/>
    <cellStyle name="Notiz 5 3 2_est. MEAT" xfId="25170" xr:uid="{00000000-0005-0000-0000-000067500000}"/>
    <cellStyle name="Notiz 5 3 3" xfId="18944" xr:uid="{00000000-0005-0000-0000-000068500000}"/>
    <cellStyle name="Notiz 5 3_2012-2019" xfId="13053" xr:uid="{00000000-0005-0000-0000-000069500000}"/>
    <cellStyle name="Notiz 5 4" xfId="9531" xr:uid="{00000000-0005-0000-0000-00006A500000}"/>
    <cellStyle name="Notiz 5 4 2" xfId="9532" xr:uid="{00000000-0005-0000-0000-00006B500000}"/>
    <cellStyle name="Notiz 5 4 2 2" xfId="18947" xr:uid="{00000000-0005-0000-0000-00006C500000}"/>
    <cellStyle name="Notiz 5 4 2_est. MEAT" xfId="25171" xr:uid="{00000000-0005-0000-0000-00006D500000}"/>
    <cellStyle name="Notiz 5 4 3" xfId="18946" xr:uid="{00000000-0005-0000-0000-00006E500000}"/>
    <cellStyle name="Notiz 5 4_2012-2019" xfId="13054" xr:uid="{00000000-0005-0000-0000-00006F500000}"/>
    <cellStyle name="Notiz 5 5" xfId="9533" xr:uid="{00000000-0005-0000-0000-000070500000}"/>
    <cellStyle name="Notiz 5 5 2" xfId="18948" xr:uid="{00000000-0005-0000-0000-000071500000}"/>
    <cellStyle name="Notiz 5 5_est. MEAT" xfId="25172" xr:uid="{00000000-0005-0000-0000-000072500000}"/>
    <cellStyle name="Notiz 5 6" xfId="18941" xr:uid="{00000000-0005-0000-0000-000073500000}"/>
    <cellStyle name="Notiz 5_2012-2019" xfId="13051" xr:uid="{00000000-0005-0000-0000-000074500000}"/>
    <cellStyle name="Notiz 50" xfId="9534" xr:uid="{00000000-0005-0000-0000-000075500000}"/>
    <cellStyle name="Notiz 50 2" xfId="9535" xr:uid="{00000000-0005-0000-0000-000076500000}"/>
    <cellStyle name="Notiz 50 2 2" xfId="9536" xr:uid="{00000000-0005-0000-0000-000077500000}"/>
    <cellStyle name="Notiz 50 2 2 2" xfId="18951" xr:uid="{00000000-0005-0000-0000-000078500000}"/>
    <cellStyle name="Notiz 50 2 2_est. MEAT" xfId="25173" xr:uid="{00000000-0005-0000-0000-000079500000}"/>
    <cellStyle name="Notiz 50 2 3" xfId="18950" xr:uid="{00000000-0005-0000-0000-00007A500000}"/>
    <cellStyle name="Notiz 50 2_2012-2019" xfId="13056" xr:uid="{00000000-0005-0000-0000-00007B500000}"/>
    <cellStyle name="Notiz 50 3" xfId="9537" xr:uid="{00000000-0005-0000-0000-00007C500000}"/>
    <cellStyle name="Notiz 50 3 2" xfId="18952" xr:uid="{00000000-0005-0000-0000-00007D500000}"/>
    <cellStyle name="Notiz 50 3_est. MEAT" xfId="25174" xr:uid="{00000000-0005-0000-0000-00007E500000}"/>
    <cellStyle name="Notiz 50 4" xfId="18949" xr:uid="{00000000-0005-0000-0000-00007F500000}"/>
    <cellStyle name="Notiz 50_2012-2019" xfId="13055" xr:uid="{00000000-0005-0000-0000-000080500000}"/>
    <cellStyle name="Notiz 51" xfId="9538" xr:uid="{00000000-0005-0000-0000-000081500000}"/>
    <cellStyle name="Notiz 51 2" xfId="9539" xr:uid="{00000000-0005-0000-0000-000082500000}"/>
    <cellStyle name="Notiz 51 2 2" xfId="9540" xr:uid="{00000000-0005-0000-0000-000083500000}"/>
    <cellStyle name="Notiz 51 2 2 2" xfId="18955" xr:uid="{00000000-0005-0000-0000-000084500000}"/>
    <cellStyle name="Notiz 51 2 2_est. MEAT" xfId="25175" xr:uid="{00000000-0005-0000-0000-000085500000}"/>
    <cellStyle name="Notiz 51 2 3" xfId="18954" xr:uid="{00000000-0005-0000-0000-000086500000}"/>
    <cellStyle name="Notiz 51 2_2012-2019" xfId="13058" xr:uid="{00000000-0005-0000-0000-000087500000}"/>
    <cellStyle name="Notiz 51 3" xfId="9541" xr:uid="{00000000-0005-0000-0000-000088500000}"/>
    <cellStyle name="Notiz 51 3 2" xfId="18956" xr:uid="{00000000-0005-0000-0000-000089500000}"/>
    <cellStyle name="Notiz 51 3_est. MEAT" xfId="25176" xr:uid="{00000000-0005-0000-0000-00008A500000}"/>
    <cellStyle name="Notiz 51 4" xfId="18953" xr:uid="{00000000-0005-0000-0000-00008B500000}"/>
    <cellStyle name="Notiz 51_2012-2019" xfId="13057" xr:uid="{00000000-0005-0000-0000-00008C500000}"/>
    <cellStyle name="Notiz 52" xfId="9542" xr:uid="{00000000-0005-0000-0000-00008D500000}"/>
    <cellStyle name="Notiz 52 2" xfId="9543" xr:uid="{00000000-0005-0000-0000-00008E500000}"/>
    <cellStyle name="Notiz 52 2 2" xfId="9544" xr:uid="{00000000-0005-0000-0000-00008F500000}"/>
    <cellStyle name="Notiz 52 2 2 2" xfId="18959" xr:uid="{00000000-0005-0000-0000-000090500000}"/>
    <cellStyle name="Notiz 52 2 2_est. MEAT" xfId="25177" xr:uid="{00000000-0005-0000-0000-000091500000}"/>
    <cellStyle name="Notiz 52 2 3" xfId="18958" xr:uid="{00000000-0005-0000-0000-000092500000}"/>
    <cellStyle name="Notiz 52 2_2012-2019" xfId="13060" xr:uid="{00000000-0005-0000-0000-000093500000}"/>
    <cellStyle name="Notiz 52 3" xfId="9545" xr:uid="{00000000-0005-0000-0000-000094500000}"/>
    <cellStyle name="Notiz 52 3 2" xfId="18960" xr:uid="{00000000-0005-0000-0000-000095500000}"/>
    <cellStyle name="Notiz 52 3_est. MEAT" xfId="25178" xr:uid="{00000000-0005-0000-0000-000096500000}"/>
    <cellStyle name="Notiz 52 4" xfId="18957" xr:uid="{00000000-0005-0000-0000-000097500000}"/>
    <cellStyle name="Notiz 52_2012-2019" xfId="13059" xr:uid="{00000000-0005-0000-0000-000098500000}"/>
    <cellStyle name="Notiz 53" xfId="9546" xr:uid="{00000000-0005-0000-0000-000099500000}"/>
    <cellStyle name="Notiz 53 2" xfId="9547" xr:uid="{00000000-0005-0000-0000-00009A500000}"/>
    <cellStyle name="Notiz 53 2 2" xfId="9548" xr:uid="{00000000-0005-0000-0000-00009B500000}"/>
    <cellStyle name="Notiz 53 2 2 2" xfId="18963" xr:uid="{00000000-0005-0000-0000-00009C500000}"/>
    <cellStyle name="Notiz 53 2 2_est. MEAT" xfId="25179" xr:uid="{00000000-0005-0000-0000-00009D500000}"/>
    <cellStyle name="Notiz 53 2 3" xfId="18962" xr:uid="{00000000-0005-0000-0000-00009E500000}"/>
    <cellStyle name="Notiz 53 2_2012-2019" xfId="13062" xr:uid="{00000000-0005-0000-0000-00009F500000}"/>
    <cellStyle name="Notiz 53 3" xfId="9549" xr:uid="{00000000-0005-0000-0000-0000A0500000}"/>
    <cellStyle name="Notiz 53 3 2" xfId="18964" xr:uid="{00000000-0005-0000-0000-0000A1500000}"/>
    <cellStyle name="Notiz 53 3_est. MEAT" xfId="25180" xr:uid="{00000000-0005-0000-0000-0000A2500000}"/>
    <cellStyle name="Notiz 53 4" xfId="18961" xr:uid="{00000000-0005-0000-0000-0000A3500000}"/>
    <cellStyle name="Notiz 53_2012-2019" xfId="13061" xr:uid="{00000000-0005-0000-0000-0000A4500000}"/>
    <cellStyle name="Notiz 54" xfId="9550" xr:uid="{00000000-0005-0000-0000-0000A5500000}"/>
    <cellStyle name="Notiz 54 2" xfId="9551" xr:uid="{00000000-0005-0000-0000-0000A6500000}"/>
    <cellStyle name="Notiz 54 2 2" xfId="9552" xr:uid="{00000000-0005-0000-0000-0000A7500000}"/>
    <cellStyle name="Notiz 54 2 2 2" xfId="18967" xr:uid="{00000000-0005-0000-0000-0000A8500000}"/>
    <cellStyle name="Notiz 54 2 2_est. MEAT" xfId="25181" xr:uid="{00000000-0005-0000-0000-0000A9500000}"/>
    <cellStyle name="Notiz 54 2 3" xfId="18966" xr:uid="{00000000-0005-0000-0000-0000AA500000}"/>
    <cellStyle name="Notiz 54 2_2012-2019" xfId="13064" xr:uid="{00000000-0005-0000-0000-0000AB500000}"/>
    <cellStyle name="Notiz 54 3" xfId="9553" xr:uid="{00000000-0005-0000-0000-0000AC500000}"/>
    <cellStyle name="Notiz 54 3 2" xfId="18968" xr:uid="{00000000-0005-0000-0000-0000AD500000}"/>
    <cellStyle name="Notiz 54 3_est. MEAT" xfId="25182" xr:uid="{00000000-0005-0000-0000-0000AE500000}"/>
    <cellStyle name="Notiz 54 4" xfId="18965" xr:uid="{00000000-0005-0000-0000-0000AF500000}"/>
    <cellStyle name="Notiz 54_2012-2019" xfId="13063" xr:uid="{00000000-0005-0000-0000-0000B0500000}"/>
    <cellStyle name="Notiz 55" xfId="9554" xr:uid="{00000000-0005-0000-0000-0000B1500000}"/>
    <cellStyle name="Notiz 55 2" xfId="9555" xr:uid="{00000000-0005-0000-0000-0000B2500000}"/>
    <cellStyle name="Notiz 55 2 2" xfId="9556" xr:uid="{00000000-0005-0000-0000-0000B3500000}"/>
    <cellStyle name="Notiz 55 2 2 2" xfId="18971" xr:uid="{00000000-0005-0000-0000-0000B4500000}"/>
    <cellStyle name="Notiz 55 2 2_est. MEAT" xfId="25183" xr:uid="{00000000-0005-0000-0000-0000B5500000}"/>
    <cellStyle name="Notiz 55 2 3" xfId="18970" xr:uid="{00000000-0005-0000-0000-0000B6500000}"/>
    <cellStyle name="Notiz 55 2_2012-2019" xfId="13066" xr:uid="{00000000-0005-0000-0000-0000B7500000}"/>
    <cellStyle name="Notiz 55 3" xfId="9557" xr:uid="{00000000-0005-0000-0000-0000B8500000}"/>
    <cellStyle name="Notiz 55 3 2" xfId="18972" xr:uid="{00000000-0005-0000-0000-0000B9500000}"/>
    <cellStyle name="Notiz 55 3_est. MEAT" xfId="25184" xr:uid="{00000000-0005-0000-0000-0000BA500000}"/>
    <cellStyle name="Notiz 55 4" xfId="18969" xr:uid="{00000000-0005-0000-0000-0000BB500000}"/>
    <cellStyle name="Notiz 55_2012-2019" xfId="13065" xr:uid="{00000000-0005-0000-0000-0000BC500000}"/>
    <cellStyle name="Notiz 56" xfId="9558" xr:uid="{00000000-0005-0000-0000-0000BD500000}"/>
    <cellStyle name="Notiz 56 2" xfId="9559" xr:uid="{00000000-0005-0000-0000-0000BE500000}"/>
    <cellStyle name="Notiz 56 2 2" xfId="9560" xr:uid="{00000000-0005-0000-0000-0000BF500000}"/>
    <cellStyle name="Notiz 56 2 2 2" xfId="18975" xr:uid="{00000000-0005-0000-0000-0000C0500000}"/>
    <cellStyle name="Notiz 56 2 2_est. MEAT" xfId="25185" xr:uid="{00000000-0005-0000-0000-0000C1500000}"/>
    <cellStyle name="Notiz 56 2 3" xfId="18974" xr:uid="{00000000-0005-0000-0000-0000C2500000}"/>
    <cellStyle name="Notiz 56 2_2012-2019" xfId="13068" xr:uid="{00000000-0005-0000-0000-0000C3500000}"/>
    <cellStyle name="Notiz 56 3" xfId="9561" xr:uid="{00000000-0005-0000-0000-0000C4500000}"/>
    <cellStyle name="Notiz 56 3 2" xfId="18976" xr:uid="{00000000-0005-0000-0000-0000C5500000}"/>
    <cellStyle name="Notiz 56 3_est. MEAT" xfId="25186" xr:uid="{00000000-0005-0000-0000-0000C6500000}"/>
    <cellStyle name="Notiz 56 4" xfId="18973" xr:uid="{00000000-0005-0000-0000-0000C7500000}"/>
    <cellStyle name="Notiz 56_2012-2019" xfId="13067" xr:uid="{00000000-0005-0000-0000-0000C8500000}"/>
    <cellStyle name="Notiz 57" xfId="9562" xr:uid="{00000000-0005-0000-0000-0000C9500000}"/>
    <cellStyle name="Notiz 57 2" xfId="9563" xr:uid="{00000000-0005-0000-0000-0000CA500000}"/>
    <cellStyle name="Notiz 57 2 2" xfId="9564" xr:uid="{00000000-0005-0000-0000-0000CB500000}"/>
    <cellStyle name="Notiz 57 2 2 2" xfId="18979" xr:uid="{00000000-0005-0000-0000-0000CC500000}"/>
    <cellStyle name="Notiz 57 2 2_est. MEAT" xfId="25187" xr:uid="{00000000-0005-0000-0000-0000CD500000}"/>
    <cellStyle name="Notiz 57 2 3" xfId="18978" xr:uid="{00000000-0005-0000-0000-0000CE500000}"/>
    <cellStyle name="Notiz 57 2_2012-2019" xfId="13070" xr:uid="{00000000-0005-0000-0000-0000CF500000}"/>
    <cellStyle name="Notiz 57 3" xfId="9565" xr:uid="{00000000-0005-0000-0000-0000D0500000}"/>
    <cellStyle name="Notiz 57 3 2" xfId="18980" xr:uid="{00000000-0005-0000-0000-0000D1500000}"/>
    <cellStyle name="Notiz 57 3_est. MEAT" xfId="25188" xr:uid="{00000000-0005-0000-0000-0000D2500000}"/>
    <cellStyle name="Notiz 57 4" xfId="18977" xr:uid="{00000000-0005-0000-0000-0000D3500000}"/>
    <cellStyle name="Notiz 57_2012-2019" xfId="13069" xr:uid="{00000000-0005-0000-0000-0000D4500000}"/>
    <cellStyle name="Notiz 58" xfId="9566" xr:uid="{00000000-0005-0000-0000-0000D5500000}"/>
    <cellStyle name="Notiz 58 2" xfId="9567" xr:uid="{00000000-0005-0000-0000-0000D6500000}"/>
    <cellStyle name="Notiz 58 2 2" xfId="9568" xr:uid="{00000000-0005-0000-0000-0000D7500000}"/>
    <cellStyle name="Notiz 58 2 2 2" xfId="18983" xr:uid="{00000000-0005-0000-0000-0000D8500000}"/>
    <cellStyle name="Notiz 58 2 2_est. MEAT" xfId="25189" xr:uid="{00000000-0005-0000-0000-0000D9500000}"/>
    <cellStyle name="Notiz 58 2 3" xfId="18982" xr:uid="{00000000-0005-0000-0000-0000DA500000}"/>
    <cellStyle name="Notiz 58 2_2012-2019" xfId="13072" xr:uid="{00000000-0005-0000-0000-0000DB500000}"/>
    <cellStyle name="Notiz 58 3" xfId="9569" xr:uid="{00000000-0005-0000-0000-0000DC500000}"/>
    <cellStyle name="Notiz 58 3 2" xfId="18984" xr:uid="{00000000-0005-0000-0000-0000DD500000}"/>
    <cellStyle name="Notiz 58 3_est. MEAT" xfId="25190" xr:uid="{00000000-0005-0000-0000-0000DE500000}"/>
    <cellStyle name="Notiz 58 4" xfId="18981" xr:uid="{00000000-0005-0000-0000-0000DF500000}"/>
    <cellStyle name="Notiz 58_2012-2019" xfId="13071" xr:uid="{00000000-0005-0000-0000-0000E0500000}"/>
    <cellStyle name="Notiz 59" xfId="9570" xr:uid="{00000000-0005-0000-0000-0000E1500000}"/>
    <cellStyle name="Notiz 59 2" xfId="9571" xr:uid="{00000000-0005-0000-0000-0000E2500000}"/>
    <cellStyle name="Notiz 59 2 2" xfId="9572" xr:uid="{00000000-0005-0000-0000-0000E3500000}"/>
    <cellStyle name="Notiz 59 2 2 2" xfId="18987" xr:uid="{00000000-0005-0000-0000-0000E4500000}"/>
    <cellStyle name="Notiz 59 2 2_est. MEAT" xfId="25191" xr:uid="{00000000-0005-0000-0000-0000E5500000}"/>
    <cellStyle name="Notiz 59 2 3" xfId="18986" xr:uid="{00000000-0005-0000-0000-0000E6500000}"/>
    <cellStyle name="Notiz 59 2_2012-2019" xfId="13074" xr:uid="{00000000-0005-0000-0000-0000E7500000}"/>
    <cellStyle name="Notiz 59 3" xfId="9573" xr:uid="{00000000-0005-0000-0000-0000E8500000}"/>
    <cellStyle name="Notiz 59 3 2" xfId="18988" xr:uid="{00000000-0005-0000-0000-0000E9500000}"/>
    <cellStyle name="Notiz 59 3_est. MEAT" xfId="25192" xr:uid="{00000000-0005-0000-0000-0000EA500000}"/>
    <cellStyle name="Notiz 59 4" xfId="18985" xr:uid="{00000000-0005-0000-0000-0000EB500000}"/>
    <cellStyle name="Notiz 59_2012-2019" xfId="13073" xr:uid="{00000000-0005-0000-0000-0000EC500000}"/>
    <cellStyle name="Notiz 6" xfId="9574" xr:uid="{00000000-0005-0000-0000-0000ED500000}"/>
    <cellStyle name="Notiz 6 2" xfId="9575" xr:uid="{00000000-0005-0000-0000-0000EE500000}"/>
    <cellStyle name="Notiz 6 2 2" xfId="18990" xr:uid="{00000000-0005-0000-0000-0000EF500000}"/>
    <cellStyle name="Notiz 6 2_est. MEAT" xfId="25193" xr:uid="{00000000-0005-0000-0000-0000F0500000}"/>
    <cellStyle name="Notiz 6 3" xfId="18989" xr:uid="{00000000-0005-0000-0000-0000F1500000}"/>
    <cellStyle name="Notiz 6_2012-2019" xfId="13075" xr:uid="{00000000-0005-0000-0000-0000F2500000}"/>
    <cellStyle name="Notiz 60" xfId="9576" xr:uid="{00000000-0005-0000-0000-0000F3500000}"/>
    <cellStyle name="Notiz 60 2" xfId="9577" xr:uid="{00000000-0005-0000-0000-0000F4500000}"/>
    <cellStyle name="Notiz 60 2 2" xfId="9578" xr:uid="{00000000-0005-0000-0000-0000F5500000}"/>
    <cellStyle name="Notiz 60 2 2 2" xfId="18993" xr:uid="{00000000-0005-0000-0000-0000F6500000}"/>
    <cellStyle name="Notiz 60 2 2_est. MEAT" xfId="25194" xr:uid="{00000000-0005-0000-0000-0000F7500000}"/>
    <cellStyle name="Notiz 60 2 3" xfId="18992" xr:uid="{00000000-0005-0000-0000-0000F8500000}"/>
    <cellStyle name="Notiz 60 2_2012-2019" xfId="13077" xr:uid="{00000000-0005-0000-0000-0000F9500000}"/>
    <cellStyle name="Notiz 60 3" xfId="9579" xr:uid="{00000000-0005-0000-0000-0000FA500000}"/>
    <cellStyle name="Notiz 60 3 2" xfId="18994" xr:uid="{00000000-0005-0000-0000-0000FB500000}"/>
    <cellStyle name="Notiz 60 3_est. MEAT" xfId="25195" xr:uid="{00000000-0005-0000-0000-0000FC500000}"/>
    <cellStyle name="Notiz 60 4" xfId="18991" xr:uid="{00000000-0005-0000-0000-0000FD500000}"/>
    <cellStyle name="Notiz 60_2012-2019" xfId="13076" xr:uid="{00000000-0005-0000-0000-0000FE500000}"/>
    <cellStyle name="Notiz 61" xfId="9580" xr:uid="{00000000-0005-0000-0000-0000FF500000}"/>
    <cellStyle name="Notiz 61 2" xfId="9581" xr:uid="{00000000-0005-0000-0000-000000510000}"/>
    <cellStyle name="Notiz 61 2 2" xfId="9582" xr:uid="{00000000-0005-0000-0000-000001510000}"/>
    <cellStyle name="Notiz 61 2 2 2" xfId="18997" xr:uid="{00000000-0005-0000-0000-000002510000}"/>
    <cellStyle name="Notiz 61 2 2_est. MEAT" xfId="25196" xr:uid="{00000000-0005-0000-0000-000003510000}"/>
    <cellStyle name="Notiz 61 2 3" xfId="18996" xr:uid="{00000000-0005-0000-0000-000004510000}"/>
    <cellStyle name="Notiz 61 2_2012-2019" xfId="13079" xr:uid="{00000000-0005-0000-0000-000005510000}"/>
    <cellStyle name="Notiz 61 3" xfId="9583" xr:uid="{00000000-0005-0000-0000-000006510000}"/>
    <cellStyle name="Notiz 61 3 2" xfId="18998" xr:uid="{00000000-0005-0000-0000-000007510000}"/>
    <cellStyle name="Notiz 61 3_est. MEAT" xfId="25197" xr:uid="{00000000-0005-0000-0000-000008510000}"/>
    <cellStyle name="Notiz 61 4" xfId="18995" xr:uid="{00000000-0005-0000-0000-000009510000}"/>
    <cellStyle name="Notiz 61_2012-2019" xfId="13078" xr:uid="{00000000-0005-0000-0000-00000A510000}"/>
    <cellStyle name="Notiz 62" xfId="9584" xr:uid="{00000000-0005-0000-0000-00000B510000}"/>
    <cellStyle name="Notiz 62 2" xfId="9585" xr:uid="{00000000-0005-0000-0000-00000C510000}"/>
    <cellStyle name="Notiz 62 2 2" xfId="9586" xr:uid="{00000000-0005-0000-0000-00000D510000}"/>
    <cellStyle name="Notiz 62 2 2 2" xfId="19001" xr:uid="{00000000-0005-0000-0000-00000E510000}"/>
    <cellStyle name="Notiz 62 2 2_est. MEAT" xfId="25198" xr:uid="{00000000-0005-0000-0000-00000F510000}"/>
    <cellStyle name="Notiz 62 2 3" xfId="19000" xr:uid="{00000000-0005-0000-0000-000010510000}"/>
    <cellStyle name="Notiz 62 2_2012-2019" xfId="13081" xr:uid="{00000000-0005-0000-0000-000011510000}"/>
    <cellStyle name="Notiz 62 3" xfId="9587" xr:uid="{00000000-0005-0000-0000-000012510000}"/>
    <cellStyle name="Notiz 62 3 2" xfId="19002" xr:uid="{00000000-0005-0000-0000-000013510000}"/>
    <cellStyle name="Notiz 62 3_est. MEAT" xfId="25199" xr:uid="{00000000-0005-0000-0000-000014510000}"/>
    <cellStyle name="Notiz 62 4" xfId="18999" xr:uid="{00000000-0005-0000-0000-000015510000}"/>
    <cellStyle name="Notiz 62_2012-2019" xfId="13080" xr:uid="{00000000-0005-0000-0000-000016510000}"/>
    <cellStyle name="Notiz 63" xfId="9588" xr:uid="{00000000-0005-0000-0000-000017510000}"/>
    <cellStyle name="Notiz 63 2" xfId="9589" xr:uid="{00000000-0005-0000-0000-000018510000}"/>
    <cellStyle name="Notiz 63 2 2" xfId="9590" xr:uid="{00000000-0005-0000-0000-000019510000}"/>
    <cellStyle name="Notiz 63 2 2 2" xfId="19005" xr:uid="{00000000-0005-0000-0000-00001A510000}"/>
    <cellStyle name="Notiz 63 2 2_est. MEAT" xfId="25200" xr:uid="{00000000-0005-0000-0000-00001B510000}"/>
    <cellStyle name="Notiz 63 2 3" xfId="19004" xr:uid="{00000000-0005-0000-0000-00001C510000}"/>
    <cellStyle name="Notiz 63 2_2012-2019" xfId="13083" xr:uid="{00000000-0005-0000-0000-00001D510000}"/>
    <cellStyle name="Notiz 63 3" xfId="9591" xr:uid="{00000000-0005-0000-0000-00001E510000}"/>
    <cellStyle name="Notiz 63 3 2" xfId="19006" xr:uid="{00000000-0005-0000-0000-00001F510000}"/>
    <cellStyle name="Notiz 63 3_est. MEAT" xfId="25201" xr:uid="{00000000-0005-0000-0000-000020510000}"/>
    <cellStyle name="Notiz 63 4" xfId="19003" xr:uid="{00000000-0005-0000-0000-000021510000}"/>
    <cellStyle name="Notiz 63_2012-2019" xfId="13082" xr:uid="{00000000-0005-0000-0000-000022510000}"/>
    <cellStyle name="Notiz 64" xfId="9592" xr:uid="{00000000-0005-0000-0000-000023510000}"/>
    <cellStyle name="Notiz 64 2" xfId="9593" xr:uid="{00000000-0005-0000-0000-000024510000}"/>
    <cellStyle name="Notiz 64 2 2" xfId="9594" xr:uid="{00000000-0005-0000-0000-000025510000}"/>
    <cellStyle name="Notiz 64 2 2 2" xfId="19009" xr:uid="{00000000-0005-0000-0000-000026510000}"/>
    <cellStyle name="Notiz 64 2 2_est. MEAT" xfId="25202" xr:uid="{00000000-0005-0000-0000-000027510000}"/>
    <cellStyle name="Notiz 64 2 3" xfId="19008" xr:uid="{00000000-0005-0000-0000-000028510000}"/>
    <cellStyle name="Notiz 64 2_2012-2019" xfId="13085" xr:uid="{00000000-0005-0000-0000-000029510000}"/>
    <cellStyle name="Notiz 64 3" xfId="9595" xr:uid="{00000000-0005-0000-0000-00002A510000}"/>
    <cellStyle name="Notiz 64 3 2" xfId="19010" xr:uid="{00000000-0005-0000-0000-00002B510000}"/>
    <cellStyle name="Notiz 64 3_est. MEAT" xfId="25203" xr:uid="{00000000-0005-0000-0000-00002C510000}"/>
    <cellStyle name="Notiz 64 4" xfId="19007" xr:uid="{00000000-0005-0000-0000-00002D510000}"/>
    <cellStyle name="Notiz 64_2012-2019" xfId="13084" xr:uid="{00000000-0005-0000-0000-00002E510000}"/>
    <cellStyle name="Notiz 65" xfId="9596" xr:uid="{00000000-0005-0000-0000-00002F510000}"/>
    <cellStyle name="Notiz 65 2" xfId="9597" xr:uid="{00000000-0005-0000-0000-000030510000}"/>
    <cellStyle name="Notiz 65 2 2" xfId="9598" xr:uid="{00000000-0005-0000-0000-000031510000}"/>
    <cellStyle name="Notiz 65 2 2 2" xfId="19013" xr:uid="{00000000-0005-0000-0000-000032510000}"/>
    <cellStyle name="Notiz 65 2 2_est. MEAT" xfId="25204" xr:uid="{00000000-0005-0000-0000-000033510000}"/>
    <cellStyle name="Notiz 65 2 3" xfId="19012" xr:uid="{00000000-0005-0000-0000-000034510000}"/>
    <cellStyle name="Notiz 65 2_2012-2019" xfId="13087" xr:uid="{00000000-0005-0000-0000-000035510000}"/>
    <cellStyle name="Notiz 65 3" xfId="9599" xr:uid="{00000000-0005-0000-0000-000036510000}"/>
    <cellStyle name="Notiz 65 3 2" xfId="19014" xr:uid="{00000000-0005-0000-0000-000037510000}"/>
    <cellStyle name="Notiz 65 3_est. MEAT" xfId="25205" xr:uid="{00000000-0005-0000-0000-000038510000}"/>
    <cellStyle name="Notiz 65 4" xfId="19011" xr:uid="{00000000-0005-0000-0000-000039510000}"/>
    <cellStyle name="Notiz 65_2012-2019" xfId="13086" xr:uid="{00000000-0005-0000-0000-00003A510000}"/>
    <cellStyle name="Notiz 66" xfId="9600" xr:uid="{00000000-0005-0000-0000-00003B510000}"/>
    <cellStyle name="Notiz 66 2" xfId="9601" xr:uid="{00000000-0005-0000-0000-00003C510000}"/>
    <cellStyle name="Notiz 66 2 2" xfId="9602" xr:uid="{00000000-0005-0000-0000-00003D510000}"/>
    <cellStyle name="Notiz 66 2 2 2" xfId="19017" xr:uid="{00000000-0005-0000-0000-00003E510000}"/>
    <cellStyle name="Notiz 66 2 2_est. MEAT" xfId="25206" xr:uid="{00000000-0005-0000-0000-00003F510000}"/>
    <cellStyle name="Notiz 66 2 3" xfId="19016" xr:uid="{00000000-0005-0000-0000-000040510000}"/>
    <cellStyle name="Notiz 66 2_2012-2019" xfId="13089" xr:uid="{00000000-0005-0000-0000-000041510000}"/>
    <cellStyle name="Notiz 66 3" xfId="9603" xr:uid="{00000000-0005-0000-0000-000042510000}"/>
    <cellStyle name="Notiz 66 3 2" xfId="19018" xr:uid="{00000000-0005-0000-0000-000043510000}"/>
    <cellStyle name="Notiz 66 3_est. MEAT" xfId="25207" xr:uid="{00000000-0005-0000-0000-000044510000}"/>
    <cellStyle name="Notiz 66 4" xfId="19015" xr:uid="{00000000-0005-0000-0000-000045510000}"/>
    <cellStyle name="Notiz 66_2012-2019" xfId="13088" xr:uid="{00000000-0005-0000-0000-000046510000}"/>
    <cellStyle name="Notiz 67" xfId="9604" xr:uid="{00000000-0005-0000-0000-000047510000}"/>
    <cellStyle name="Notiz 67 2" xfId="9605" xr:uid="{00000000-0005-0000-0000-000048510000}"/>
    <cellStyle name="Notiz 67 2 2" xfId="9606" xr:uid="{00000000-0005-0000-0000-000049510000}"/>
    <cellStyle name="Notiz 67 2 2 2" xfId="19021" xr:uid="{00000000-0005-0000-0000-00004A510000}"/>
    <cellStyle name="Notiz 67 2 2_est. MEAT" xfId="25208" xr:uid="{00000000-0005-0000-0000-00004B510000}"/>
    <cellStyle name="Notiz 67 2 3" xfId="19020" xr:uid="{00000000-0005-0000-0000-00004C510000}"/>
    <cellStyle name="Notiz 67 2_2012-2019" xfId="13091" xr:uid="{00000000-0005-0000-0000-00004D510000}"/>
    <cellStyle name="Notiz 67 3" xfId="9607" xr:uid="{00000000-0005-0000-0000-00004E510000}"/>
    <cellStyle name="Notiz 67 3 2" xfId="19022" xr:uid="{00000000-0005-0000-0000-00004F510000}"/>
    <cellStyle name="Notiz 67 3_est. MEAT" xfId="25209" xr:uid="{00000000-0005-0000-0000-000050510000}"/>
    <cellStyle name="Notiz 67 4" xfId="19019" xr:uid="{00000000-0005-0000-0000-000051510000}"/>
    <cellStyle name="Notiz 67_2012-2019" xfId="13090" xr:uid="{00000000-0005-0000-0000-000052510000}"/>
    <cellStyle name="Notiz 68" xfId="9608" xr:uid="{00000000-0005-0000-0000-000053510000}"/>
    <cellStyle name="Notiz 68 2" xfId="9609" xr:uid="{00000000-0005-0000-0000-000054510000}"/>
    <cellStyle name="Notiz 68 2 2" xfId="9610" xr:uid="{00000000-0005-0000-0000-000055510000}"/>
    <cellStyle name="Notiz 68 2 2 2" xfId="19025" xr:uid="{00000000-0005-0000-0000-000056510000}"/>
    <cellStyle name="Notiz 68 2 2_est. MEAT" xfId="25210" xr:uid="{00000000-0005-0000-0000-000057510000}"/>
    <cellStyle name="Notiz 68 2 3" xfId="19024" xr:uid="{00000000-0005-0000-0000-000058510000}"/>
    <cellStyle name="Notiz 68 2_2012-2019" xfId="13093" xr:uid="{00000000-0005-0000-0000-000059510000}"/>
    <cellStyle name="Notiz 68 3" xfId="9611" xr:uid="{00000000-0005-0000-0000-00005A510000}"/>
    <cellStyle name="Notiz 68 3 2" xfId="19026" xr:uid="{00000000-0005-0000-0000-00005B510000}"/>
    <cellStyle name="Notiz 68 3_est. MEAT" xfId="25211" xr:uid="{00000000-0005-0000-0000-00005C510000}"/>
    <cellStyle name="Notiz 68 4" xfId="19023" xr:uid="{00000000-0005-0000-0000-00005D510000}"/>
    <cellStyle name="Notiz 68_2012-2019" xfId="13092" xr:uid="{00000000-0005-0000-0000-00005E510000}"/>
    <cellStyle name="Notiz 69" xfId="9612" xr:uid="{00000000-0005-0000-0000-00005F510000}"/>
    <cellStyle name="Notiz 69 2" xfId="9613" xr:uid="{00000000-0005-0000-0000-000060510000}"/>
    <cellStyle name="Notiz 69 2 2" xfId="9614" xr:uid="{00000000-0005-0000-0000-000061510000}"/>
    <cellStyle name="Notiz 69 2 2 2" xfId="19029" xr:uid="{00000000-0005-0000-0000-000062510000}"/>
    <cellStyle name="Notiz 69 2 2_est. MEAT" xfId="25212" xr:uid="{00000000-0005-0000-0000-000063510000}"/>
    <cellStyle name="Notiz 69 2 3" xfId="19028" xr:uid="{00000000-0005-0000-0000-000064510000}"/>
    <cellStyle name="Notiz 69 2_2012-2019" xfId="13095" xr:uid="{00000000-0005-0000-0000-000065510000}"/>
    <cellStyle name="Notiz 69 3" xfId="9615" xr:uid="{00000000-0005-0000-0000-000066510000}"/>
    <cellStyle name="Notiz 69 3 2" xfId="19030" xr:uid="{00000000-0005-0000-0000-000067510000}"/>
    <cellStyle name="Notiz 69 3_est. MEAT" xfId="25213" xr:uid="{00000000-0005-0000-0000-000068510000}"/>
    <cellStyle name="Notiz 69 4" xfId="19027" xr:uid="{00000000-0005-0000-0000-000069510000}"/>
    <cellStyle name="Notiz 69_2012-2019" xfId="13094" xr:uid="{00000000-0005-0000-0000-00006A510000}"/>
    <cellStyle name="Notiz 7" xfId="9616" xr:uid="{00000000-0005-0000-0000-00006B510000}"/>
    <cellStyle name="Notiz 7 2" xfId="9617" xr:uid="{00000000-0005-0000-0000-00006C510000}"/>
    <cellStyle name="Notiz 7 2 2" xfId="19032" xr:uid="{00000000-0005-0000-0000-00006D510000}"/>
    <cellStyle name="Notiz 7 2_est. MEAT" xfId="25214" xr:uid="{00000000-0005-0000-0000-00006E510000}"/>
    <cellStyle name="Notiz 7 3" xfId="19031" xr:uid="{00000000-0005-0000-0000-00006F510000}"/>
    <cellStyle name="Notiz 7_2012-2019" xfId="13096" xr:uid="{00000000-0005-0000-0000-000070510000}"/>
    <cellStyle name="Notiz 70" xfId="9618" xr:uid="{00000000-0005-0000-0000-000071510000}"/>
    <cellStyle name="Notiz 70 2" xfId="9619" xr:uid="{00000000-0005-0000-0000-000072510000}"/>
    <cellStyle name="Notiz 70 2 2" xfId="9620" xr:uid="{00000000-0005-0000-0000-000073510000}"/>
    <cellStyle name="Notiz 70 2 2 2" xfId="19035" xr:uid="{00000000-0005-0000-0000-000074510000}"/>
    <cellStyle name="Notiz 70 2 2_est. MEAT" xfId="25215" xr:uid="{00000000-0005-0000-0000-000075510000}"/>
    <cellStyle name="Notiz 70 2 3" xfId="19034" xr:uid="{00000000-0005-0000-0000-000076510000}"/>
    <cellStyle name="Notiz 70 2_2012-2019" xfId="13098" xr:uid="{00000000-0005-0000-0000-000077510000}"/>
    <cellStyle name="Notiz 70 3" xfId="9621" xr:uid="{00000000-0005-0000-0000-000078510000}"/>
    <cellStyle name="Notiz 70 3 2" xfId="19036" xr:uid="{00000000-0005-0000-0000-000079510000}"/>
    <cellStyle name="Notiz 70 3_est. MEAT" xfId="25216" xr:uid="{00000000-0005-0000-0000-00007A510000}"/>
    <cellStyle name="Notiz 70 4" xfId="19033" xr:uid="{00000000-0005-0000-0000-00007B510000}"/>
    <cellStyle name="Notiz 70_2012-2019" xfId="13097" xr:uid="{00000000-0005-0000-0000-00007C510000}"/>
    <cellStyle name="Notiz 71" xfId="9622" xr:uid="{00000000-0005-0000-0000-00007D510000}"/>
    <cellStyle name="Notiz 71 2" xfId="9623" xr:uid="{00000000-0005-0000-0000-00007E510000}"/>
    <cellStyle name="Notiz 71 2 2" xfId="9624" xr:uid="{00000000-0005-0000-0000-00007F510000}"/>
    <cellStyle name="Notiz 71 2 2 2" xfId="19039" xr:uid="{00000000-0005-0000-0000-000080510000}"/>
    <cellStyle name="Notiz 71 2 2_est. MEAT" xfId="25217" xr:uid="{00000000-0005-0000-0000-000081510000}"/>
    <cellStyle name="Notiz 71 2 3" xfId="19038" xr:uid="{00000000-0005-0000-0000-000082510000}"/>
    <cellStyle name="Notiz 71 2_2012-2019" xfId="13100" xr:uid="{00000000-0005-0000-0000-000083510000}"/>
    <cellStyle name="Notiz 71 3" xfId="9625" xr:uid="{00000000-0005-0000-0000-000084510000}"/>
    <cellStyle name="Notiz 71 3 2" xfId="19040" xr:uid="{00000000-0005-0000-0000-000085510000}"/>
    <cellStyle name="Notiz 71 3_est. MEAT" xfId="25218" xr:uid="{00000000-0005-0000-0000-000086510000}"/>
    <cellStyle name="Notiz 71 4" xfId="19037" xr:uid="{00000000-0005-0000-0000-000087510000}"/>
    <cellStyle name="Notiz 71_2012-2019" xfId="13099" xr:uid="{00000000-0005-0000-0000-000088510000}"/>
    <cellStyle name="Notiz 72" xfId="9626" xr:uid="{00000000-0005-0000-0000-000089510000}"/>
    <cellStyle name="Notiz 72 2" xfId="9627" xr:uid="{00000000-0005-0000-0000-00008A510000}"/>
    <cellStyle name="Notiz 72 2 2" xfId="9628" xr:uid="{00000000-0005-0000-0000-00008B510000}"/>
    <cellStyle name="Notiz 72 2 2 2" xfId="19043" xr:uid="{00000000-0005-0000-0000-00008C510000}"/>
    <cellStyle name="Notiz 72 2 2_est. MEAT" xfId="25219" xr:uid="{00000000-0005-0000-0000-00008D510000}"/>
    <cellStyle name="Notiz 72 2 3" xfId="19042" xr:uid="{00000000-0005-0000-0000-00008E510000}"/>
    <cellStyle name="Notiz 72 2_2012-2019" xfId="13102" xr:uid="{00000000-0005-0000-0000-00008F510000}"/>
    <cellStyle name="Notiz 72 3" xfId="9629" xr:uid="{00000000-0005-0000-0000-000090510000}"/>
    <cellStyle name="Notiz 72 3 2" xfId="19044" xr:uid="{00000000-0005-0000-0000-000091510000}"/>
    <cellStyle name="Notiz 72 3_est. MEAT" xfId="25220" xr:uid="{00000000-0005-0000-0000-000092510000}"/>
    <cellStyle name="Notiz 72 4" xfId="19041" xr:uid="{00000000-0005-0000-0000-000093510000}"/>
    <cellStyle name="Notiz 72_2012-2019" xfId="13101" xr:uid="{00000000-0005-0000-0000-000094510000}"/>
    <cellStyle name="Notiz 73" xfId="9630" xr:uid="{00000000-0005-0000-0000-000095510000}"/>
    <cellStyle name="Notiz 73 2" xfId="9631" xr:uid="{00000000-0005-0000-0000-000096510000}"/>
    <cellStyle name="Notiz 73 2 2" xfId="9632" xr:uid="{00000000-0005-0000-0000-000097510000}"/>
    <cellStyle name="Notiz 73 2 2 2" xfId="19047" xr:uid="{00000000-0005-0000-0000-000098510000}"/>
    <cellStyle name="Notiz 73 2 2_est. MEAT" xfId="25221" xr:uid="{00000000-0005-0000-0000-000099510000}"/>
    <cellStyle name="Notiz 73 2 3" xfId="19046" xr:uid="{00000000-0005-0000-0000-00009A510000}"/>
    <cellStyle name="Notiz 73 2_2012-2019" xfId="13104" xr:uid="{00000000-0005-0000-0000-00009B510000}"/>
    <cellStyle name="Notiz 73 3" xfId="9633" xr:uid="{00000000-0005-0000-0000-00009C510000}"/>
    <cellStyle name="Notiz 73 3 2" xfId="19048" xr:uid="{00000000-0005-0000-0000-00009D510000}"/>
    <cellStyle name="Notiz 73 3_est. MEAT" xfId="25222" xr:uid="{00000000-0005-0000-0000-00009E510000}"/>
    <cellStyle name="Notiz 73 4" xfId="19045" xr:uid="{00000000-0005-0000-0000-00009F510000}"/>
    <cellStyle name="Notiz 73_2012-2019" xfId="13103" xr:uid="{00000000-0005-0000-0000-0000A0510000}"/>
    <cellStyle name="Notiz 74" xfId="9634" xr:uid="{00000000-0005-0000-0000-0000A1510000}"/>
    <cellStyle name="Notiz 74 2" xfId="9635" xr:uid="{00000000-0005-0000-0000-0000A2510000}"/>
    <cellStyle name="Notiz 74 2 2" xfId="9636" xr:uid="{00000000-0005-0000-0000-0000A3510000}"/>
    <cellStyle name="Notiz 74 2 2 2" xfId="19051" xr:uid="{00000000-0005-0000-0000-0000A4510000}"/>
    <cellStyle name="Notiz 74 2 2_est. MEAT" xfId="25223" xr:uid="{00000000-0005-0000-0000-0000A5510000}"/>
    <cellStyle name="Notiz 74 2 3" xfId="19050" xr:uid="{00000000-0005-0000-0000-0000A6510000}"/>
    <cellStyle name="Notiz 74 2_2012-2019" xfId="13106" xr:uid="{00000000-0005-0000-0000-0000A7510000}"/>
    <cellStyle name="Notiz 74 3" xfId="9637" xr:uid="{00000000-0005-0000-0000-0000A8510000}"/>
    <cellStyle name="Notiz 74 3 2" xfId="19052" xr:uid="{00000000-0005-0000-0000-0000A9510000}"/>
    <cellStyle name="Notiz 74 3_est. MEAT" xfId="25224" xr:uid="{00000000-0005-0000-0000-0000AA510000}"/>
    <cellStyle name="Notiz 74 4" xfId="19049" xr:uid="{00000000-0005-0000-0000-0000AB510000}"/>
    <cellStyle name="Notiz 74_2012-2019" xfId="13105" xr:uid="{00000000-0005-0000-0000-0000AC510000}"/>
    <cellStyle name="Notiz 75" xfId="9638" xr:uid="{00000000-0005-0000-0000-0000AD510000}"/>
    <cellStyle name="Notiz 75 2" xfId="9639" xr:uid="{00000000-0005-0000-0000-0000AE510000}"/>
    <cellStyle name="Notiz 75 2 2" xfId="9640" xr:uid="{00000000-0005-0000-0000-0000AF510000}"/>
    <cellStyle name="Notiz 75 2 2 2" xfId="19055" xr:uid="{00000000-0005-0000-0000-0000B0510000}"/>
    <cellStyle name="Notiz 75 2 2_est. MEAT" xfId="25225" xr:uid="{00000000-0005-0000-0000-0000B1510000}"/>
    <cellStyle name="Notiz 75 2 3" xfId="19054" xr:uid="{00000000-0005-0000-0000-0000B2510000}"/>
    <cellStyle name="Notiz 75 2_2012-2019" xfId="13108" xr:uid="{00000000-0005-0000-0000-0000B3510000}"/>
    <cellStyle name="Notiz 75 3" xfId="9641" xr:uid="{00000000-0005-0000-0000-0000B4510000}"/>
    <cellStyle name="Notiz 75 3 2" xfId="19056" xr:uid="{00000000-0005-0000-0000-0000B5510000}"/>
    <cellStyle name="Notiz 75 3_est. MEAT" xfId="25226" xr:uid="{00000000-0005-0000-0000-0000B6510000}"/>
    <cellStyle name="Notiz 75 4" xfId="19053" xr:uid="{00000000-0005-0000-0000-0000B7510000}"/>
    <cellStyle name="Notiz 75_2012-2019" xfId="13107" xr:uid="{00000000-0005-0000-0000-0000B8510000}"/>
    <cellStyle name="Notiz 76" xfId="9642" xr:uid="{00000000-0005-0000-0000-0000B9510000}"/>
    <cellStyle name="Notiz 76 2" xfId="9643" xr:uid="{00000000-0005-0000-0000-0000BA510000}"/>
    <cellStyle name="Notiz 76 2 2" xfId="9644" xr:uid="{00000000-0005-0000-0000-0000BB510000}"/>
    <cellStyle name="Notiz 76 2 2 2" xfId="19059" xr:uid="{00000000-0005-0000-0000-0000BC510000}"/>
    <cellStyle name="Notiz 76 2 2_est. MEAT" xfId="25227" xr:uid="{00000000-0005-0000-0000-0000BD510000}"/>
    <cellStyle name="Notiz 76 2 3" xfId="19058" xr:uid="{00000000-0005-0000-0000-0000BE510000}"/>
    <cellStyle name="Notiz 76 2_2012-2019" xfId="13110" xr:uid="{00000000-0005-0000-0000-0000BF510000}"/>
    <cellStyle name="Notiz 76 3" xfId="9645" xr:uid="{00000000-0005-0000-0000-0000C0510000}"/>
    <cellStyle name="Notiz 76 3 2" xfId="19060" xr:uid="{00000000-0005-0000-0000-0000C1510000}"/>
    <cellStyle name="Notiz 76 3_est. MEAT" xfId="25228" xr:uid="{00000000-0005-0000-0000-0000C2510000}"/>
    <cellStyle name="Notiz 76 4" xfId="19057" xr:uid="{00000000-0005-0000-0000-0000C3510000}"/>
    <cellStyle name="Notiz 76_2012-2019" xfId="13109" xr:uid="{00000000-0005-0000-0000-0000C4510000}"/>
    <cellStyle name="Notiz 77" xfId="9646" xr:uid="{00000000-0005-0000-0000-0000C5510000}"/>
    <cellStyle name="Notiz 77 2" xfId="9647" xr:uid="{00000000-0005-0000-0000-0000C6510000}"/>
    <cellStyle name="Notiz 77 2 2" xfId="9648" xr:uid="{00000000-0005-0000-0000-0000C7510000}"/>
    <cellStyle name="Notiz 77 2 2 2" xfId="19063" xr:uid="{00000000-0005-0000-0000-0000C8510000}"/>
    <cellStyle name="Notiz 77 2 2_est. MEAT" xfId="25229" xr:uid="{00000000-0005-0000-0000-0000C9510000}"/>
    <cellStyle name="Notiz 77 2 3" xfId="19062" xr:uid="{00000000-0005-0000-0000-0000CA510000}"/>
    <cellStyle name="Notiz 77 2_2012-2019" xfId="13112" xr:uid="{00000000-0005-0000-0000-0000CB510000}"/>
    <cellStyle name="Notiz 77 3" xfId="9649" xr:uid="{00000000-0005-0000-0000-0000CC510000}"/>
    <cellStyle name="Notiz 77 3 2" xfId="19064" xr:uid="{00000000-0005-0000-0000-0000CD510000}"/>
    <cellStyle name="Notiz 77 3_est. MEAT" xfId="25230" xr:uid="{00000000-0005-0000-0000-0000CE510000}"/>
    <cellStyle name="Notiz 77 4" xfId="19061" xr:uid="{00000000-0005-0000-0000-0000CF510000}"/>
    <cellStyle name="Notiz 77_2012-2019" xfId="13111" xr:uid="{00000000-0005-0000-0000-0000D0510000}"/>
    <cellStyle name="Notiz 78" xfId="9650" xr:uid="{00000000-0005-0000-0000-0000D1510000}"/>
    <cellStyle name="Notiz 78 2" xfId="9651" xr:uid="{00000000-0005-0000-0000-0000D2510000}"/>
    <cellStyle name="Notiz 78 2 2" xfId="9652" xr:uid="{00000000-0005-0000-0000-0000D3510000}"/>
    <cellStyle name="Notiz 78 2 2 2" xfId="19067" xr:uid="{00000000-0005-0000-0000-0000D4510000}"/>
    <cellStyle name="Notiz 78 2 2_est. MEAT" xfId="25231" xr:uid="{00000000-0005-0000-0000-0000D5510000}"/>
    <cellStyle name="Notiz 78 2 3" xfId="19066" xr:uid="{00000000-0005-0000-0000-0000D6510000}"/>
    <cellStyle name="Notiz 78 2_2012-2019" xfId="13114" xr:uid="{00000000-0005-0000-0000-0000D7510000}"/>
    <cellStyle name="Notiz 78 3" xfId="9653" xr:uid="{00000000-0005-0000-0000-0000D8510000}"/>
    <cellStyle name="Notiz 78 3 2" xfId="19068" xr:uid="{00000000-0005-0000-0000-0000D9510000}"/>
    <cellStyle name="Notiz 78 3_est. MEAT" xfId="25232" xr:uid="{00000000-0005-0000-0000-0000DA510000}"/>
    <cellStyle name="Notiz 78 4" xfId="19065" xr:uid="{00000000-0005-0000-0000-0000DB510000}"/>
    <cellStyle name="Notiz 78_2012-2019" xfId="13113" xr:uid="{00000000-0005-0000-0000-0000DC510000}"/>
    <cellStyle name="Notiz 79" xfId="9654" xr:uid="{00000000-0005-0000-0000-0000DD510000}"/>
    <cellStyle name="Notiz 79 2" xfId="9655" xr:uid="{00000000-0005-0000-0000-0000DE510000}"/>
    <cellStyle name="Notiz 79 2 2" xfId="9656" xr:uid="{00000000-0005-0000-0000-0000DF510000}"/>
    <cellStyle name="Notiz 79 2 2 2" xfId="19071" xr:uid="{00000000-0005-0000-0000-0000E0510000}"/>
    <cellStyle name="Notiz 79 2 2_est. MEAT" xfId="25233" xr:uid="{00000000-0005-0000-0000-0000E1510000}"/>
    <cellStyle name="Notiz 79 2 3" xfId="19070" xr:uid="{00000000-0005-0000-0000-0000E2510000}"/>
    <cellStyle name="Notiz 79 2_2012-2019" xfId="13116" xr:uid="{00000000-0005-0000-0000-0000E3510000}"/>
    <cellStyle name="Notiz 79 3" xfId="9657" xr:uid="{00000000-0005-0000-0000-0000E4510000}"/>
    <cellStyle name="Notiz 79 3 2" xfId="19072" xr:uid="{00000000-0005-0000-0000-0000E5510000}"/>
    <cellStyle name="Notiz 79 3_est. MEAT" xfId="25234" xr:uid="{00000000-0005-0000-0000-0000E6510000}"/>
    <cellStyle name="Notiz 79 4" xfId="19069" xr:uid="{00000000-0005-0000-0000-0000E7510000}"/>
    <cellStyle name="Notiz 79_2012-2019" xfId="13115" xr:uid="{00000000-0005-0000-0000-0000E8510000}"/>
    <cellStyle name="Notiz 8" xfId="9658" xr:uid="{00000000-0005-0000-0000-0000E9510000}"/>
    <cellStyle name="Notiz 8 2" xfId="9659" xr:uid="{00000000-0005-0000-0000-0000EA510000}"/>
    <cellStyle name="Notiz 8 2 2" xfId="19074" xr:uid="{00000000-0005-0000-0000-0000EB510000}"/>
    <cellStyle name="Notiz 8 2_est. MEAT" xfId="25235" xr:uid="{00000000-0005-0000-0000-0000EC510000}"/>
    <cellStyle name="Notiz 8 3" xfId="19073" xr:uid="{00000000-0005-0000-0000-0000ED510000}"/>
    <cellStyle name="Notiz 8_2012-2019" xfId="13117" xr:uid="{00000000-0005-0000-0000-0000EE510000}"/>
    <cellStyle name="Notiz 80" xfId="9660" xr:uid="{00000000-0005-0000-0000-0000EF510000}"/>
    <cellStyle name="Notiz 80 2" xfId="9661" xr:uid="{00000000-0005-0000-0000-0000F0510000}"/>
    <cellStyle name="Notiz 80 2 2" xfId="9662" xr:uid="{00000000-0005-0000-0000-0000F1510000}"/>
    <cellStyle name="Notiz 80 2 2 2" xfId="19077" xr:uid="{00000000-0005-0000-0000-0000F2510000}"/>
    <cellStyle name="Notiz 80 2 2_est. MEAT" xfId="25236" xr:uid="{00000000-0005-0000-0000-0000F3510000}"/>
    <cellStyle name="Notiz 80 2 3" xfId="19076" xr:uid="{00000000-0005-0000-0000-0000F4510000}"/>
    <cellStyle name="Notiz 80 2_2012-2019" xfId="13119" xr:uid="{00000000-0005-0000-0000-0000F5510000}"/>
    <cellStyle name="Notiz 80 3" xfId="9663" xr:uid="{00000000-0005-0000-0000-0000F6510000}"/>
    <cellStyle name="Notiz 80 3 2" xfId="19078" xr:uid="{00000000-0005-0000-0000-0000F7510000}"/>
    <cellStyle name="Notiz 80 3_est. MEAT" xfId="25237" xr:uid="{00000000-0005-0000-0000-0000F8510000}"/>
    <cellStyle name="Notiz 80 4" xfId="19075" xr:uid="{00000000-0005-0000-0000-0000F9510000}"/>
    <cellStyle name="Notiz 80_2012-2019" xfId="13118" xr:uid="{00000000-0005-0000-0000-0000FA510000}"/>
    <cellStyle name="Notiz 81" xfId="9664" xr:uid="{00000000-0005-0000-0000-0000FB510000}"/>
    <cellStyle name="Notiz 81 2" xfId="9665" xr:uid="{00000000-0005-0000-0000-0000FC510000}"/>
    <cellStyle name="Notiz 81 2 2" xfId="9666" xr:uid="{00000000-0005-0000-0000-0000FD510000}"/>
    <cellStyle name="Notiz 81 2 2 2" xfId="19081" xr:uid="{00000000-0005-0000-0000-0000FE510000}"/>
    <cellStyle name="Notiz 81 2 2_est. MEAT" xfId="25238" xr:uid="{00000000-0005-0000-0000-0000FF510000}"/>
    <cellStyle name="Notiz 81 2 3" xfId="19080" xr:uid="{00000000-0005-0000-0000-000000520000}"/>
    <cellStyle name="Notiz 81 2_2012-2019" xfId="13121" xr:uid="{00000000-0005-0000-0000-000001520000}"/>
    <cellStyle name="Notiz 81 3" xfId="9667" xr:uid="{00000000-0005-0000-0000-000002520000}"/>
    <cellStyle name="Notiz 81 3 2" xfId="19082" xr:uid="{00000000-0005-0000-0000-000003520000}"/>
    <cellStyle name="Notiz 81 3_est. MEAT" xfId="25239" xr:uid="{00000000-0005-0000-0000-000004520000}"/>
    <cellStyle name="Notiz 81 4" xfId="19079" xr:uid="{00000000-0005-0000-0000-000005520000}"/>
    <cellStyle name="Notiz 81_2012-2019" xfId="13120" xr:uid="{00000000-0005-0000-0000-000006520000}"/>
    <cellStyle name="Notiz 82" xfId="9668" xr:uid="{00000000-0005-0000-0000-000007520000}"/>
    <cellStyle name="Notiz 82 2" xfId="9669" xr:uid="{00000000-0005-0000-0000-000008520000}"/>
    <cellStyle name="Notiz 82 2 2" xfId="9670" xr:uid="{00000000-0005-0000-0000-000009520000}"/>
    <cellStyle name="Notiz 82 2 2 2" xfId="19085" xr:uid="{00000000-0005-0000-0000-00000A520000}"/>
    <cellStyle name="Notiz 82 2 2_est. MEAT" xfId="25240" xr:uid="{00000000-0005-0000-0000-00000B520000}"/>
    <cellStyle name="Notiz 82 2 3" xfId="19084" xr:uid="{00000000-0005-0000-0000-00000C520000}"/>
    <cellStyle name="Notiz 82 2_2012-2019" xfId="13123" xr:uid="{00000000-0005-0000-0000-00000D520000}"/>
    <cellStyle name="Notiz 82 3" xfId="9671" xr:uid="{00000000-0005-0000-0000-00000E520000}"/>
    <cellStyle name="Notiz 82 3 2" xfId="19086" xr:uid="{00000000-0005-0000-0000-00000F520000}"/>
    <cellStyle name="Notiz 82 3_est. MEAT" xfId="25241" xr:uid="{00000000-0005-0000-0000-000010520000}"/>
    <cellStyle name="Notiz 82 4" xfId="19083" xr:uid="{00000000-0005-0000-0000-000011520000}"/>
    <cellStyle name="Notiz 82_2012-2019" xfId="13122" xr:uid="{00000000-0005-0000-0000-000012520000}"/>
    <cellStyle name="Notiz 83" xfId="9672" xr:uid="{00000000-0005-0000-0000-000013520000}"/>
    <cellStyle name="Notiz 83 2" xfId="9673" xr:uid="{00000000-0005-0000-0000-000014520000}"/>
    <cellStyle name="Notiz 83 2 2" xfId="9674" xr:uid="{00000000-0005-0000-0000-000015520000}"/>
    <cellStyle name="Notiz 83 2 2 2" xfId="19089" xr:uid="{00000000-0005-0000-0000-000016520000}"/>
    <cellStyle name="Notiz 83 2 2_est. MEAT" xfId="25242" xr:uid="{00000000-0005-0000-0000-000017520000}"/>
    <cellStyle name="Notiz 83 2 3" xfId="19088" xr:uid="{00000000-0005-0000-0000-000018520000}"/>
    <cellStyle name="Notiz 83 2_2012-2019" xfId="13125" xr:uid="{00000000-0005-0000-0000-000019520000}"/>
    <cellStyle name="Notiz 83 3" xfId="9675" xr:uid="{00000000-0005-0000-0000-00001A520000}"/>
    <cellStyle name="Notiz 83 3 2" xfId="19090" xr:uid="{00000000-0005-0000-0000-00001B520000}"/>
    <cellStyle name="Notiz 83 3_est. MEAT" xfId="25243" xr:uid="{00000000-0005-0000-0000-00001C520000}"/>
    <cellStyle name="Notiz 83 4" xfId="19087" xr:uid="{00000000-0005-0000-0000-00001D520000}"/>
    <cellStyle name="Notiz 83_2012-2019" xfId="13124" xr:uid="{00000000-0005-0000-0000-00001E520000}"/>
    <cellStyle name="Notiz 84" xfId="9676" xr:uid="{00000000-0005-0000-0000-00001F520000}"/>
    <cellStyle name="Notiz 84 2" xfId="9677" xr:uid="{00000000-0005-0000-0000-000020520000}"/>
    <cellStyle name="Notiz 84 2 2" xfId="9678" xr:uid="{00000000-0005-0000-0000-000021520000}"/>
    <cellStyle name="Notiz 84 2 2 2" xfId="19093" xr:uid="{00000000-0005-0000-0000-000022520000}"/>
    <cellStyle name="Notiz 84 2 2_est. MEAT" xfId="25244" xr:uid="{00000000-0005-0000-0000-000023520000}"/>
    <cellStyle name="Notiz 84 2 3" xfId="19092" xr:uid="{00000000-0005-0000-0000-000024520000}"/>
    <cellStyle name="Notiz 84 2_2012-2019" xfId="13127" xr:uid="{00000000-0005-0000-0000-000025520000}"/>
    <cellStyle name="Notiz 84 3" xfId="9679" xr:uid="{00000000-0005-0000-0000-000026520000}"/>
    <cellStyle name="Notiz 84 3 2" xfId="19094" xr:uid="{00000000-0005-0000-0000-000027520000}"/>
    <cellStyle name="Notiz 84 3_est. MEAT" xfId="25245" xr:uid="{00000000-0005-0000-0000-000028520000}"/>
    <cellStyle name="Notiz 84 4" xfId="19091" xr:uid="{00000000-0005-0000-0000-000029520000}"/>
    <cellStyle name="Notiz 84_2012-2019" xfId="13126" xr:uid="{00000000-0005-0000-0000-00002A520000}"/>
    <cellStyle name="Notiz 85" xfId="9680" xr:uid="{00000000-0005-0000-0000-00002B520000}"/>
    <cellStyle name="Notiz 85 2" xfId="9681" xr:uid="{00000000-0005-0000-0000-00002C520000}"/>
    <cellStyle name="Notiz 85 2 2" xfId="9682" xr:uid="{00000000-0005-0000-0000-00002D520000}"/>
    <cellStyle name="Notiz 85 2 2 2" xfId="19097" xr:uid="{00000000-0005-0000-0000-00002E520000}"/>
    <cellStyle name="Notiz 85 2 2_est. MEAT" xfId="25246" xr:uid="{00000000-0005-0000-0000-00002F520000}"/>
    <cellStyle name="Notiz 85 2 3" xfId="19096" xr:uid="{00000000-0005-0000-0000-000030520000}"/>
    <cellStyle name="Notiz 85 2_2012-2019" xfId="13129" xr:uid="{00000000-0005-0000-0000-000031520000}"/>
    <cellStyle name="Notiz 85 3" xfId="9683" xr:uid="{00000000-0005-0000-0000-000032520000}"/>
    <cellStyle name="Notiz 85 3 2" xfId="19098" xr:uid="{00000000-0005-0000-0000-000033520000}"/>
    <cellStyle name="Notiz 85 3_est. MEAT" xfId="25247" xr:uid="{00000000-0005-0000-0000-000034520000}"/>
    <cellStyle name="Notiz 85 4" xfId="19095" xr:uid="{00000000-0005-0000-0000-000035520000}"/>
    <cellStyle name="Notiz 85_2012-2019" xfId="13128" xr:uid="{00000000-0005-0000-0000-000036520000}"/>
    <cellStyle name="Notiz 86" xfId="9684" xr:uid="{00000000-0005-0000-0000-000037520000}"/>
    <cellStyle name="Notiz 86 2" xfId="9685" xr:uid="{00000000-0005-0000-0000-000038520000}"/>
    <cellStyle name="Notiz 86 2 2" xfId="9686" xr:uid="{00000000-0005-0000-0000-000039520000}"/>
    <cellStyle name="Notiz 86 2 2 2" xfId="19101" xr:uid="{00000000-0005-0000-0000-00003A520000}"/>
    <cellStyle name="Notiz 86 2 2_est. MEAT" xfId="25248" xr:uid="{00000000-0005-0000-0000-00003B520000}"/>
    <cellStyle name="Notiz 86 2 3" xfId="19100" xr:uid="{00000000-0005-0000-0000-00003C520000}"/>
    <cellStyle name="Notiz 86 2_2012-2019" xfId="13131" xr:uid="{00000000-0005-0000-0000-00003D520000}"/>
    <cellStyle name="Notiz 86 3" xfId="9687" xr:uid="{00000000-0005-0000-0000-00003E520000}"/>
    <cellStyle name="Notiz 86 3 2" xfId="19102" xr:uid="{00000000-0005-0000-0000-00003F520000}"/>
    <cellStyle name="Notiz 86 3_est. MEAT" xfId="25249" xr:uid="{00000000-0005-0000-0000-000040520000}"/>
    <cellStyle name="Notiz 86 4" xfId="19099" xr:uid="{00000000-0005-0000-0000-000041520000}"/>
    <cellStyle name="Notiz 86_2012-2019" xfId="13130" xr:uid="{00000000-0005-0000-0000-000042520000}"/>
    <cellStyle name="Notiz 87" xfId="9688" xr:uid="{00000000-0005-0000-0000-000043520000}"/>
    <cellStyle name="Notiz 87 2" xfId="9689" xr:uid="{00000000-0005-0000-0000-000044520000}"/>
    <cellStyle name="Notiz 87 2 2" xfId="9690" xr:uid="{00000000-0005-0000-0000-000045520000}"/>
    <cellStyle name="Notiz 87 2 2 2" xfId="19105" xr:uid="{00000000-0005-0000-0000-000046520000}"/>
    <cellStyle name="Notiz 87 2 2_est. MEAT" xfId="25250" xr:uid="{00000000-0005-0000-0000-000047520000}"/>
    <cellStyle name="Notiz 87 2 3" xfId="19104" xr:uid="{00000000-0005-0000-0000-000048520000}"/>
    <cellStyle name="Notiz 87 2_2012-2019" xfId="13133" xr:uid="{00000000-0005-0000-0000-000049520000}"/>
    <cellStyle name="Notiz 87 3" xfId="9691" xr:uid="{00000000-0005-0000-0000-00004A520000}"/>
    <cellStyle name="Notiz 87 3 2" xfId="19106" xr:uid="{00000000-0005-0000-0000-00004B520000}"/>
    <cellStyle name="Notiz 87 3_est. MEAT" xfId="25251" xr:uid="{00000000-0005-0000-0000-00004C520000}"/>
    <cellStyle name="Notiz 87 4" xfId="19103" xr:uid="{00000000-0005-0000-0000-00004D520000}"/>
    <cellStyle name="Notiz 87_2012-2019" xfId="13132" xr:uid="{00000000-0005-0000-0000-00004E520000}"/>
    <cellStyle name="Notiz 88" xfId="9692" xr:uid="{00000000-0005-0000-0000-00004F520000}"/>
    <cellStyle name="Notiz 88 2" xfId="9693" xr:uid="{00000000-0005-0000-0000-000050520000}"/>
    <cellStyle name="Notiz 88 2 2" xfId="9694" xr:uid="{00000000-0005-0000-0000-000051520000}"/>
    <cellStyle name="Notiz 88 2 2 2" xfId="19109" xr:uid="{00000000-0005-0000-0000-000052520000}"/>
    <cellStyle name="Notiz 88 2 2_est. MEAT" xfId="25252" xr:uid="{00000000-0005-0000-0000-000053520000}"/>
    <cellStyle name="Notiz 88 2 3" xfId="19108" xr:uid="{00000000-0005-0000-0000-000054520000}"/>
    <cellStyle name="Notiz 88 2_2012-2019" xfId="13135" xr:uid="{00000000-0005-0000-0000-000055520000}"/>
    <cellStyle name="Notiz 88 3" xfId="9695" xr:uid="{00000000-0005-0000-0000-000056520000}"/>
    <cellStyle name="Notiz 88 3 2" xfId="19110" xr:uid="{00000000-0005-0000-0000-000057520000}"/>
    <cellStyle name="Notiz 88 3_est. MEAT" xfId="25253" xr:uid="{00000000-0005-0000-0000-000058520000}"/>
    <cellStyle name="Notiz 88 4" xfId="19107" xr:uid="{00000000-0005-0000-0000-000059520000}"/>
    <cellStyle name="Notiz 88_2012-2019" xfId="13134" xr:uid="{00000000-0005-0000-0000-00005A520000}"/>
    <cellStyle name="Notiz 89" xfId="9696" xr:uid="{00000000-0005-0000-0000-00005B520000}"/>
    <cellStyle name="Notiz 89 2" xfId="9697" xr:uid="{00000000-0005-0000-0000-00005C520000}"/>
    <cellStyle name="Notiz 89 2 2" xfId="9698" xr:uid="{00000000-0005-0000-0000-00005D520000}"/>
    <cellStyle name="Notiz 89 2 2 2" xfId="19113" xr:uid="{00000000-0005-0000-0000-00005E520000}"/>
    <cellStyle name="Notiz 89 2 2_est. MEAT" xfId="25254" xr:uid="{00000000-0005-0000-0000-00005F520000}"/>
    <cellStyle name="Notiz 89 2 3" xfId="19112" xr:uid="{00000000-0005-0000-0000-000060520000}"/>
    <cellStyle name="Notiz 89 2_2012-2019" xfId="13137" xr:uid="{00000000-0005-0000-0000-000061520000}"/>
    <cellStyle name="Notiz 89 3" xfId="9699" xr:uid="{00000000-0005-0000-0000-000062520000}"/>
    <cellStyle name="Notiz 89 3 2" xfId="19114" xr:uid="{00000000-0005-0000-0000-000063520000}"/>
    <cellStyle name="Notiz 89 3_est. MEAT" xfId="25255" xr:uid="{00000000-0005-0000-0000-000064520000}"/>
    <cellStyle name="Notiz 89 4" xfId="19111" xr:uid="{00000000-0005-0000-0000-000065520000}"/>
    <cellStyle name="Notiz 89_2012-2019" xfId="13136" xr:uid="{00000000-0005-0000-0000-000066520000}"/>
    <cellStyle name="Notiz 9" xfId="9700" xr:uid="{00000000-0005-0000-0000-000067520000}"/>
    <cellStyle name="Notiz 9 2" xfId="9701" xr:uid="{00000000-0005-0000-0000-000068520000}"/>
    <cellStyle name="Notiz 9 2 2" xfId="19116" xr:uid="{00000000-0005-0000-0000-000069520000}"/>
    <cellStyle name="Notiz 9 2_est. MEAT" xfId="25256" xr:uid="{00000000-0005-0000-0000-00006A520000}"/>
    <cellStyle name="Notiz 9 3" xfId="19115" xr:uid="{00000000-0005-0000-0000-00006B520000}"/>
    <cellStyle name="Notiz 9_2012-2019" xfId="13138" xr:uid="{00000000-0005-0000-0000-00006C520000}"/>
    <cellStyle name="Notiz 90" xfId="9702" xr:uid="{00000000-0005-0000-0000-00006D520000}"/>
    <cellStyle name="Notiz 90 2" xfId="9703" xr:uid="{00000000-0005-0000-0000-00006E520000}"/>
    <cellStyle name="Notiz 90 2 2" xfId="9704" xr:uid="{00000000-0005-0000-0000-00006F520000}"/>
    <cellStyle name="Notiz 90 2 2 2" xfId="19119" xr:uid="{00000000-0005-0000-0000-000070520000}"/>
    <cellStyle name="Notiz 90 2 2_est. MEAT" xfId="25257" xr:uid="{00000000-0005-0000-0000-000071520000}"/>
    <cellStyle name="Notiz 90 2 3" xfId="19118" xr:uid="{00000000-0005-0000-0000-000072520000}"/>
    <cellStyle name="Notiz 90 2_2012-2019" xfId="13140" xr:uid="{00000000-0005-0000-0000-000073520000}"/>
    <cellStyle name="Notiz 90 3" xfId="9705" xr:uid="{00000000-0005-0000-0000-000074520000}"/>
    <cellStyle name="Notiz 90 3 2" xfId="19120" xr:uid="{00000000-0005-0000-0000-000075520000}"/>
    <cellStyle name="Notiz 90 3_est. MEAT" xfId="25258" xr:uid="{00000000-0005-0000-0000-000076520000}"/>
    <cellStyle name="Notiz 90 4" xfId="19117" xr:uid="{00000000-0005-0000-0000-000077520000}"/>
    <cellStyle name="Notiz 90_2012-2019" xfId="13139" xr:uid="{00000000-0005-0000-0000-000078520000}"/>
    <cellStyle name="Notiz 91" xfId="9706" xr:uid="{00000000-0005-0000-0000-000079520000}"/>
    <cellStyle name="Notiz 91 2" xfId="9707" xr:uid="{00000000-0005-0000-0000-00007A520000}"/>
    <cellStyle name="Notiz 91 2 2" xfId="19122" xr:uid="{00000000-0005-0000-0000-00007B520000}"/>
    <cellStyle name="Notiz 91 2_est. MEAT" xfId="25259" xr:uid="{00000000-0005-0000-0000-00007C520000}"/>
    <cellStyle name="Notiz 91 3" xfId="19121" xr:uid="{00000000-0005-0000-0000-00007D520000}"/>
    <cellStyle name="Notiz 91_2012-2019" xfId="13141" xr:uid="{00000000-0005-0000-0000-00007E520000}"/>
    <cellStyle name="Notiz 92" xfId="9708" xr:uid="{00000000-0005-0000-0000-00007F520000}"/>
    <cellStyle name="Notiz 92 2" xfId="9709" xr:uid="{00000000-0005-0000-0000-000080520000}"/>
    <cellStyle name="Notiz 92 2 2" xfId="19124" xr:uid="{00000000-0005-0000-0000-000081520000}"/>
    <cellStyle name="Notiz 92 2_est. MEAT" xfId="25260" xr:uid="{00000000-0005-0000-0000-000082520000}"/>
    <cellStyle name="Notiz 92 3" xfId="19123" xr:uid="{00000000-0005-0000-0000-000083520000}"/>
    <cellStyle name="Notiz 92_2012-2019" xfId="13142" xr:uid="{00000000-0005-0000-0000-000084520000}"/>
    <cellStyle name="Notiz 93" xfId="9710" xr:uid="{00000000-0005-0000-0000-000085520000}"/>
    <cellStyle name="Notiz 93 2" xfId="9711" xr:uid="{00000000-0005-0000-0000-000086520000}"/>
    <cellStyle name="Notiz 93 2 2" xfId="19126" xr:uid="{00000000-0005-0000-0000-000087520000}"/>
    <cellStyle name="Notiz 93 2_est. MEAT" xfId="25261" xr:uid="{00000000-0005-0000-0000-000088520000}"/>
    <cellStyle name="Notiz 93 3" xfId="19125" xr:uid="{00000000-0005-0000-0000-000089520000}"/>
    <cellStyle name="Notiz 93_2012-2019" xfId="13143" xr:uid="{00000000-0005-0000-0000-00008A520000}"/>
    <cellStyle name="Notiz 94" xfId="9712" xr:uid="{00000000-0005-0000-0000-00008B520000}"/>
    <cellStyle name="Notiz 94 2" xfId="9713" xr:uid="{00000000-0005-0000-0000-00008C520000}"/>
    <cellStyle name="Notiz 94 2 2" xfId="19128" xr:uid="{00000000-0005-0000-0000-00008D520000}"/>
    <cellStyle name="Notiz 94 2_est. MEAT" xfId="25262" xr:uid="{00000000-0005-0000-0000-00008E520000}"/>
    <cellStyle name="Notiz 94 3" xfId="19127" xr:uid="{00000000-0005-0000-0000-00008F520000}"/>
    <cellStyle name="Notiz 94_2012-2019" xfId="13144" xr:uid="{00000000-0005-0000-0000-000090520000}"/>
    <cellStyle name="Notiz 95" xfId="9714" xr:uid="{00000000-0005-0000-0000-000091520000}"/>
    <cellStyle name="Notiz 95 2" xfId="9715" xr:uid="{00000000-0005-0000-0000-000092520000}"/>
    <cellStyle name="Notiz 95 2 2" xfId="19130" xr:uid="{00000000-0005-0000-0000-000093520000}"/>
    <cellStyle name="Notiz 95 2_est. MEAT" xfId="25263" xr:uid="{00000000-0005-0000-0000-000094520000}"/>
    <cellStyle name="Notiz 95 3" xfId="19129" xr:uid="{00000000-0005-0000-0000-000095520000}"/>
    <cellStyle name="Notiz 95_2012-2019" xfId="13145" xr:uid="{00000000-0005-0000-0000-000096520000}"/>
    <cellStyle name="Notiz 96" xfId="9716" xr:uid="{00000000-0005-0000-0000-000097520000}"/>
    <cellStyle name="Notiz 96 2" xfId="9717" xr:uid="{00000000-0005-0000-0000-000098520000}"/>
    <cellStyle name="Notiz 96 2 2" xfId="19132" xr:uid="{00000000-0005-0000-0000-000099520000}"/>
    <cellStyle name="Notiz 96 2_est. MEAT" xfId="25264" xr:uid="{00000000-0005-0000-0000-00009A520000}"/>
    <cellStyle name="Notiz 96 3" xfId="19131" xr:uid="{00000000-0005-0000-0000-00009B520000}"/>
    <cellStyle name="Notiz 96_2012-2019" xfId="13146" xr:uid="{00000000-0005-0000-0000-00009C520000}"/>
    <cellStyle name="Notiz 97" xfId="9718" xr:uid="{00000000-0005-0000-0000-00009D520000}"/>
    <cellStyle name="Notiz 97 2" xfId="9719" xr:uid="{00000000-0005-0000-0000-00009E520000}"/>
    <cellStyle name="Notiz 97 2 2" xfId="19134" xr:uid="{00000000-0005-0000-0000-00009F520000}"/>
    <cellStyle name="Notiz 97 2_est. MEAT" xfId="25265" xr:uid="{00000000-0005-0000-0000-0000A0520000}"/>
    <cellStyle name="Notiz 97 3" xfId="19133" xr:uid="{00000000-0005-0000-0000-0000A1520000}"/>
    <cellStyle name="Notiz 97_2012-2019" xfId="13147" xr:uid="{00000000-0005-0000-0000-0000A2520000}"/>
    <cellStyle name="Notiz 98" xfId="9720" xr:uid="{00000000-0005-0000-0000-0000A3520000}"/>
    <cellStyle name="Notiz 98 2" xfId="9721" xr:uid="{00000000-0005-0000-0000-0000A4520000}"/>
    <cellStyle name="Notiz 98 2 2" xfId="19136" xr:uid="{00000000-0005-0000-0000-0000A5520000}"/>
    <cellStyle name="Notiz 98 2_est. MEAT" xfId="25266" xr:uid="{00000000-0005-0000-0000-0000A6520000}"/>
    <cellStyle name="Notiz 98 3" xfId="19135" xr:uid="{00000000-0005-0000-0000-0000A7520000}"/>
    <cellStyle name="Notiz 98_2012-2019" xfId="13148" xr:uid="{00000000-0005-0000-0000-0000A8520000}"/>
    <cellStyle name="Notiz 99" xfId="9722" xr:uid="{00000000-0005-0000-0000-0000A9520000}"/>
    <cellStyle name="Notiz 99 2" xfId="9723" xr:uid="{00000000-0005-0000-0000-0000AA520000}"/>
    <cellStyle name="Notiz 99 2 2" xfId="19138" xr:uid="{00000000-0005-0000-0000-0000AB520000}"/>
    <cellStyle name="Notiz 99 2_est. MEAT" xfId="25267" xr:uid="{00000000-0005-0000-0000-0000AC520000}"/>
    <cellStyle name="Notiz 99 3" xfId="19137" xr:uid="{00000000-0005-0000-0000-0000AD520000}"/>
    <cellStyle name="Notiz 99_2012-2019" xfId="13149" xr:uid="{00000000-0005-0000-0000-0000AE520000}"/>
    <cellStyle name="Notiz_2012-2019" xfId="12911" xr:uid="{00000000-0005-0000-0000-0000AF520000}"/>
    <cellStyle name="Output 2" xfId="9724" xr:uid="{00000000-0005-0000-0000-0000B0520000}"/>
    <cellStyle name="Output 2 2" xfId="19139" xr:uid="{00000000-0005-0000-0000-0000B1520000}"/>
    <cellStyle name="Output 2_est. MEAT" xfId="25268" xr:uid="{00000000-0005-0000-0000-0000B2520000}"/>
    <cellStyle name="Percent 2" xfId="9725" xr:uid="{00000000-0005-0000-0000-0000B3520000}"/>
    <cellStyle name="Percent 2 2" xfId="19140" xr:uid="{00000000-0005-0000-0000-0000B4520000}"/>
    <cellStyle name="Percent 2 3" xfId="26879" xr:uid="{00000000-0005-0000-0000-0000B5520000}"/>
    <cellStyle name="Percent 2_est. MEAT" xfId="25269" xr:uid="{00000000-0005-0000-0000-0000B6520000}"/>
    <cellStyle name="Percent 3" xfId="9726" xr:uid="{00000000-0005-0000-0000-0000B7520000}"/>
    <cellStyle name="Percent 3 2" xfId="19141" xr:uid="{00000000-0005-0000-0000-0000B8520000}"/>
    <cellStyle name="Percent 3 3" xfId="26880" xr:uid="{00000000-0005-0000-0000-0000B9520000}"/>
    <cellStyle name="Percent 3_est. MEAT" xfId="25270" xr:uid="{00000000-0005-0000-0000-0000BA520000}"/>
    <cellStyle name="Percent 4" xfId="26876" xr:uid="{00000000-0005-0000-0000-0000BB520000}"/>
    <cellStyle name="Pourcentage" xfId="2" builtinId="5"/>
    <cellStyle name="Promille(0)" xfId="9727" xr:uid="{00000000-0005-0000-0000-0000BC520000}"/>
    <cellStyle name="Promille(0) 2" xfId="19142" xr:uid="{00000000-0005-0000-0000-0000BD520000}"/>
    <cellStyle name="Promille(0)_est. MEAT" xfId="25271" xr:uid="{00000000-0005-0000-0000-0000BE520000}"/>
    <cellStyle name="Promille(0,00)" xfId="9728" xr:uid="{00000000-0005-0000-0000-0000BF520000}"/>
    <cellStyle name="Promille(0,00) 2" xfId="19143" xr:uid="{00000000-0005-0000-0000-0000C0520000}"/>
    <cellStyle name="Promille(0,00)_est. MEAT" xfId="25272" xr:uid="{00000000-0005-0000-0000-0000C1520000}"/>
    <cellStyle name="Prozent 2" xfId="9729" xr:uid="{00000000-0005-0000-0000-0000C3520000}"/>
    <cellStyle name="Prozent 2 2" xfId="9730" xr:uid="{00000000-0005-0000-0000-0000C4520000}"/>
    <cellStyle name="Prozent 2 2 2" xfId="19145" xr:uid="{00000000-0005-0000-0000-0000C5520000}"/>
    <cellStyle name="Prozent 2 2_est. MEAT" xfId="25273" xr:uid="{00000000-0005-0000-0000-0000C6520000}"/>
    <cellStyle name="Prozent 2 3" xfId="19144" xr:uid="{00000000-0005-0000-0000-0000C7520000}"/>
    <cellStyle name="Prozent 2_2012-2019" xfId="13150" xr:uid="{00000000-0005-0000-0000-0000C8520000}"/>
    <cellStyle name="Prozent 3" xfId="9731" xr:uid="{00000000-0005-0000-0000-0000C9520000}"/>
    <cellStyle name="Prozent 3 2" xfId="9732" xr:uid="{00000000-0005-0000-0000-0000CA520000}"/>
    <cellStyle name="Prozent 3 2 2" xfId="19147" xr:uid="{00000000-0005-0000-0000-0000CB520000}"/>
    <cellStyle name="Prozent 3 2_est. MEAT" xfId="25274" xr:uid="{00000000-0005-0000-0000-0000CC520000}"/>
    <cellStyle name="Prozent 3 3" xfId="9733" xr:uid="{00000000-0005-0000-0000-0000CD520000}"/>
    <cellStyle name="Prozent 3 3 2" xfId="19148" xr:uid="{00000000-0005-0000-0000-0000CE520000}"/>
    <cellStyle name="Prozent 3 3_est. MEAT" xfId="25275" xr:uid="{00000000-0005-0000-0000-0000CF520000}"/>
    <cellStyle name="Prozent 3 4" xfId="19146" xr:uid="{00000000-0005-0000-0000-0000D0520000}"/>
    <cellStyle name="Prozent 3_2012-2019" xfId="13151" xr:uid="{00000000-0005-0000-0000-0000D1520000}"/>
    <cellStyle name="Prozent 4" xfId="9734" xr:uid="{00000000-0005-0000-0000-0000D2520000}"/>
    <cellStyle name="Prozent 4 2" xfId="19149" xr:uid="{00000000-0005-0000-0000-0000D3520000}"/>
    <cellStyle name="Prozent 4_est. MEAT" xfId="25276" xr:uid="{00000000-0005-0000-0000-0000D4520000}"/>
    <cellStyle name="Prozent(0)" xfId="9735" xr:uid="{00000000-0005-0000-0000-0000D5520000}"/>
    <cellStyle name="Prozent(0) 2" xfId="19150" xr:uid="{00000000-0005-0000-0000-0000D6520000}"/>
    <cellStyle name="Prozent(0)_est. MEAT" xfId="25277" xr:uid="{00000000-0005-0000-0000-0000D7520000}"/>
    <cellStyle name="Prozent(0,00)" xfId="9736" xr:uid="{00000000-0005-0000-0000-0000D8520000}"/>
    <cellStyle name="Prozent(0,00) 2" xfId="19151" xr:uid="{00000000-0005-0000-0000-0000D9520000}"/>
    <cellStyle name="Prozent(0,00)_est. MEAT" xfId="25278" xr:uid="{00000000-0005-0000-0000-0000DA520000}"/>
    <cellStyle name="SAPBEXaggData" xfId="9737" xr:uid="{00000000-0005-0000-0000-0000DB520000}"/>
    <cellStyle name="SAPBEXaggData 2" xfId="19152" xr:uid="{00000000-0005-0000-0000-0000DC520000}"/>
    <cellStyle name="SAPBEXaggData_est. MEAT" xfId="25279" xr:uid="{00000000-0005-0000-0000-0000DD520000}"/>
    <cellStyle name="SAPBEXaggDataEmph" xfId="9738" xr:uid="{00000000-0005-0000-0000-0000DE520000}"/>
    <cellStyle name="SAPBEXaggDataEmph 2" xfId="19153" xr:uid="{00000000-0005-0000-0000-0000DF520000}"/>
    <cellStyle name="SAPBEXaggDataEmph_est. MEAT" xfId="25280" xr:uid="{00000000-0005-0000-0000-0000E0520000}"/>
    <cellStyle name="SAPBEXaggItem" xfId="9739" xr:uid="{00000000-0005-0000-0000-0000E1520000}"/>
    <cellStyle name="SAPBEXaggItem 2" xfId="19154" xr:uid="{00000000-0005-0000-0000-0000E2520000}"/>
    <cellStyle name="SAPBEXaggItem_est. MEAT" xfId="25281" xr:uid="{00000000-0005-0000-0000-0000E3520000}"/>
    <cellStyle name="SAPBEXaggItemX" xfId="9740" xr:uid="{00000000-0005-0000-0000-0000E4520000}"/>
    <cellStyle name="SAPBEXaggItemX 2" xfId="19155" xr:uid="{00000000-0005-0000-0000-0000E5520000}"/>
    <cellStyle name="SAPBEXaggItemX_est. MEAT" xfId="25282" xr:uid="{00000000-0005-0000-0000-0000E6520000}"/>
    <cellStyle name="SAPBEXchaText" xfId="9741" xr:uid="{00000000-0005-0000-0000-0000E7520000}"/>
    <cellStyle name="SAPBEXchaText 2" xfId="19156" xr:uid="{00000000-0005-0000-0000-0000E8520000}"/>
    <cellStyle name="SAPBEXchaText_est. MEAT" xfId="25283" xr:uid="{00000000-0005-0000-0000-0000E9520000}"/>
    <cellStyle name="SAPBEXexcBad7" xfId="9742" xr:uid="{00000000-0005-0000-0000-0000EA520000}"/>
    <cellStyle name="SAPBEXexcBad7 2" xfId="19157" xr:uid="{00000000-0005-0000-0000-0000EB520000}"/>
    <cellStyle name="SAPBEXexcBad7_est. MEAT" xfId="25284" xr:uid="{00000000-0005-0000-0000-0000EC520000}"/>
    <cellStyle name="SAPBEXexcBad8" xfId="9743" xr:uid="{00000000-0005-0000-0000-0000ED520000}"/>
    <cellStyle name="SAPBEXexcBad8 2" xfId="19158" xr:uid="{00000000-0005-0000-0000-0000EE520000}"/>
    <cellStyle name="SAPBEXexcBad8_est. MEAT" xfId="25285" xr:uid="{00000000-0005-0000-0000-0000EF520000}"/>
    <cellStyle name="SAPBEXexcBad9" xfId="9744" xr:uid="{00000000-0005-0000-0000-0000F0520000}"/>
    <cellStyle name="SAPBEXexcBad9 2" xfId="19159" xr:uid="{00000000-0005-0000-0000-0000F1520000}"/>
    <cellStyle name="SAPBEXexcBad9_est. MEAT" xfId="25286" xr:uid="{00000000-0005-0000-0000-0000F2520000}"/>
    <cellStyle name="SAPBEXexcCritical4" xfId="9745" xr:uid="{00000000-0005-0000-0000-0000F3520000}"/>
    <cellStyle name="SAPBEXexcCritical4 2" xfId="19160" xr:uid="{00000000-0005-0000-0000-0000F4520000}"/>
    <cellStyle name="SAPBEXexcCritical4_est. MEAT" xfId="25287" xr:uid="{00000000-0005-0000-0000-0000F5520000}"/>
    <cellStyle name="SAPBEXexcCritical5" xfId="9746" xr:uid="{00000000-0005-0000-0000-0000F6520000}"/>
    <cellStyle name="SAPBEXexcCritical5 2" xfId="19161" xr:uid="{00000000-0005-0000-0000-0000F7520000}"/>
    <cellStyle name="SAPBEXexcCritical5_est. MEAT" xfId="25288" xr:uid="{00000000-0005-0000-0000-0000F8520000}"/>
    <cellStyle name="SAPBEXexcCritical6" xfId="9747" xr:uid="{00000000-0005-0000-0000-0000F9520000}"/>
    <cellStyle name="SAPBEXexcCritical6 2" xfId="19162" xr:uid="{00000000-0005-0000-0000-0000FA520000}"/>
    <cellStyle name="SAPBEXexcCritical6_est. MEAT" xfId="25289" xr:uid="{00000000-0005-0000-0000-0000FB520000}"/>
    <cellStyle name="SAPBEXexcGood1" xfId="9748" xr:uid="{00000000-0005-0000-0000-0000FC520000}"/>
    <cellStyle name="SAPBEXexcGood1 2" xfId="19163" xr:uid="{00000000-0005-0000-0000-0000FD520000}"/>
    <cellStyle name="SAPBEXexcGood1_est. MEAT" xfId="25290" xr:uid="{00000000-0005-0000-0000-0000FE520000}"/>
    <cellStyle name="SAPBEXexcGood2" xfId="9749" xr:uid="{00000000-0005-0000-0000-0000FF520000}"/>
    <cellStyle name="SAPBEXexcGood2 2" xfId="19164" xr:uid="{00000000-0005-0000-0000-000000530000}"/>
    <cellStyle name="SAPBEXexcGood2_est. MEAT" xfId="25291" xr:uid="{00000000-0005-0000-0000-000001530000}"/>
    <cellStyle name="SAPBEXexcGood3" xfId="9750" xr:uid="{00000000-0005-0000-0000-000002530000}"/>
    <cellStyle name="SAPBEXexcGood3 2" xfId="19165" xr:uid="{00000000-0005-0000-0000-000003530000}"/>
    <cellStyle name="SAPBEXexcGood3_est. MEAT" xfId="25292" xr:uid="{00000000-0005-0000-0000-000004530000}"/>
    <cellStyle name="SAPBEXfilterDrill" xfId="9751" xr:uid="{00000000-0005-0000-0000-000005530000}"/>
    <cellStyle name="SAPBEXfilterDrill 2" xfId="19166" xr:uid="{00000000-0005-0000-0000-000006530000}"/>
    <cellStyle name="SAPBEXfilterDrill_est. MEAT" xfId="25293" xr:uid="{00000000-0005-0000-0000-000007530000}"/>
    <cellStyle name="SAPBEXfilterItem" xfId="9752" xr:uid="{00000000-0005-0000-0000-000008530000}"/>
    <cellStyle name="SAPBEXfilterItem 2" xfId="19167" xr:uid="{00000000-0005-0000-0000-000009530000}"/>
    <cellStyle name="SAPBEXfilterItem_est. MEAT" xfId="25294" xr:uid="{00000000-0005-0000-0000-00000A530000}"/>
    <cellStyle name="SAPBEXfilterText" xfId="9753" xr:uid="{00000000-0005-0000-0000-00000B530000}"/>
    <cellStyle name="SAPBEXfilterText 2" xfId="19168" xr:uid="{00000000-0005-0000-0000-00000C530000}"/>
    <cellStyle name="SAPBEXfilterText_est. MEAT" xfId="25295" xr:uid="{00000000-0005-0000-0000-00000D530000}"/>
    <cellStyle name="SAPBEXformats" xfId="9754" xr:uid="{00000000-0005-0000-0000-00000E530000}"/>
    <cellStyle name="SAPBEXformats 2" xfId="19169" xr:uid="{00000000-0005-0000-0000-00000F530000}"/>
    <cellStyle name="SAPBEXformats_est. MEAT" xfId="25296" xr:uid="{00000000-0005-0000-0000-000010530000}"/>
    <cellStyle name="SAPBEXheaderItem" xfId="9755" xr:uid="{00000000-0005-0000-0000-000011530000}"/>
    <cellStyle name="SAPBEXheaderItem 2" xfId="19170" xr:uid="{00000000-0005-0000-0000-000012530000}"/>
    <cellStyle name="SAPBEXheaderItem_est. MEAT" xfId="25297" xr:uid="{00000000-0005-0000-0000-000013530000}"/>
    <cellStyle name="SAPBEXheaderText" xfId="9756" xr:uid="{00000000-0005-0000-0000-000014530000}"/>
    <cellStyle name="SAPBEXheaderText 2" xfId="19171" xr:uid="{00000000-0005-0000-0000-000015530000}"/>
    <cellStyle name="SAPBEXheaderText_est. MEAT" xfId="25298" xr:uid="{00000000-0005-0000-0000-000016530000}"/>
    <cellStyle name="SAPBEXHLevel0" xfId="9757" xr:uid="{00000000-0005-0000-0000-000017530000}"/>
    <cellStyle name="SAPBEXHLevel0 2" xfId="19172" xr:uid="{00000000-0005-0000-0000-000018530000}"/>
    <cellStyle name="SAPBEXHLevel0_est. MEAT" xfId="25299" xr:uid="{00000000-0005-0000-0000-000019530000}"/>
    <cellStyle name="SAPBEXHLevel0X" xfId="9758" xr:uid="{00000000-0005-0000-0000-00001A530000}"/>
    <cellStyle name="SAPBEXHLevel0X 2" xfId="19173" xr:uid="{00000000-0005-0000-0000-00001B530000}"/>
    <cellStyle name="SAPBEXHLevel0X_est. MEAT" xfId="25300" xr:uid="{00000000-0005-0000-0000-00001C530000}"/>
    <cellStyle name="SAPBEXHLevel1" xfId="9759" xr:uid="{00000000-0005-0000-0000-00001D530000}"/>
    <cellStyle name="SAPBEXHLevel1 2" xfId="19174" xr:uid="{00000000-0005-0000-0000-00001E530000}"/>
    <cellStyle name="SAPBEXHLevel1_est. MEAT" xfId="25301" xr:uid="{00000000-0005-0000-0000-00001F530000}"/>
    <cellStyle name="SAPBEXHLevel1X" xfId="9760" xr:uid="{00000000-0005-0000-0000-000020530000}"/>
    <cellStyle name="SAPBEXHLevel1X 2" xfId="19175" xr:uid="{00000000-0005-0000-0000-000021530000}"/>
    <cellStyle name="SAPBEXHLevel1X_est. MEAT" xfId="25302" xr:uid="{00000000-0005-0000-0000-000022530000}"/>
    <cellStyle name="SAPBEXHLevel2" xfId="9761" xr:uid="{00000000-0005-0000-0000-000023530000}"/>
    <cellStyle name="SAPBEXHLevel2 2" xfId="19176" xr:uid="{00000000-0005-0000-0000-000024530000}"/>
    <cellStyle name="SAPBEXHLevel2_est. MEAT" xfId="25303" xr:uid="{00000000-0005-0000-0000-000025530000}"/>
    <cellStyle name="SAPBEXHLevel2X" xfId="9762" xr:uid="{00000000-0005-0000-0000-000026530000}"/>
    <cellStyle name="SAPBEXHLevel2X 2" xfId="19177" xr:uid="{00000000-0005-0000-0000-000027530000}"/>
    <cellStyle name="SAPBEXHLevel2X_est. MEAT" xfId="25304" xr:uid="{00000000-0005-0000-0000-000028530000}"/>
    <cellStyle name="SAPBEXHLevel3" xfId="9763" xr:uid="{00000000-0005-0000-0000-000029530000}"/>
    <cellStyle name="SAPBEXHLevel3 2" xfId="19178" xr:uid="{00000000-0005-0000-0000-00002A530000}"/>
    <cellStyle name="SAPBEXHLevel3_est. MEAT" xfId="25305" xr:uid="{00000000-0005-0000-0000-00002B530000}"/>
    <cellStyle name="SAPBEXHLevel3X" xfId="9764" xr:uid="{00000000-0005-0000-0000-00002C530000}"/>
    <cellStyle name="SAPBEXHLevel3X 2" xfId="19179" xr:uid="{00000000-0005-0000-0000-00002D530000}"/>
    <cellStyle name="SAPBEXHLevel3X_est. MEAT" xfId="25306" xr:uid="{00000000-0005-0000-0000-00002E530000}"/>
    <cellStyle name="SAPBEXresData" xfId="9765" xr:uid="{00000000-0005-0000-0000-00002F530000}"/>
    <cellStyle name="SAPBEXresData 2" xfId="19180" xr:uid="{00000000-0005-0000-0000-000030530000}"/>
    <cellStyle name="SAPBEXresData_est. MEAT" xfId="25307" xr:uid="{00000000-0005-0000-0000-000031530000}"/>
    <cellStyle name="SAPBEXresDataEmph" xfId="9766" xr:uid="{00000000-0005-0000-0000-000032530000}"/>
    <cellStyle name="SAPBEXresDataEmph 2" xfId="19181" xr:uid="{00000000-0005-0000-0000-000033530000}"/>
    <cellStyle name="SAPBEXresDataEmph_est. MEAT" xfId="25308" xr:uid="{00000000-0005-0000-0000-000034530000}"/>
    <cellStyle name="SAPBEXresItem" xfId="9767" xr:uid="{00000000-0005-0000-0000-000035530000}"/>
    <cellStyle name="SAPBEXresItem 2" xfId="19182" xr:uid="{00000000-0005-0000-0000-000036530000}"/>
    <cellStyle name="SAPBEXresItem_est. MEAT" xfId="25309" xr:uid="{00000000-0005-0000-0000-000037530000}"/>
    <cellStyle name="SAPBEXresItemX" xfId="9768" xr:uid="{00000000-0005-0000-0000-000038530000}"/>
    <cellStyle name="SAPBEXresItemX 2" xfId="19183" xr:uid="{00000000-0005-0000-0000-000039530000}"/>
    <cellStyle name="SAPBEXresItemX_est. MEAT" xfId="25310" xr:uid="{00000000-0005-0000-0000-00003A530000}"/>
    <cellStyle name="SAPBEXstdData" xfId="9769" xr:uid="{00000000-0005-0000-0000-00003B530000}"/>
    <cellStyle name="SAPBEXstdData 2" xfId="19184" xr:uid="{00000000-0005-0000-0000-00003C530000}"/>
    <cellStyle name="SAPBEXstdData_est. MEAT" xfId="25311" xr:uid="{00000000-0005-0000-0000-00003D530000}"/>
    <cellStyle name="SAPBEXstdDataEmph" xfId="9770" xr:uid="{00000000-0005-0000-0000-00003E530000}"/>
    <cellStyle name="SAPBEXstdDataEmph 2" xfId="19185" xr:uid="{00000000-0005-0000-0000-00003F530000}"/>
    <cellStyle name="SAPBEXstdDataEmph_est. MEAT" xfId="25312" xr:uid="{00000000-0005-0000-0000-000040530000}"/>
    <cellStyle name="SAPBEXstdItem" xfId="9771" xr:uid="{00000000-0005-0000-0000-000041530000}"/>
    <cellStyle name="SAPBEXstdItem 2" xfId="19186" xr:uid="{00000000-0005-0000-0000-000042530000}"/>
    <cellStyle name="SAPBEXstdItem_est. MEAT" xfId="25313" xr:uid="{00000000-0005-0000-0000-000043530000}"/>
    <cellStyle name="SAPBEXstdItemX" xfId="9772" xr:uid="{00000000-0005-0000-0000-000044530000}"/>
    <cellStyle name="SAPBEXstdItemX 2" xfId="19187" xr:uid="{00000000-0005-0000-0000-000045530000}"/>
    <cellStyle name="SAPBEXstdItemX_est. MEAT" xfId="25314" xr:uid="{00000000-0005-0000-0000-000046530000}"/>
    <cellStyle name="SAPBEXtitle" xfId="9773" xr:uid="{00000000-0005-0000-0000-000047530000}"/>
    <cellStyle name="SAPBEXtitle 2" xfId="19188" xr:uid="{00000000-0005-0000-0000-000048530000}"/>
    <cellStyle name="SAPBEXtitle_est. MEAT" xfId="25315" xr:uid="{00000000-0005-0000-0000-000049530000}"/>
    <cellStyle name="SAPBEXundefined" xfId="9774" xr:uid="{00000000-0005-0000-0000-00004A530000}"/>
    <cellStyle name="SAPBEXundefined 2" xfId="19189" xr:uid="{00000000-0005-0000-0000-00004B530000}"/>
    <cellStyle name="SAPBEXundefined_est. MEAT" xfId="25316" xr:uid="{00000000-0005-0000-0000-00004C530000}"/>
    <cellStyle name="Schlecht" xfId="9775" xr:uid="{00000000-0005-0000-0000-00004D530000}"/>
    <cellStyle name="Schlecht 10" xfId="9776" xr:uid="{00000000-0005-0000-0000-00004E530000}"/>
    <cellStyle name="Schlecht 10 2" xfId="9777" xr:uid="{00000000-0005-0000-0000-00004F530000}"/>
    <cellStyle name="Schlecht 10 2 2" xfId="19192" xr:uid="{00000000-0005-0000-0000-000050530000}"/>
    <cellStyle name="Schlecht 10 2_est. MEAT" xfId="25317" xr:uid="{00000000-0005-0000-0000-000051530000}"/>
    <cellStyle name="Schlecht 10 3" xfId="19191" xr:uid="{00000000-0005-0000-0000-000052530000}"/>
    <cellStyle name="Schlecht 10_2012-2019" xfId="13153" xr:uid="{00000000-0005-0000-0000-000053530000}"/>
    <cellStyle name="Schlecht 100" xfId="9778" xr:uid="{00000000-0005-0000-0000-000054530000}"/>
    <cellStyle name="Schlecht 100 2" xfId="19193" xr:uid="{00000000-0005-0000-0000-000055530000}"/>
    <cellStyle name="Schlecht 100_est. MEAT" xfId="25318" xr:uid="{00000000-0005-0000-0000-000056530000}"/>
    <cellStyle name="Schlecht 101" xfId="9779" xr:uid="{00000000-0005-0000-0000-000057530000}"/>
    <cellStyle name="Schlecht 101 2" xfId="19194" xr:uid="{00000000-0005-0000-0000-000058530000}"/>
    <cellStyle name="Schlecht 101_est. MEAT" xfId="25319" xr:uid="{00000000-0005-0000-0000-000059530000}"/>
    <cellStyle name="Schlecht 102" xfId="9780" xr:uid="{00000000-0005-0000-0000-00005A530000}"/>
    <cellStyle name="Schlecht 102 2" xfId="19195" xr:uid="{00000000-0005-0000-0000-00005B530000}"/>
    <cellStyle name="Schlecht 102_est. MEAT" xfId="25320" xr:uid="{00000000-0005-0000-0000-00005C530000}"/>
    <cellStyle name="Schlecht 103" xfId="9781" xr:uid="{00000000-0005-0000-0000-00005D530000}"/>
    <cellStyle name="Schlecht 103 2" xfId="19196" xr:uid="{00000000-0005-0000-0000-00005E530000}"/>
    <cellStyle name="Schlecht 103_est. MEAT" xfId="25321" xr:uid="{00000000-0005-0000-0000-00005F530000}"/>
    <cellStyle name="Schlecht 104" xfId="9782" xr:uid="{00000000-0005-0000-0000-000060530000}"/>
    <cellStyle name="Schlecht 104 2" xfId="19197" xr:uid="{00000000-0005-0000-0000-000061530000}"/>
    <cellStyle name="Schlecht 104_est. MEAT" xfId="25322" xr:uid="{00000000-0005-0000-0000-000062530000}"/>
    <cellStyle name="Schlecht 105" xfId="9783" xr:uid="{00000000-0005-0000-0000-000063530000}"/>
    <cellStyle name="Schlecht 105 2" xfId="19198" xr:uid="{00000000-0005-0000-0000-000064530000}"/>
    <cellStyle name="Schlecht 105_est. MEAT" xfId="25323" xr:uid="{00000000-0005-0000-0000-000065530000}"/>
    <cellStyle name="Schlecht 106" xfId="9784" xr:uid="{00000000-0005-0000-0000-000066530000}"/>
    <cellStyle name="Schlecht 106 2" xfId="19199" xr:uid="{00000000-0005-0000-0000-000067530000}"/>
    <cellStyle name="Schlecht 106_est. MEAT" xfId="25324" xr:uid="{00000000-0005-0000-0000-000068530000}"/>
    <cellStyle name="Schlecht 107" xfId="9785" xr:uid="{00000000-0005-0000-0000-000069530000}"/>
    <cellStyle name="Schlecht 107 2" xfId="19200" xr:uid="{00000000-0005-0000-0000-00006A530000}"/>
    <cellStyle name="Schlecht 107_est. MEAT" xfId="25325" xr:uid="{00000000-0005-0000-0000-00006B530000}"/>
    <cellStyle name="Schlecht 108" xfId="9786" xr:uid="{00000000-0005-0000-0000-00006C530000}"/>
    <cellStyle name="Schlecht 108 2" xfId="19201" xr:uid="{00000000-0005-0000-0000-00006D530000}"/>
    <cellStyle name="Schlecht 108_est. MEAT" xfId="25326" xr:uid="{00000000-0005-0000-0000-00006E530000}"/>
    <cellStyle name="Schlecht 109" xfId="9787" xr:uid="{00000000-0005-0000-0000-00006F530000}"/>
    <cellStyle name="Schlecht 109 2" xfId="19202" xr:uid="{00000000-0005-0000-0000-000070530000}"/>
    <cellStyle name="Schlecht 109_est. MEAT" xfId="25327" xr:uid="{00000000-0005-0000-0000-000071530000}"/>
    <cellStyle name="Schlecht 11" xfId="9788" xr:uid="{00000000-0005-0000-0000-000072530000}"/>
    <cellStyle name="Schlecht 11 2" xfId="9789" xr:uid="{00000000-0005-0000-0000-000073530000}"/>
    <cellStyle name="Schlecht 11 2 2" xfId="19204" xr:uid="{00000000-0005-0000-0000-000074530000}"/>
    <cellStyle name="Schlecht 11 2_est. MEAT" xfId="25328" xr:uid="{00000000-0005-0000-0000-000075530000}"/>
    <cellStyle name="Schlecht 11 3" xfId="19203" xr:uid="{00000000-0005-0000-0000-000076530000}"/>
    <cellStyle name="Schlecht 11_2012-2019" xfId="13154" xr:uid="{00000000-0005-0000-0000-000077530000}"/>
    <cellStyle name="Schlecht 110" xfId="9790" xr:uid="{00000000-0005-0000-0000-000078530000}"/>
    <cellStyle name="Schlecht 110 2" xfId="19205" xr:uid="{00000000-0005-0000-0000-000079530000}"/>
    <cellStyle name="Schlecht 110_est. MEAT" xfId="25329" xr:uid="{00000000-0005-0000-0000-00007A530000}"/>
    <cellStyle name="Schlecht 111" xfId="9791" xr:uid="{00000000-0005-0000-0000-00007B530000}"/>
    <cellStyle name="Schlecht 111 2" xfId="19206" xr:uid="{00000000-0005-0000-0000-00007C530000}"/>
    <cellStyle name="Schlecht 111_est. MEAT" xfId="25330" xr:uid="{00000000-0005-0000-0000-00007D530000}"/>
    <cellStyle name="Schlecht 112" xfId="9792" xr:uid="{00000000-0005-0000-0000-00007E530000}"/>
    <cellStyle name="Schlecht 112 2" xfId="19207" xr:uid="{00000000-0005-0000-0000-00007F530000}"/>
    <cellStyle name="Schlecht 112_est. MEAT" xfId="25331" xr:uid="{00000000-0005-0000-0000-000080530000}"/>
    <cellStyle name="Schlecht 113" xfId="9793" xr:uid="{00000000-0005-0000-0000-000081530000}"/>
    <cellStyle name="Schlecht 113 2" xfId="19208" xr:uid="{00000000-0005-0000-0000-000082530000}"/>
    <cellStyle name="Schlecht 113_est. MEAT" xfId="25332" xr:uid="{00000000-0005-0000-0000-000083530000}"/>
    <cellStyle name="Schlecht 114" xfId="9794" xr:uid="{00000000-0005-0000-0000-000084530000}"/>
    <cellStyle name="Schlecht 114 2" xfId="19209" xr:uid="{00000000-0005-0000-0000-000085530000}"/>
    <cellStyle name="Schlecht 114_est. MEAT" xfId="25333" xr:uid="{00000000-0005-0000-0000-000086530000}"/>
    <cellStyle name="Schlecht 115" xfId="9795" xr:uid="{00000000-0005-0000-0000-000087530000}"/>
    <cellStyle name="Schlecht 115 2" xfId="19210" xr:uid="{00000000-0005-0000-0000-000088530000}"/>
    <cellStyle name="Schlecht 115_est. MEAT" xfId="25334" xr:uid="{00000000-0005-0000-0000-000089530000}"/>
    <cellStyle name="Schlecht 116" xfId="9796" xr:uid="{00000000-0005-0000-0000-00008A530000}"/>
    <cellStyle name="Schlecht 116 2" xfId="19211" xr:uid="{00000000-0005-0000-0000-00008B530000}"/>
    <cellStyle name="Schlecht 116_est. MEAT" xfId="25335" xr:uid="{00000000-0005-0000-0000-00008C530000}"/>
    <cellStyle name="Schlecht 117" xfId="9797" xr:uid="{00000000-0005-0000-0000-00008D530000}"/>
    <cellStyle name="Schlecht 117 2" xfId="19212" xr:uid="{00000000-0005-0000-0000-00008E530000}"/>
    <cellStyle name="Schlecht 117_est. MEAT" xfId="25336" xr:uid="{00000000-0005-0000-0000-00008F530000}"/>
    <cellStyle name="Schlecht 118" xfId="9798" xr:uid="{00000000-0005-0000-0000-000090530000}"/>
    <cellStyle name="Schlecht 118 2" xfId="19213" xr:uid="{00000000-0005-0000-0000-000091530000}"/>
    <cellStyle name="Schlecht 118_est. MEAT" xfId="25337" xr:uid="{00000000-0005-0000-0000-000092530000}"/>
    <cellStyle name="Schlecht 119" xfId="9799" xr:uid="{00000000-0005-0000-0000-000093530000}"/>
    <cellStyle name="Schlecht 119 2" xfId="19214" xr:uid="{00000000-0005-0000-0000-000094530000}"/>
    <cellStyle name="Schlecht 119_est. MEAT" xfId="25338" xr:uid="{00000000-0005-0000-0000-000095530000}"/>
    <cellStyle name="Schlecht 12" xfId="9800" xr:uid="{00000000-0005-0000-0000-000096530000}"/>
    <cellStyle name="Schlecht 12 2" xfId="9801" xr:uid="{00000000-0005-0000-0000-000097530000}"/>
    <cellStyle name="Schlecht 12 2 2" xfId="19216" xr:uid="{00000000-0005-0000-0000-000098530000}"/>
    <cellStyle name="Schlecht 12 2_est. MEAT" xfId="25339" xr:uid="{00000000-0005-0000-0000-000099530000}"/>
    <cellStyle name="Schlecht 12 3" xfId="19215" xr:uid="{00000000-0005-0000-0000-00009A530000}"/>
    <cellStyle name="Schlecht 12_2012-2019" xfId="13155" xr:uid="{00000000-0005-0000-0000-00009B530000}"/>
    <cellStyle name="Schlecht 120" xfId="9802" xr:uid="{00000000-0005-0000-0000-00009C530000}"/>
    <cellStyle name="Schlecht 120 2" xfId="19217" xr:uid="{00000000-0005-0000-0000-00009D530000}"/>
    <cellStyle name="Schlecht 120_est. MEAT" xfId="25340" xr:uid="{00000000-0005-0000-0000-00009E530000}"/>
    <cellStyle name="Schlecht 121" xfId="9803" xr:uid="{00000000-0005-0000-0000-00009F530000}"/>
    <cellStyle name="Schlecht 121 2" xfId="19218" xr:uid="{00000000-0005-0000-0000-0000A0530000}"/>
    <cellStyle name="Schlecht 121_est. MEAT" xfId="25341" xr:uid="{00000000-0005-0000-0000-0000A1530000}"/>
    <cellStyle name="Schlecht 122" xfId="9804" xr:uid="{00000000-0005-0000-0000-0000A2530000}"/>
    <cellStyle name="Schlecht 122 2" xfId="19219" xr:uid="{00000000-0005-0000-0000-0000A3530000}"/>
    <cellStyle name="Schlecht 122_est. MEAT" xfId="25342" xr:uid="{00000000-0005-0000-0000-0000A4530000}"/>
    <cellStyle name="Schlecht 123" xfId="9805" xr:uid="{00000000-0005-0000-0000-0000A5530000}"/>
    <cellStyle name="Schlecht 123 2" xfId="19220" xr:uid="{00000000-0005-0000-0000-0000A6530000}"/>
    <cellStyle name="Schlecht 123_est. MEAT" xfId="25343" xr:uid="{00000000-0005-0000-0000-0000A7530000}"/>
    <cellStyle name="Schlecht 124" xfId="9806" xr:uid="{00000000-0005-0000-0000-0000A8530000}"/>
    <cellStyle name="Schlecht 124 2" xfId="19221" xr:uid="{00000000-0005-0000-0000-0000A9530000}"/>
    <cellStyle name="Schlecht 124_est. MEAT" xfId="25344" xr:uid="{00000000-0005-0000-0000-0000AA530000}"/>
    <cellStyle name="Schlecht 125" xfId="9807" xr:uid="{00000000-0005-0000-0000-0000AB530000}"/>
    <cellStyle name="Schlecht 125 2" xfId="19222" xr:uid="{00000000-0005-0000-0000-0000AC530000}"/>
    <cellStyle name="Schlecht 125_est. MEAT" xfId="25345" xr:uid="{00000000-0005-0000-0000-0000AD530000}"/>
    <cellStyle name="Schlecht 126" xfId="9808" xr:uid="{00000000-0005-0000-0000-0000AE530000}"/>
    <cellStyle name="Schlecht 126 2" xfId="19223" xr:uid="{00000000-0005-0000-0000-0000AF530000}"/>
    <cellStyle name="Schlecht 126_est. MEAT" xfId="25346" xr:uid="{00000000-0005-0000-0000-0000B0530000}"/>
    <cellStyle name="Schlecht 127" xfId="9809" xr:uid="{00000000-0005-0000-0000-0000B1530000}"/>
    <cellStyle name="Schlecht 127 2" xfId="19224" xr:uid="{00000000-0005-0000-0000-0000B2530000}"/>
    <cellStyle name="Schlecht 127_est. MEAT" xfId="25347" xr:uid="{00000000-0005-0000-0000-0000B3530000}"/>
    <cellStyle name="Schlecht 128" xfId="9810" xr:uid="{00000000-0005-0000-0000-0000B4530000}"/>
    <cellStyle name="Schlecht 128 2" xfId="19225" xr:uid="{00000000-0005-0000-0000-0000B5530000}"/>
    <cellStyle name="Schlecht 128_est. MEAT" xfId="25348" xr:uid="{00000000-0005-0000-0000-0000B6530000}"/>
    <cellStyle name="Schlecht 129" xfId="9811" xr:uid="{00000000-0005-0000-0000-0000B7530000}"/>
    <cellStyle name="Schlecht 129 2" xfId="19226" xr:uid="{00000000-0005-0000-0000-0000B8530000}"/>
    <cellStyle name="Schlecht 129_est. MEAT" xfId="25349" xr:uid="{00000000-0005-0000-0000-0000B9530000}"/>
    <cellStyle name="Schlecht 13" xfId="9812" xr:uid="{00000000-0005-0000-0000-0000BA530000}"/>
    <cellStyle name="Schlecht 13 2" xfId="9813" xr:uid="{00000000-0005-0000-0000-0000BB530000}"/>
    <cellStyle name="Schlecht 13 2 2" xfId="19228" xr:uid="{00000000-0005-0000-0000-0000BC530000}"/>
    <cellStyle name="Schlecht 13 2_est. MEAT" xfId="25350" xr:uid="{00000000-0005-0000-0000-0000BD530000}"/>
    <cellStyle name="Schlecht 13 3" xfId="19227" xr:uid="{00000000-0005-0000-0000-0000BE530000}"/>
    <cellStyle name="Schlecht 13_2012-2019" xfId="13156" xr:uid="{00000000-0005-0000-0000-0000BF530000}"/>
    <cellStyle name="Schlecht 130" xfId="9814" xr:uid="{00000000-0005-0000-0000-0000C0530000}"/>
    <cellStyle name="Schlecht 130 2" xfId="19229" xr:uid="{00000000-0005-0000-0000-0000C1530000}"/>
    <cellStyle name="Schlecht 130_est. MEAT" xfId="25351" xr:uid="{00000000-0005-0000-0000-0000C2530000}"/>
    <cellStyle name="Schlecht 131" xfId="9815" xr:uid="{00000000-0005-0000-0000-0000C3530000}"/>
    <cellStyle name="Schlecht 131 2" xfId="19230" xr:uid="{00000000-0005-0000-0000-0000C4530000}"/>
    <cellStyle name="Schlecht 131_est. MEAT" xfId="25352" xr:uid="{00000000-0005-0000-0000-0000C5530000}"/>
    <cellStyle name="Schlecht 132" xfId="9816" xr:uid="{00000000-0005-0000-0000-0000C6530000}"/>
    <cellStyle name="Schlecht 132 2" xfId="19231" xr:uid="{00000000-0005-0000-0000-0000C7530000}"/>
    <cellStyle name="Schlecht 132_est. MEAT" xfId="25353" xr:uid="{00000000-0005-0000-0000-0000C8530000}"/>
    <cellStyle name="Schlecht 133" xfId="9817" xr:uid="{00000000-0005-0000-0000-0000C9530000}"/>
    <cellStyle name="Schlecht 133 2" xfId="19232" xr:uid="{00000000-0005-0000-0000-0000CA530000}"/>
    <cellStyle name="Schlecht 133_est. MEAT" xfId="25354" xr:uid="{00000000-0005-0000-0000-0000CB530000}"/>
    <cellStyle name="Schlecht 134" xfId="9818" xr:uid="{00000000-0005-0000-0000-0000CC530000}"/>
    <cellStyle name="Schlecht 134 2" xfId="19233" xr:uid="{00000000-0005-0000-0000-0000CD530000}"/>
    <cellStyle name="Schlecht 134_est. MEAT" xfId="25355" xr:uid="{00000000-0005-0000-0000-0000CE530000}"/>
    <cellStyle name="Schlecht 135" xfId="9819" xr:uid="{00000000-0005-0000-0000-0000CF530000}"/>
    <cellStyle name="Schlecht 135 2" xfId="19234" xr:uid="{00000000-0005-0000-0000-0000D0530000}"/>
    <cellStyle name="Schlecht 135_est. MEAT" xfId="25356" xr:uid="{00000000-0005-0000-0000-0000D1530000}"/>
    <cellStyle name="Schlecht 136" xfId="9820" xr:uid="{00000000-0005-0000-0000-0000D2530000}"/>
    <cellStyle name="Schlecht 136 2" xfId="19235" xr:uid="{00000000-0005-0000-0000-0000D3530000}"/>
    <cellStyle name="Schlecht 136_est. MEAT" xfId="25357" xr:uid="{00000000-0005-0000-0000-0000D4530000}"/>
    <cellStyle name="Schlecht 137" xfId="9821" xr:uid="{00000000-0005-0000-0000-0000D5530000}"/>
    <cellStyle name="Schlecht 137 2" xfId="19236" xr:uid="{00000000-0005-0000-0000-0000D6530000}"/>
    <cellStyle name="Schlecht 137_est. MEAT" xfId="25358" xr:uid="{00000000-0005-0000-0000-0000D7530000}"/>
    <cellStyle name="Schlecht 138" xfId="9822" xr:uid="{00000000-0005-0000-0000-0000D8530000}"/>
    <cellStyle name="Schlecht 138 2" xfId="19237" xr:uid="{00000000-0005-0000-0000-0000D9530000}"/>
    <cellStyle name="Schlecht 138_est. MEAT" xfId="25359" xr:uid="{00000000-0005-0000-0000-0000DA530000}"/>
    <cellStyle name="Schlecht 139" xfId="9823" xr:uid="{00000000-0005-0000-0000-0000DB530000}"/>
    <cellStyle name="Schlecht 139 2" xfId="19238" xr:uid="{00000000-0005-0000-0000-0000DC530000}"/>
    <cellStyle name="Schlecht 139_est. MEAT" xfId="25360" xr:uid="{00000000-0005-0000-0000-0000DD530000}"/>
    <cellStyle name="Schlecht 14" xfId="9824" xr:uid="{00000000-0005-0000-0000-0000DE530000}"/>
    <cellStyle name="Schlecht 14 2" xfId="9825" xr:uid="{00000000-0005-0000-0000-0000DF530000}"/>
    <cellStyle name="Schlecht 14 2 2" xfId="19240" xr:uid="{00000000-0005-0000-0000-0000E0530000}"/>
    <cellStyle name="Schlecht 14 2_est. MEAT" xfId="25361" xr:uid="{00000000-0005-0000-0000-0000E1530000}"/>
    <cellStyle name="Schlecht 14 3" xfId="19239" xr:uid="{00000000-0005-0000-0000-0000E2530000}"/>
    <cellStyle name="Schlecht 14_2012-2019" xfId="13157" xr:uid="{00000000-0005-0000-0000-0000E3530000}"/>
    <cellStyle name="Schlecht 140" xfId="9826" xr:uid="{00000000-0005-0000-0000-0000E4530000}"/>
    <cellStyle name="Schlecht 140 2" xfId="19241" xr:uid="{00000000-0005-0000-0000-0000E5530000}"/>
    <cellStyle name="Schlecht 140_est. MEAT" xfId="25362" xr:uid="{00000000-0005-0000-0000-0000E6530000}"/>
    <cellStyle name="Schlecht 141" xfId="9827" xr:uid="{00000000-0005-0000-0000-0000E7530000}"/>
    <cellStyle name="Schlecht 141 2" xfId="19242" xr:uid="{00000000-0005-0000-0000-0000E8530000}"/>
    <cellStyle name="Schlecht 141_est. MEAT" xfId="25363" xr:uid="{00000000-0005-0000-0000-0000E9530000}"/>
    <cellStyle name="Schlecht 142" xfId="9828" xr:uid="{00000000-0005-0000-0000-0000EA530000}"/>
    <cellStyle name="Schlecht 142 2" xfId="19243" xr:uid="{00000000-0005-0000-0000-0000EB530000}"/>
    <cellStyle name="Schlecht 142_est. MEAT" xfId="25364" xr:uid="{00000000-0005-0000-0000-0000EC530000}"/>
    <cellStyle name="Schlecht 143" xfId="9829" xr:uid="{00000000-0005-0000-0000-0000ED530000}"/>
    <cellStyle name="Schlecht 143 2" xfId="19244" xr:uid="{00000000-0005-0000-0000-0000EE530000}"/>
    <cellStyle name="Schlecht 143_est. MEAT" xfId="25365" xr:uid="{00000000-0005-0000-0000-0000EF530000}"/>
    <cellStyle name="Schlecht 144" xfId="9830" xr:uid="{00000000-0005-0000-0000-0000F0530000}"/>
    <cellStyle name="Schlecht 144 2" xfId="19245" xr:uid="{00000000-0005-0000-0000-0000F1530000}"/>
    <cellStyle name="Schlecht 144_est. MEAT" xfId="25366" xr:uid="{00000000-0005-0000-0000-0000F2530000}"/>
    <cellStyle name="Schlecht 145" xfId="9831" xr:uid="{00000000-0005-0000-0000-0000F3530000}"/>
    <cellStyle name="Schlecht 145 2" xfId="19246" xr:uid="{00000000-0005-0000-0000-0000F4530000}"/>
    <cellStyle name="Schlecht 145_est. MEAT" xfId="25367" xr:uid="{00000000-0005-0000-0000-0000F5530000}"/>
    <cellStyle name="Schlecht 146" xfId="9832" xr:uid="{00000000-0005-0000-0000-0000F6530000}"/>
    <cellStyle name="Schlecht 146 2" xfId="19247" xr:uid="{00000000-0005-0000-0000-0000F7530000}"/>
    <cellStyle name="Schlecht 146_est. MEAT" xfId="25368" xr:uid="{00000000-0005-0000-0000-0000F8530000}"/>
    <cellStyle name="Schlecht 147" xfId="9833" xr:uid="{00000000-0005-0000-0000-0000F9530000}"/>
    <cellStyle name="Schlecht 147 2" xfId="19248" xr:uid="{00000000-0005-0000-0000-0000FA530000}"/>
    <cellStyle name="Schlecht 147_est. MEAT" xfId="25369" xr:uid="{00000000-0005-0000-0000-0000FB530000}"/>
    <cellStyle name="Schlecht 148" xfId="9834" xr:uid="{00000000-0005-0000-0000-0000FC530000}"/>
    <cellStyle name="Schlecht 148 2" xfId="19249" xr:uid="{00000000-0005-0000-0000-0000FD530000}"/>
    <cellStyle name="Schlecht 148_est. MEAT" xfId="25370" xr:uid="{00000000-0005-0000-0000-0000FE530000}"/>
    <cellStyle name="Schlecht 149" xfId="9835" xr:uid="{00000000-0005-0000-0000-0000FF530000}"/>
    <cellStyle name="Schlecht 149 2" xfId="19250" xr:uid="{00000000-0005-0000-0000-000000540000}"/>
    <cellStyle name="Schlecht 149_est. MEAT" xfId="25371" xr:uid="{00000000-0005-0000-0000-000001540000}"/>
    <cellStyle name="Schlecht 15" xfId="9836" xr:uid="{00000000-0005-0000-0000-000002540000}"/>
    <cellStyle name="Schlecht 15 2" xfId="19251" xr:uid="{00000000-0005-0000-0000-000003540000}"/>
    <cellStyle name="Schlecht 15_est. MEAT" xfId="25372" xr:uid="{00000000-0005-0000-0000-000004540000}"/>
    <cellStyle name="Schlecht 150" xfId="9837" xr:uid="{00000000-0005-0000-0000-000005540000}"/>
    <cellStyle name="Schlecht 150 2" xfId="19252" xr:uid="{00000000-0005-0000-0000-000006540000}"/>
    <cellStyle name="Schlecht 150_est. MEAT" xfId="25373" xr:uid="{00000000-0005-0000-0000-000007540000}"/>
    <cellStyle name="Schlecht 151" xfId="9838" xr:uid="{00000000-0005-0000-0000-000008540000}"/>
    <cellStyle name="Schlecht 151 2" xfId="19253" xr:uid="{00000000-0005-0000-0000-000009540000}"/>
    <cellStyle name="Schlecht 151_est. MEAT" xfId="25374" xr:uid="{00000000-0005-0000-0000-00000A540000}"/>
    <cellStyle name="Schlecht 152" xfId="19190" xr:uid="{00000000-0005-0000-0000-00000B540000}"/>
    <cellStyle name="Schlecht 16" xfId="9839" xr:uid="{00000000-0005-0000-0000-00000C540000}"/>
    <cellStyle name="Schlecht 16 2" xfId="19254" xr:uid="{00000000-0005-0000-0000-00000D540000}"/>
    <cellStyle name="Schlecht 16_est. MEAT" xfId="25375" xr:uid="{00000000-0005-0000-0000-00000E540000}"/>
    <cellStyle name="Schlecht 17" xfId="9840" xr:uid="{00000000-0005-0000-0000-00000F540000}"/>
    <cellStyle name="Schlecht 17 2" xfId="19255" xr:uid="{00000000-0005-0000-0000-000010540000}"/>
    <cellStyle name="Schlecht 17_est. MEAT" xfId="25376" xr:uid="{00000000-0005-0000-0000-000011540000}"/>
    <cellStyle name="Schlecht 18" xfId="9841" xr:uid="{00000000-0005-0000-0000-000012540000}"/>
    <cellStyle name="Schlecht 18 2" xfId="19256" xr:uid="{00000000-0005-0000-0000-000013540000}"/>
    <cellStyle name="Schlecht 18_est. MEAT" xfId="25377" xr:uid="{00000000-0005-0000-0000-000014540000}"/>
    <cellStyle name="Schlecht 19" xfId="9842" xr:uid="{00000000-0005-0000-0000-000015540000}"/>
    <cellStyle name="Schlecht 19 2" xfId="19257" xr:uid="{00000000-0005-0000-0000-000016540000}"/>
    <cellStyle name="Schlecht 19_est. MEAT" xfId="25378" xr:uid="{00000000-0005-0000-0000-000017540000}"/>
    <cellStyle name="Schlecht 2" xfId="9843" xr:uid="{00000000-0005-0000-0000-000018540000}"/>
    <cellStyle name="Schlecht 2 2" xfId="9844" xr:uid="{00000000-0005-0000-0000-000019540000}"/>
    <cellStyle name="Schlecht 2 2 2" xfId="19259" xr:uid="{00000000-0005-0000-0000-00001A540000}"/>
    <cellStyle name="Schlecht 2 2_est. MEAT" xfId="25379" xr:uid="{00000000-0005-0000-0000-00001B540000}"/>
    <cellStyle name="Schlecht 2 3" xfId="19258" xr:uid="{00000000-0005-0000-0000-00001C540000}"/>
    <cellStyle name="Schlecht 2_2012-2019" xfId="13158" xr:uid="{00000000-0005-0000-0000-00001D540000}"/>
    <cellStyle name="Schlecht 20" xfId="9845" xr:uid="{00000000-0005-0000-0000-00001E540000}"/>
    <cellStyle name="Schlecht 20 2" xfId="19260" xr:uid="{00000000-0005-0000-0000-00001F540000}"/>
    <cellStyle name="Schlecht 20_est. MEAT" xfId="25380" xr:uid="{00000000-0005-0000-0000-000020540000}"/>
    <cellStyle name="Schlecht 21" xfId="9846" xr:uid="{00000000-0005-0000-0000-000021540000}"/>
    <cellStyle name="Schlecht 21 2" xfId="19261" xr:uid="{00000000-0005-0000-0000-000022540000}"/>
    <cellStyle name="Schlecht 21_est. MEAT" xfId="25381" xr:uid="{00000000-0005-0000-0000-000023540000}"/>
    <cellStyle name="Schlecht 22" xfId="9847" xr:uid="{00000000-0005-0000-0000-000024540000}"/>
    <cellStyle name="Schlecht 22 2" xfId="19262" xr:uid="{00000000-0005-0000-0000-000025540000}"/>
    <cellStyle name="Schlecht 22_est. MEAT" xfId="25382" xr:uid="{00000000-0005-0000-0000-000026540000}"/>
    <cellStyle name="Schlecht 23" xfId="9848" xr:uid="{00000000-0005-0000-0000-000027540000}"/>
    <cellStyle name="Schlecht 23 2" xfId="19263" xr:uid="{00000000-0005-0000-0000-000028540000}"/>
    <cellStyle name="Schlecht 23_est. MEAT" xfId="25383" xr:uid="{00000000-0005-0000-0000-000029540000}"/>
    <cellStyle name="Schlecht 24" xfId="9849" xr:uid="{00000000-0005-0000-0000-00002A540000}"/>
    <cellStyle name="Schlecht 24 2" xfId="19264" xr:uid="{00000000-0005-0000-0000-00002B540000}"/>
    <cellStyle name="Schlecht 24_est. MEAT" xfId="25384" xr:uid="{00000000-0005-0000-0000-00002C540000}"/>
    <cellStyle name="Schlecht 25" xfId="9850" xr:uid="{00000000-0005-0000-0000-00002D540000}"/>
    <cellStyle name="Schlecht 25 2" xfId="19265" xr:uid="{00000000-0005-0000-0000-00002E540000}"/>
    <cellStyle name="Schlecht 25_est. MEAT" xfId="25385" xr:uid="{00000000-0005-0000-0000-00002F540000}"/>
    <cellStyle name="Schlecht 26" xfId="9851" xr:uid="{00000000-0005-0000-0000-000030540000}"/>
    <cellStyle name="Schlecht 26 2" xfId="19266" xr:uid="{00000000-0005-0000-0000-000031540000}"/>
    <cellStyle name="Schlecht 26_est. MEAT" xfId="25386" xr:uid="{00000000-0005-0000-0000-000032540000}"/>
    <cellStyle name="Schlecht 27" xfId="9852" xr:uid="{00000000-0005-0000-0000-000033540000}"/>
    <cellStyle name="Schlecht 27 2" xfId="19267" xr:uid="{00000000-0005-0000-0000-000034540000}"/>
    <cellStyle name="Schlecht 27_est. MEAT" xfId="25387" xr:uid="{00000000-0005-0000-0000-000035540000}"/>
    <cellStyle name="Schlecht 28" xfId="9853" xr:uid="{00000000-0005-0000-0000-000036540000}"/>
    <cellStyle name="Schlecht 28 2" xfId="19268" xr:uid="{00000000-0005-0000-0000-000037540000}"/>
    <cellStyle name="Schlecht 28_est. MEAT" xfId="25388" xr:uid="{00000000-0005-0000-0000-000038540000}"/>
    <cellStyle name="Schlecht 29" xfId="9854" xr:uid="{00000000-0005-0000-0000-000039540000}"/>
    <cellStyle name="Schlecht 29 2" xfId="19269" xr:uid="{00000000-0005-0000-0000-00003A540000}"/>
    <cellStyle name="Schlecht 29_est. MEAT" xfId="25389" xr:uid="{00000000-0005-0000-0000-00003B540000}"/>
    <cellStyle name="Schlecht 3" xfId="9855" xr:uid="{00000000-0005-0000-0000-00003C540000}"/>
    <cellStyle name="Schlecht 3 2" xfId="9856" xr:uid="{00000000-0005-0000-0000-00003D540000}"/>
    <cellStyle name="Schlecht 3 2 2" xfId="19271" xr:uid="{00000000-0005-0000-0000-00003E540000}"/>
    <cellStyle name="Schlecht 3 2_est. MEAT" xfId="25390" xr:uid="{00000000-0005-0000-0000-00003F540000}"/>
    <cellStyle name="Schlecht 3 3" xfId="19270" xr:uid="{00000000-0005-0000-0000-000040540000}"/>
    <cellStyle name="Schlecht 3_2012-2019" xfId="13159" xr:uid="{00000000-0005-0000-0000-000041540000}"/>
    <cellStyle name="Schlecht 30" xfId="9857" xr:uid="{00000000-0005-0000-0000-000042540000}"/>
    <cellStyle name="Schlecht 30 2" xfId="19272" xr:uid="{00000000-0005-0000-0000-000043540000}"/>
    <cellStyle name="Schlecht 30_est. MEAT" xfId="25391" xr:uid="{00000000-0005-0000-0000-000044540000}"/>
    <cellStyle name="Schlecht 31" xfId="9858" xr:uid="{00000000-0005-0000-0000-000045540000}"/>
    <cellStyle name="Schlecht 31 2" xfId="19273" xr:uid="{00000000-0005-0000-0000-000046540000}"/>
    <cellStyle name="Schlecht 31_est. MEAT" xfId="25392" xr:uid="{00000000-0005-0000-0000-000047540000}"/>
    <cellStyle name="Schlecht 32" xfId="9859" xr:uid="{00000000-0005-0000-0000-000048540000}"/>
    <cellStyle name="Schlecht 32 2" xfId="19274" xr:uid="{00000000-0005-0000-0000-000049540000}"/>
    <cellStyle name="Schlecht 32_est. MEAT" xfId="25393" xr:uid="{00000000-0005-0000-0000-00004A540000}"/>
    <cellStyle name="Schlecht 33" xfId="9860" xr:uid="{00000000-0005-0000-0000-00004B540000}"/>
    <cellStyle name="Schlecht 33 2" xfId="19275" xr:uid="{00000000-0005-0000-0000-00004C540000}"/>
    <cellStyle name="Schlecht 33_est. MEAT" xfId="25394" xr:uid="{00000000-0005-0000-0000-00004D540000}"/>
    <cellStyle name="Schlecht 34" xfId="9861" xr:uid="{00000000-0005-0000-0000-00004E540000}"/>
    <cellStyle name="Schlecht 34 2" xfId="19276" xr:uid="{00000000-0005-0000-0000-00004F540000}"/>
    <cellStyle name="Schlecht 34_est. MEAT" xfId="25395" xr:uid="{00000000-0005-0000-0000-000050540000}"/>
    <cellStyle name="Schlecht 35" xfId="9862" xr:uid="{00000000-0005-0000-0000-000051540000}"/>
    <cellStyle name="Schlecht 35 2" xfId="19277" xr:uid="{00000000-0005-0000-0000-000052540000}"/>
    <cellStyle name="Schlecht 35_est. MEAT" xfId="25396" xr:uid="{00000000-0005-0000-0000-000053540000}"/>
    <cellStyle name="Schlecht 36" xfId="9863" xr:uid="{00000000-0005-0000-0000-000054540000}"/>
    <cellStyle name="Schlecht 36 2" xfId="19278" xr:uid="{00000000-0005-0000-0000-000055540000}"/>
    <cellStyle name="Schlecht 36_est. MEAT" xfId="25397" xr:uid="{00000000-0005-0000-0000-000056540000}"/>
    <cellStyle name="Schlecht 37" xfId="9864" xr:uid="{00000000-0005-0000-0000-000057540000}"/>
    <cellStyle name="Schlecht 37 2" xfId="19279" xr:uid="{00000000-0005-0000-0000-000058540000}"/>
    <cellStyle name="Schlecht 37_est. MEAT" xfId="25398" xr:uid="{00000000-0005-0000-0000-000059540000}"/>
    <cellStyle name="Schlecht 38" xfId="9865" xr:uid="{00000000-0005-0000-0000-00005A540000}"/>
    <cellStyle name="Schlecht 38 2" xfId="19280" xr:uid="{00000000-0005-0000-0000-00005B540000}"/>
    <cellStyle name="Schlecht 38_est. MEAT" xfId="25399" xr:uid="{00000000-0005-0000-0000-00005C540000}"/>
    <cellStyle name="Schlecht 39" xfId="9866" xr:uid="{00000000-0005-0000-0000-00005D540000}"/>
    <cellStyle name="Schlecht 39 2" xfId="19281" xr:uid="{00000000-0005-0000-0000-00005E540000}"/>
    <cellStyle name="Schlecht 39_est. MEAT" xfId="25400" xr:uid="{00000000-0005-0000-0000-00005F540000}"/>
    <cellStyle name="Schlecht 4" xfId="9867" xr:uid="{00000000-0005-0000-0000-000060540000}"/>
    <cellStyle name="Schlecht 4 2" xfId="9868" xr:uid="{00000000-0005-0000-0000-000061540000}"/>
    <cellStyle name="Schlecht 4 2 2" xfId="19283" xr:uid="{00000000-0005-0000-0000-000062540000}"/>
    <cellStyle name="Schlecht 4 2_est. MEAT" xfId="25401" xr:uid="{00000000-0005-0000-0000-000063540000}"/>
    <cellStyle name="Schlecht 4 3" xfId="19282" xr:uid="{00000000-0005-0000-0000-000064540000}"/>
    <cellStyle name="Schlecht 4_2012-2019" xfId="13160" xr:uid="{00000000-0005-0000-0000-000065540000}"/>
    <cellStyle name="Schlecht 40" xfId="9869" xr:uid="{00000000-0005-0000-0000-000066540000}"/>
    <cellStyle name="Schlecht 40 2" xfId="19284" xr:uid="{00000000-0005-0000-0000-000067540000}"/>
    <cellStyle name="Schlecht 40_est. MEAT" xfId="25402" xr:uid="{00000000-0005-0000-0000-000068540000}"/>
    <cellStyle name="Schlecht 41" xfId="9870" xr:uid="{00000000-0005-0000-0000-000069540000}"/>
    <cellStyle name="Schlecht 41 2" xfId="19285" xr:uid="{00000000-0005-0000-0000-00006A540000}"/>
    <cellStyle name="Schlecht 41_est. MEAT" xfId="25403" xr:uid="{00000000-0005-0000-0000-00006B540000}"/>
    <cellStyle name="Schlecht 42" xfId="9871" xr:uid="{00000000-0005-0000-0000-00006C540000}"/>
    <cellStyle name="Schlecht 42 2" xfId="19286" xr:uid="{00000000-0005-0000-0000-00006D540000}"/>
    <cellStyle name="Schlecht 42_est. MEAT" xfId="25404" xr:uid="{00000000-0005-0000-0000-00006E540000}"/>
    <cellStyle name="Schlecht 43" xfId="9872" xr:uid="{00000000-0005-0000-0000-00006F540000}"/>
    <cellStyle name="Schlecht 43 2" xfId="19287" xr:uid="{00000000-0005-0000-0000-000070540000}"/>
    <cellStyle name="Schlecht 43_est. MEAT" xfId="25405" xr:uid="{00000000-0005-0000-0000-000071540000}"/>
    <cellStyle name="Schlecht 44" xfId="9873" xr:uid="{00000000-0005-0000-0000-000072540000}"/>
    <cellStyle name="Schlecht 44 2" xfId="19288" xr:uid="{00000000-0005-0000-0000-000073540000}"/>
    <cellStyle name="Schlecht 44_est. MEAT" xfId="25406" xr:uid="{00000000-0005-0000-0000-000074540000}"/>
    <cellStyle name="Schlecht 45" xfId="9874" xr:uid="{00000000-0005-0000-0000-000075540000}"/>
    <cellStyle name="Schlecht 45 2" xfId="19289" xr:uid="{00000000-0005-0000-0000-000076540000}"/>
    <cellStyle name="Schlecht 45_est. MEAT" xfId="25407" xr:uid="{00000000-0005-0000-0000-000077540000}"/>
    <cellStyle name="Schlecht 46" xfId="9875" xr:uid="{00000000-0005-0000-0000-000078540000}"/>
    <cellStyle name="Schlecht 46 2" xfId="19290" xr:uid="{00000000-0005-0000-0000-000079540000}"/>
    <cellStyle name="Schlecht 46_est. MEAT" xfId="25408" xr:uid="{00000000-0005-0000-0000-00007A540000}"/>
    <cellStyle name="Schlecht 47" xfId="9876" xr:uid="{00000000-0005-0000-0000-00007B540000}"/>
    <cellStyle name="Schlecht 47 2" xfId="19291" xr:uid="{00000000-0005-0000-0000-00007C540000}"/>
    <cellStyle name="Schlecht 47_est. MEAT" xfId="25409" xr:uid="{00000000-0005-0000-0000-00007D540000}"/>
    <cellStyle name="Schlecht 48" xfId="9877" xr:uid="{00000000-0005-0000-0000-00007E540000}"/>
    <cellStyle name="Schlecht 48 2" xfId="19292" xr:uid="{00000000-0005-0000-0000-00007F540000}"/>
    <cellStyle name="Schlecht 48_est. MEAT" xfId="25410" xr:uid="{00000000-0005-0000-0000-000080540000}"/>
    <cellStyle name="Schlecht 49" xfId="9878" xr:uid="{00000000-0005-0000-0000-000081540000}"/>
    <cellStyle name="Schlecht 49 2" xfId="19293" xr:uid="{00000000-0005-0000-0000-000082540000}"/>
    <cellStyle name="Schlecht 49_est. MEAT" xfId="25411" xr:uid="{00000000-0005-0000-0000-000083540000}"/>
    <cellStyle name="Schlecht 5" xfId="9879" xr:uid="{00000000-0005-0000-0000-000084540000}"/>
    <cellStyle name="Schlecht 5 2" xfId="9880" xr:uid="{00000000-0005-0000-0000-000085540000}"/>
    <cellStyle name="Schlecht 5 2 2" xfId="19295" xr:uid="{00000000-0005-0000-0000-000086540000}"/>
    <cellStyle name="Schlecht 5 2_est. MEAT" xfId="25412" xr:uid="{00000000-0005-0000-0000-000087540000}"/>
    <cellStyle name="Schlecht 5 3" xfId="19294" xr:uid="{00000000-0005-0000-0000-000088540000}"/>
    <cellStyle name="Schlecht 5_2012-2019" xfId="13161" xr:uid="{00000000-0005-0000-0000-000089540000}"/>
    <cellStyle name="Schlecht 50" xfId="9881" xr:uid="{00000000-0005-0000-0000-00008A540000}"/>
    <cellStyle name="Schlecht 50 2" xfId="19296" xr:uid="{00000000-0005-0000-0000-00008B540000}"/>
    <cellStyle name="Schlecht 50_est. MEAT" xfId="25413" xr:uid="{00000000-0005-0000-0000-00008C540000}"/>
    <cellStyle name="Schlecht 51" xfId="9882" xr:uid="{00000000-0005-0000-0000-00008D540000}"/>
    <cellStyle name="Schlecht 51 2" xfId="19297" xr:uid="{00000000-0005-0000-0000-00008E540000}"/>
    <cellStyle name="Schlecht 51_est. MEAT" xfId="25414" xr:uid="{00000000-0005-0000-0000-00008F540000}"/>
    <cellStyle name="Schlecht 52" xfId="9883" xr:uid="{00000000-0005-0000-0000-000090540000}"/>
    <cellStyle name="Schlecht 52 2" xfId="19298" xr:uid="{00000000-0005-0000-0000-000091540000}"/>
    <cellStyle name="Schlecht 52_est. MEAT" xfId="25415" xr:uid="{00000000-0005-0000-0000-000092540000}"/>
    <cellStyle name="Schlecht 53" xfId="9884" xr:uid="{00000000-0005-0000-0000-000093540000}"/>
    <cellStyle name="Schlecht 53 2" xfId="19299" xr:uid="{00000000-0005-0000-0000-000094540000}"/>
    <cellStyle name="Schlecht 53_est. MEAT" xfId="25416" xr:uid="{00000000-0005-0000-0000-000095540000}"/>
    <cellStyle name="Schlecht 54" xfId="9885" xr:uid="{00000000-0005-0000-0000-000096540000}"/>
    <cellStyle name="Schlecht 54 2" xfId="19300" xr:uid="{00000000-0005-0000-0000-000097540000}"/>
    <cellStyle name="Schlecht 54_est. MEAT" xfId="25417" xr:uid="{00000000-0005-0000-0000-000098540000}"/>
    <cellStyle name="Schlecht 55" xfId="9886" xr:uid="{00000000-0005-0000-0000-000099540000}"/>
    <cellStyle name="Schlecht 55 2" xfId="19301" xr:uid="{00000000-0005-0000-0000-00009A540000}"/>
    <cellStyle name="Schlecht 55_est. MEAT" xfId="25418" xr:uid="{00000000-0005-0000-0000-00009B540000}"/>
    <cellStyle name="Schlecht 56" xfId="9887" xr:uid="{00000000-0005-0000-0000-00009C540000}"/>
    <cellStyle name="Schlecht 56 2" xfId="19302" xr:uid="{00000000-0005-0000-0000-00009D540000}"/>
    <cellStyle name="Schlecht 56_est. MEAT" xfId="25419" xr:uid="{00000000-0005-0000-0000-00009E540000}"/>
    <cellStyle name="Schlecht 57" xfId="9888" xr:uid="{00000000-0005-0000-0000-00009F540000}"/>
    <cellStyle name="Schlecht 57 2" xfId="19303" xr:uid="{00000000-0005-0000-0000-0000A0540000}"/>
    <cellStyle name="Schlecht 57_est. MEAT" xfId="25420" xr:uid="{00000000-0005-0000-0000-0000A1540000}"/>
    <cellStyle name="Schlecht 58" xfId="9889" xr:uid="{00000000-0005-0000-0000-0000A2540000}"/>
    <cellStyle name="Schlecht 58 2" xfId="19304" xr:uid="{00000000-0005-0000-0000-0000A3540000}"/>
    <cellStyle name="Schlecht 58_est. MEAT" xfId="25421" xr:uid="{00000000-0005-0000-0000-0000A4540000}"/>
    <cellStyle name="Schlecht 59" xfId="9890" xr:uid="{00000000-0005-0000-0000-0000A5540000}"/>
    <cellStyle name="Schlecht 59 2" xfId="19305" xr:uid="{00000000-0005-0000-0000-0000A6540000}"/>
    <cellStyle name="Schlecht 59_est. MEAT" xfId="25422" xr:uid="{00000000-0005-0000-0000-0000A7540000}"/>
    <cellStyle name="Schlecht 6" xfId="9891" xr:uid="{00000000-0005-0000-0000-0000A8540000}"/>
    <cellStyle name="Schlecht 6 2" xfId="9892" xr:uid="{00000000-0005-0000-0000-0000A9540000}"/>
    <cellStyle name="Schlecht 6 2 2" xfId="19307" xr:uid="{00000000-0005-0000-0000-0000AA540000}"/>
    <cellStyle name="Schlecht 6 2_est. MEAT" xfId="25423" xr:uid="{00000000-0005-0000-0000-0000AB540000}"/>
    <cellStyle name="Schlecht 6 3" xfId="19306" xr:uid="{00000000-0005-0000-0000-0000AC540000}"/>
    <cellStyle name="Schlecht 6_2012-2019" xfId="13162" xr:uid="{00000000-0005-0000-0000-0000AD540000}"/>
    <cellStyle name="Schlecht 60" xfId="9893" xr:uid="{00000000-0005-0000-0000-0000AE540000}"/>
    <cellStyle name="Schlecht 60 2" xfId="19308" xr:uid="{00000000-0005-0000-0000-0000AF540000}"/>
    <cellStyle name="Schlecht 60_est. MEAT" xfId="25424" xr:uid="{00000000-0005-0000-0000-0000B0540000}"/>
    <cellStyle name="Schlecht 61" xfId="9894" xr:uid="{00000000-0005-0000-0000-0000B1540000}"/>
    <cellStyle name="Schlecht 61 2" xfId="19309" xr:uid="{00000000-0005-0000-0000-0000B2540000}"/>
    <cellStyle name="Schlecht 61_est. MEAT" xfId="25425" xr:uid="{00000000-0005-0000-0000-0000B3540000}"/>
    <cellStyle name="Schlecht 62" xfId="9895" xr:uid="{00000000-0005-0000-0000-0000B4540000}"/>
    <cellStyle name="Schlecht 62 2" xfId="19310" xr:uid="{00000000-0005-0000-0000-0000B5540000}"/>
    <cellStyle name="Schlecht 62_est. MEAT" xfId="25426" xr:uid="{00000000-0005-0000-0000-0000B6540000}"/>
    <cellStyle name="Schlecht 63" xfId="9896" xr:uid="{00000000-0005-0000-0000-0000B7540000}"/>
    <cellStyle name="Schlecht 63 2" xfId="19311" xr:uid="{00000000-0005-0000-0000-0000B8540000}"/>
    <cellStyle name="Schlecht 63_est. MEAT" xfId="25427" xr:uid="{00000000-0005-0000-0000-0000B9540000}"/>
    <cellStyle name="Schlecht 64" xfId="9897" xr:uid="{00000000-0005-0000-0000-0000BA540000}"/>
    <cellStyle name="Schlecht 64 2" xfId="19312" xr:uid="{00000000-0005-0000-0000-0000BB540000}"/>
    <cellStyle name="Schlecht 64_est. MEAT" xfId="25428" xr:uid="{00000000-0005-0000-0000-0000BC540000}"/>
    <cellStyle name="Schlecht 65" xfId="9898" xr:uid="{00000000-0005-0000-0000-0000BD540000}"/>
    <cellStyle name="Schlecht 65 2" xfId="19313" xr:uid="{00000000-0005-0000-0000-0000BE540000}"/>
    <cellStyle name="Schlecht 65_est. MEAT" xfId="25429" xr:uid="{00000000-0005-0000-0000-0000BF540000}"/>
    <cellStyle name="Schlecht 66" xfId="9899" xr:uid="{00000000-0005-0000-0000-0000C0540000}"/>
    <cellStyle name="Schlecht 66 2" xfId="19314" xr:uid="{00000000-0005-0000-0000-0000C1540000}"/>
    <cellStyle name="Schlecht 66_est. MEAT" xfId="25430" xr:uid="{00000000-0005-0000-0000-0000C2540000}"/>
    <cellStyle name="Schlecht 67" xfId="9900" xr:uid="{00000000-0005-0000-0000-0000C3540000}"/>
    <cellStyle name="Schlecht 67 2" xfId="19315" xr:uid="{00000000-0005-0000-0000-0000C4540000}"/>
    <cellStyle name="Schlecht 67_est. MEAT" xfId="25431" xr:uid="{00000000-0005-0000-0000-0000C5540000}"/>
    <cellStyle name="Schlecht 68" xfId="9901" xr:uid="{00000000-0005-0000-0000-0000C6540000}"/>
    <cellStyle name="Schlecht 68 2" xfId="19316" xr:uid="{00000000-0005-0000-0000-0000C7540000}"/>
    <cellStyle name="Schlecht 68_est. MEAT" xfId="25432" xr:uid="{00000000-0005-0000-0000-0000C8540000}"/>
    <cellStyle name="Schlecht 69" xfId="9902" xr:uid="{00000000-0005-0000-0000-0000C9540000}"/>
    <cellStyle name="Schlecht 69 2" xfId="19317" xr:uid="{00000000-0005-0000-0000-0000CA540000}"/>
    <cellStyle name="Schlecht 69_est. MEAT" xfId="25433" xr:uid="{00000000-0005-0000-0000-0000CB540000}"/>
    <cellStyle name="Schlecht 7" xfId="9903" xr:uid="{00000000-0005-0000-0000-0000CC540000}"/>
    <cellStyle name="Schlecht 7 2" xfId="9904" xr:uid="{00000000-0005-0000-0000-0000CD540000}"/>
    <cellStyle name="Schlecht 7 2 2" xfId="19319" xr:uid="{00000000-0005-0000-0000-0000CE540000}"/>
    <cellStyle name="Schlecht 7 2_est. MEAT" xfId="25434" xr:uid="{00000000-0005-0000-0000-0000CF540000}"/>
    <cellStyle name="Schlecht 7 3" xfId="19318" xr:uid="{00000000-0005-0000-0000-0000D0540000}"/>
    <cellStyle name="Schlecht 7_2012-2019" xfId="13163" xr:uid="{00000000-0005-0000-0000-0000D1540000}"/>
    <cellStyle name="Schlecht 70" xfId="9905" xr:uid="{00000000-0005-0000-0000-0000D2540000}"/>
    <cellStyle name="Schlecht 70 2" xfId="19320" xr:uid="{00000000-0005-0000-0000-0000D3540000}"/>
    <cellStyle name="Schlecht 70_est. MEAT" xfId="25435" xr:uid="{00000000-0005-0000-0000-0000D4540000}"/>
    <cellStyle name="Schlecht 71" xfId="9906" xr:uid="{00000000-0005-0000-0000-0000D5540000}"/>
    <cellStyle name="Schlecht 71 2" xfId="19321" xr:uid="{00000000-0005-0000-0000-0000D6540000}"/>
    <cellStyle name="Schlecht 71_est. MEAT" xfId="25436" xr:uid="{00000000-0005-0000-0000-0000D7540000}"/>
    <cellStyle name="Schlecht 72" xfId="9907" xr:uid="{00000000-0005-0000-0000-0000D8540000}"/>
    <cellStyle name="Schlecht 72 2" xfId="19322" xr:uid="{00000000-0005-0000-0000-0000D9540000}"/>
    <cellStyle name="Schlecht 72_est. MEAT" xfId="25437" xr:uid="{00000000-0005-0000-0000-0000DA540000}"/>
    <cellStyle name="Schlecht 73" xfId="9908" xr:uid="{00000000-0005-0000-0000-0000DB540000}"/>
    <cellStyle name="Schlecht 73 2" xfId="19323" xr:uid="{00000000-0005-0000-0000-0000DC540000}"/>
    <cellStyle name="Schlecht 73_est. MEAT" xfId="25438" xr:uid="{00000000-0005-0000-0000-0000DD540000}"/>
    <cellStyle name="Schlecht 74" xfId="9909" xr:uid="{00000000-0005-0000-0000-0000DE540000}"/>
    <cellStyle name="Schlecht 74 2" xfId="19324" xr:uid="{00000000-0005-0000-0000-0000DF540000}"/>
    <cellStyle name="Schlecht 74_est. MEAT" xfId="25439" xr:uid="{00000000-0005-0000-0000-0000E0540000}"/>
    <cellStyle name="Schlecht 75" xfId="9910" xr:uid="{00000000-0005-0000-0000-0000E1540000}"/>
    <cellStyle name="Schlecht 75 2" xfId="19325" xr:uid="{00000000-0005-0000-0000-0000E2540000}"/>
    <cellStyle name="Schlecht 75_est. MEAT" xfId="25440" xr:uid="{00000000-0005-0000-0000-0000E3540000}"/>
    <cellStyle name="Schlecht 76" xfId="9911" xr:uid="{00000000-0005-0000-0000-0000E4540000}"/>
    <cellStyle name="Schlecht 76 2" xfId="19326" xr:uid="{00000000-0005-0000-0000-0000E5540000}"/>
    <cellStyle name="Schlecht 76_est. MEAT" xfId="25441" xr:uid="{00000000-0005-0000-0000-0000E6540000}"/>
    <cellStyle name="Schlecht 77" xfId="9912" xr:uid="{00000000-0005-0000-0000-0000E7540000}"/>
    <cellStyle name="Schlecht 77 2" xfId="19327" xr:uid="{00000000-0005-0000-0000-0000E8540000}"/>
    <cellStyle name="Schlecht 77_est. MEAT" xfId="25442" xr:uid="{00000000-0005-0000-0000-0000E9540000}"/>
    <cellStyle name="Schlecht 78" xfId="9913" xr:uid="{00000000-0005-0000-0000-0000EA540000}"/>
    <cellStyle name="Schlecht 78 2" xfId="19328" xr:uid="{00000000-0005-0000-0000-0000EB540000}"/>
    <cellStyle name="Schlecht 78_est. MEAT" xfId="25443" xr:uid="{00000000-0005-0000-0000-0000EC540000}"/>
    <cellStyle name="Schlecht 79" xfId="9914" xr:uid="{00000000-0005-0000-0000-0000ED540000}"/>
    <cellStyle name="Schlecht 79 2" xfId="19329" xr:uid="{00000000-0005-0000-0000-0000EE540000}"/>
    <cellStyle name="Schlecht 79_est. MEAT" xfId="25444" xr:uid="{00000000-0005-0000-0000-0000EF540000}"/>
    <cellStyle name="Schlecht 8" xfId="9915" xr:uid="{00000000-0005-0000-0000-0000F0540000}"/>
    <cellStyle name="Schlecht 8 2" xfId="9916" xr:uid="{00000000-0005-0000-0000-0000F1540000}"/>
    <cellStyle name="Schlecht 8 2 2" xfId="19331" xr:uid="{00000000-0005-0000-0000-0000F2540000}"/>
    <cellStyle name="Schlecht 8 2_est. MEAT" xfId="25445" xr:uid="{00000000-0005-0000-0000-0000F3540000}"/>
    <cellStyle name="Schlecht 8 3" xfId="19330" xr:uid="{00000000-0005-0000-0000-0000F4540000}"/>
    <cellStyle name="Schlecht 8_2012-2019" xfId="13164" xr:uid="{00000000-0005-0000-0000-0000F5540000}"/>
    <cellStyle name="Schlecht 80" xfId="9917" xr:uid="{00000000-0005-0000-0000-0000F6540000}"/>
    <cellStyle name="Schlecht 80 2" xfId="19332" xr:uid="{00000000-0005-0000-0000-0000F7540000}"/>
    <cellStyle name="Schlecht 80_est. MEAT" xfId="25446" xr:uid="{00000000-0005-0000-0000-0000F8540000}"/>
    <cellStyle name="Schlecht 81" xfId="9918" xr:uid="{00000000-0005-0000-0000-0000F9540000}"/>
    <cellStyle name="Schlecht 81 2" xfId="19333" xr:uid="{00000000-0005-0000-0000-0000FA540000}"/>
    <cellStyle name="Schlecht 81_est. MEAT" xfId="25447" xr:uid="{00000000-0005-0000-0000-0000FB540000}"/>
    <cellStyle name="Schlecht 82" xfId="9919" xr:uid="{00000000-0005-0000-0000-0000FC540000}"/>
    <cellStyle name="Schlecht 82 2" xfId="19334" xr:uid="{00000000-0005-0000-0000-0000FD540000}"/>
    <cellStyle name="Schlecht 82_est. MEAT" xfId="25448" xr:uid="{00000000-0005-0000-0000-0000FE540000}"/>
    <cellStyle name="Schlecht 83" xfId="9920" xr:uid="{00000000-0005-0000-0000-0000FF540000}"/>
    <cellStyle name="Schlecht 83 2" xfId="19335" xr:uid="{00000000-0005-0000-0000-000000550000}"/>
    <cellStyle name="Schlecht 83_est. MEAT" xfId="25449" xr:uid="{00000000-0005-0000-0000-000001550000}"/>
    <cellStyle name="Schlecht 84" xfId="9921" xr:uid="{00000000-0005-0000-0000-000002550000}"/>
    <cellStyle name="Schlecht 84 2" xfId="19336" xr:uid="{00000000-0005-0000-0000-000003550000}"/>
    <cellStyle name="Schlecht 84_est. MEAT" xfId="25450" xr:uid="{00000000-0005-0000-0000-000004550000}"/>
    <cellStyle name="Schlecht 85" xfId="9922" xr:uid="{00000000-0005-0000-0000-000005550000}"/>
    <cellStyle name="Schlecht 85 2" xfId="19337" xr:uid="{00000000-0005-0000-0000-000006550000}"/>
    <cellStyle name="Schlecht 85_est. MEAT" xfId="25451" xr:uid="{00000000-0005-0000-0000-000007550000}"/>
    <cellStyle name="Schlecht 86" xfId="9923" xr:uid="{00000000-0005-0000-0000-000008550000}"/>
    <cellStyle name="Schlecht 86 2" xfId="19338" xr:uid="{00000000-0005-0000-0000-000009550000}"/>
    <cellStyle name="Schlecht 86_est. MEAT" xfId="25452" xr:uid="{00000000-0005-0000-0000-00000A550000}"/>
    <cellStyle name="Schlecht 87" xfId="9924" xr:uid="{00000000-0005-0000-0000-00000B550000}"/>
    <cellStyle name="Schlecht 87 2" xfId="19339" xr:uid="{00000000-0005-0000-0000-00000C550000}"/>
    <cellStyle name="Schlecht 87_est. MEAT" xfId="25453" xr:uid="{00000000-0005-0000-0000-00000D550000}"/>
    <cellStyle name="Schlecht 88" xfId="9925" xr:uid="{00000000-0005-0000-0000-00000E550000}"/>
    <cellStyle name="Schlecht 88 2" xfId="19340" xr:uid="{00000000-0005-0000-0000-00000F550000}"/>
    <cellStyle name="Schlecht 88_est. MEAT" xfId="25454" xr:uid="{00000000-0005-0000-0000-000010550000}"/>
    <cellStyle name="Schlecht 89" xfId="9926" xr:uid="{00000000-0005-0000-0000-000011550000}"/>
    <cellStyle name="Schlecht 89 2" xfId="19341" xr:uid="{00000000-0005-0000-0000-000012550000}"/>
    <cellStyle name="Schlecht 89_est. MEAT" xfId="25455" xr:uid="{00000000-0005-0000-0000-000013550000}"/>
    <cellStyle name="Schlecht 9" xfId="9927" xr:uid="{00000000-0005-0000-0000-000014550000}"/>
    <cellStyle name="Schlecht 9 2" xfId="9928" xr:uid="{00000000-0005-0000-0000-000015550000}"/>
    <cellStyle name="Schlecht 9 2 2" xfId="19343" xr:uid="{00000000-0005-0000-0000-000016550000}"/>
    <cellStyle name="Schlecht 9 2_est. MEAT" xfId="25456" xr:uid="{00000000-0005-0000-0000-000017550000}"/>
    <cellStyle name="Schlecht 9 3" xfId="19342" xr:uid="{00000000-0005-0000-0000-000018550000}"/>
    <cellStyle name="Schlecht 9_2012-2019" xfId="13165" xr:uid="{00000000-0005-0000-0000-000019550000}"/>
    <cellStyle name="Schlecht 90" xfId="9929" xr:uid="{00000000-0005-0000-0000-00001A550000}"/>
    <cellStyle name="Schlecht 90 2" xfId="19344" xr:uid="{00000000-0005-0000-0000-00001B550000}"/>
    <cellStyle name="Schlecht 90_est. MEAT" xfId="25457" xr:uid="{00000000-0005-0000-0000-00001C550000}"/>
    <cellStyle name="Schlecht 91" xfId="9930" xr:uid="{00000000-0005-0000-0000-00001D550000}"/>
    <cellStyle name="Schlecht 91 2" xfId="19345" xr:uid="{00000000-0005-0000-0000-00001E550000}"/>
    <cellStyle name="Schlecht 91_est. MEAT" xfId="25458" xr:uid="{00000000-0005-0000-0000-00001F550000}"/>
    <cellStyle name="Schlecht 92" xfId="9931" xr:uid="{00000000-0005-0000-0000-000020550000}"/>
    <cellStyle name="Schlecht 92 2" xfId="19346" xr:uid="{00000000-0005-0000-0000-000021550000}"/>
    <cellStyle name="Schlecht 92_est. MEAT" xfId="25459" xr:uid="{00000000-0005-0000-0000-000022550000}"/>
    <cellStyle name="Schlecht 93" xfId="9932" xr:uid="{00000000-0005-0000-0000-000023550000}"/>
    <cellStyle name="Schlecht 93 2" xfId="19347" xr:uid="{00000000-0005-0000-0000-000024550000}"/>
    <cellStyle name="Schlecht 93_est. MEAT" xfId="25460" xr:uid="{00000000-0005-0000-0000-000025550000}"/>
    <cellStyle name="Schlecht 94" xfId="9933" xr:uid="{00000000-0005-0000-0000-000026550000}"/>
    <cellStyle name="Schlecht 94 2" xfId="19348" xr:uid="{00000000-0005-0000-0000-000027550000}"/>
    <cellStyle name="Schlecht 94_est. MEAT" xfId="25461" xr:uid="{00000000-0005-0000-0000-000028550000}"/>
    <cellStyle name="Schlecht 95" xfId="9934" xr:uid="{00000000-0005-0000-0000-000029550000}"/>
    <cellStyle name="Schlecht 95 2" xfId="19349" xr:uid="{00000000-0005-0000-0000-00002A550000}"/>
    <cellStyle name="Schlecht 95_est. MEAT" xfId="25462" xr:uid="{00000000-0005-0000-0000-00002B550000}"/>
    <cellStyle name="Schlecht 96" xfId="9935" xr:uid="{00000000-0005-0000-0000-00002C550000}"/>
    <cellStyle name="Schlecht 96 2" xfId="19350" xr:uid="{00000000-0005-0000-0000-00002D550000}"/>
    <cellStyle name="Schlecht 96_est. MEAT" xfId="25463" xr:uid="{00000000-0005-0000-0000-00002E550000}"/>
    <cellStyle name="Schlecht 97" xfId="9936" xr:uid="{00000000-0005-0000-0000-00002F550000}"/>
    <cellStyle name="Schlecht 97 2" xfId="19351" xr:uid="{00000000-0005-0000-0000-000030550000}"/>
    <cellStyle name="Schlecht 97_est. MEAT" xfId="25464" xr:uid="{00000000-0005-0000-0000-000031550000}"/>
    <cellStyle name="Schlecht 98" xfId="9937" xr:uid="{00000000-0005-0000-0000-000032550000}"/>
    <cellStyle name="Schlecht 98 2" xfId="19352" xr:uid="{00000000-0005-0000-0000-000033550000}"/>
    <cellStyle name="Schlecht 98_est. MEAT" xfId="25465" xr:uid="{00000000-0005-0000-0000-000034550000}"/>
    <cellStyle name="Schlecht 99" xfId="9938" xr:uid="{00000000-0005-0000-0000-000035550000}"/>
    <cellStyle name="Schlecht 99 2" xfId="19353" xr:uid="{00000000-0005-0000-0000-000036550000}"/>
    <cellStyle name="Schlecht 99_est. MEAT" xfId="25466" xr:uid="{00000000-0005-0000-0000-000037550000}"/>
    <cellStyle name="Schlecht_2012-2019" xfId="13152" xr:uid="{00000000-0005-0000-0000-000038550000}"/>
    <cellStyle name="Standard 10" xfId="9939" xr:uid="{00000000-0005-0000-0000-00003A550000}"/>
    <cellStyle name="Standard 10 2" xfId="9940" xr:uid="{00000000-0005-0000-0000-00003B550000}"/>
    <cellStyle name="Standard 10 2 2" xfId="19355" xr:uid="{00000000-0005-0000-0000-00003C550000}"/>
    <cellStyle name="Standard 10 2_est. MEAT" xfId="25467" xr:uid="{00000000-0005-0000-0000-00003D550000}"/>
    <cellStyle name="Standard 10 3" xfId="9941" xr:uid="{00000000-0005-0000-0000-00003E550000}"/>
    <cellStyle name="Standard 10 3 2" xfId="19356" xr:uid="{00000000-0005-0000-0000-00003F550000}"/>
    <cellStyle name="Standard 10 3_est. MEAT" xfId="25468" xr:uid="{00000000-0005-0000-0000-000040550000}"/>
    <cellStyle name="Standard 10 4" xfId="9942" xr:uid="{00000000-0005-0000-0000-000041550000}"/>
    <cellStyle name="Standard 10 4 2" xfId="9943" xr:uid="{00000000-0005-0000-0000-000042550000}"/>
    <cellStyle name="Standard 10 4 2 2" xfId="9944" xr:uid="{00000000-0005-0000-0000-000043550000}"/>
    <cellStyle name="Standard 10 4 2 2 2" xfId="19359" xr:uid="{00000000-0005-0000-0000-000044550000}"/>
    <cellStyle name="Standard 10 4 2 2_est. MEAT" xfId="25469" xr:uid="{00000000-0005-0000-0000-000045550000}"/>
    <cellStyle name="Standard 10 4 2 3" xfId="19358" xr:uid="{00000000-0005-0000-0000-000046550000}"/>
    <cellStyle name="Standard 10 4 2_2012-2019" xfId="13168" xr:uid="{00000000-0005-0000-0000-000047550000}"/>
    <cellStyle name="Standard 10 4 3" xfId="9945" xr:uid="{00000000-0005-0000-0000-000048550000}"/>
    <cellStyle name="Standard 10 4 3 2" xfId="9946" xr:uid="{00000000-0005-0000-0000-000049550000}"/>
    <cellStyle name="Standard 10 4 3 2 2" xfId="19361" xr:uid="{00000000-0005-0000-0000-00004A550000}"/>
    <cellStyle name="Standard 10 4 3 2_est. MEAT" xfId="25470" xr:uid="{00000000-0005-0000-0000-00004B550000}"/>
    <cellStyle name="Standard 10 4 3 3" xfId="19360" xr:uid="{00000000-0005-0000-0000-00004C550000}"/>
    <cellStyle name="Standard 10 4 3_2012-2019" xfId="13169" xr:uid="{00000000-0005-0000-0000-00004D550000}"/>
    <cellStyle name="Standard 10 4 4" xfId="9947" xr:uid="{00000000-0005-0000-0000-00004E550000}"/>
    <cellStyle name="Standard 10 4 4 2" xfId="19362" xr:uid="{00000000-0005-0000-0000-00004F550000}"/>
    <cellStyle name="Standard 10 4 4_est. MEAT" xfId="25471" xr:uid="{00000000-0005-0000-0000-000050550000}"/>
    <cellStyle name="Standard 10 4 5" xfId="9948" xr:uid="{00000000-0005-0000-0000-000051550000}"/>
    <cellStyle name="Standard 10 4 5 2" xfId="19363" xr:uid="{00000000-0005-0000-0000-000052550000}"/>
    <cellStyle name="Standard 10 4 5_est. MEAT" xfId="25472" xr:uid="{00000000-0005-0000-0000-000053550000}"/>
    <cellStyle name="Standard 10 4 6" xfId="19357" xr:uid="{00000000-0005-0000-0000-000054550000}"/>
    <cellStyle name="Standard 10 4_2012-2019" xfId="13167" xr:uid="{00000000-0005-0000-0000-000055550000}"/>
    <cellStyle name="Standard 10 5" xfId="9949" xr:uid="{00000000-0005-0000-0000-000056550000}"/>
    <cellStyle name="Standard 10 5 2" xfId="9950" xr:uid="{00000000-0005-0000-0000-000057550000}"/>
    <cellStyle name="Standard 10 5 2 2" xfId="19365" xr:uid="{00000000-0005-0000-0000-000058550000}"/>
    <cellStyle name="Standard 10 5 2_est. MEAT" xfId="25473" xr:uid="{00000000-0005-0000-0000-000059550000}"/>
    <cellStyle name="Standard 10 5 3" xfId="19364" xr:uid="{00000000-0005-0000-0000-00005A550000}"/>
    <cellStyle name="Standard 10 5_2012-2019" xfId="13170" xr:uid="{00000000-0005-0000-0000-00005B550000}"/>
    <cellStyle name="Standard 10 6" xfId="9951" xr:uid="{00000000-0005-0000-0000-00005C550000}"/>
    <cellStyle name="Standard 10 6 2" xfId="19366" xr:uid="{00000000-0005-0000-0000-00005D550000}"/>
    <cellStyle name="Standard 10 6_est. MEAT" xfId="25474" xr:uid="{00000000-0005-0000-0000-00005E550000}"/>
    <cellStyle name="Standard 10 7" xfId="9952" xr:uid="{00000000-0005-0000-0000-00005F550000}"/>
    <cellStyle name="Standard 10 7 2" xfId="19367" xr:uid="{00000000-0005-0000-0000-000060550000}"/>
    <cellStyle name="Standard 10 7_est. MEAT" xfId="25475" xr:uid="{00000000-0005-0000-0000-000061550000}"/>
    <cellStyle name="Standard 10 8" xfId="9953" xr:uid="{00000000-0005-0000-0000-000062550000}"/>
    <cellStyle name="Standard 10 8 2" xfId="19368" xr:uid="{00000000-0005-0000-0000-000063550000}"/>
    <cellStyle name="Standard 10 8_est. MEAT" xfId="25476" xr:uid="{00000000-0005-0000-0000-000064550000}"/>
    <cellStyle name="Standard 10 9" xfId="19354" xr:uid="{00000000-0005-0000-0000-000065550000}"/>
    <cellStyle name="Standard 10_2012-2019" xfId="13166" xr:uid="{00000000-0005-0000-0000-000066550000}"/>
    <cellStyle name="Standard 100" xfId="9954" xr:uid="{00000000-0005-0000-0000-000067550000}"/>
    <cellStyle name="Standard 100 2" xfId="19369" xr:uid="{00000000-0005-0000-0000-000068550000}"/>
    <cellStyle name="Standard 100_est. MEAT" xfId="25477" xr:uid="{00000000-0005-0000-0000-000069550000}"/>
    <cellStyle name="Standard 101" xfId="9955" xr:uid="{00000000-0005-0000-0000-00006A550000}"/>
    <cellStyle name="Standard 101 2" xfId="19370" xr:uid="{00000000-0005-0000-0000-00006B550000}"/>
    <cellStyle name="Standard 101_est. MEAT" xfId="25478" xr:uid="{00000000-0005-0000-0000-00006C550000}"/>
    <cellStyle name="Standard 102" xfId="9956" xr:uid="{00000000-0005-0000-0000-00006D550000}"/>
    <cellStyle name="Standard 102 2" xfId="19371" xr:uid="{00000000-0005-0000-0000-00006E550000}"/>
    <cellStyle name="Standard 102_est. MEAT" xfId="25479" xr:uid="{00000000-0005-0000-0000-00006F550000}"/>
    <cellStyle name="Standard 103" xfId="9957" xr:uid="{00000000-0005-0000-0000-000070550000}"/>
    <cellStyle name="Standard 103 2" xfId="19372" xr:uid="{00000000-0005-0000-0000-000071550000}"/>
    <cellStyle name="Standard 103_est. MEAT" xfId="25480" xr:uid="{00000000-0005-0000-0000-000072550000}"/>
    <cellStyle name="Standard 104" xfId="9958" xr:uid="{00000000-0005-0000-0000-000073550000}"/>
    <cellStyle name="Standard 104 2" xfId="19373" xr:uid="{00000000-0005-0000-0000-000074550000}"/>
    <cellStyle name="Standard 104_est. MEAT" xfId="25481" xr:uid="{00000000-0005-0000-0000-000075550000}"/>
    <cellStyle name="Standard 105" xfId="9959" xr:uid="{00000000-0005-0000-0000-000076550000}"/>
    <cellStyle name="Standard 105 2" xfId="19374" xr:uid="{00000000-0005-0000-0000-000077550000}"/>
    <cellStyle name="Standard 105_est. MEAT" xfId="25482" xr:uid="{00000000-0005-0000-0000-000078550000}"/>
    <cellStyle name="Standard 106" xfId="9960" xr:uid="{00000000-0005-0000-0000-000079550000}"/>
    <cellStyle name="Standard 106 2" xfId="19375" xr:uid="{00000000-0005-0000-0000-00007A550000}"/>
    <cellStyle name="Standard 106_est. MEAT" xfId="25483" xr:uid="{00000000-0005-0000-0000-00007B550000}"/>
    <cellStyle name="Standard 107" xfId="9961" xr:uid="{00000000-0005-0000-0000-00007C550000}"/>
    <cellStyle name="Standard 107 2" xfId="19376" xr:uid="{00000000-0005-0000-0000-00007D550000}"/>
    <cellStyle name="Standard 107_est. MEAT" xfId="25484" xr:uid="{00000000-0005-0000-0000-00007E550000}"/>
    <cellStyle name="Standard 108" xfId="9962" xr:uid="{00000000-0005-0000-0000-00007F550000}"/>
    <cellStyle name="Standard 108 2" xfId="19377" xr:uid="{00000000-0005-0000-0000-000080550000}"/>
    <cellStyle name="Standard 108_est. MEAT" xfId="25485" xr:uid="{00000000-0005-0000-0000-000081550000}"/>
    <cellStyle name="Standard 109" xfId="9963" xr:uid="{00000000-0005-0000-0000-000082550000}"/>
    <cellStyle name="Standard 109 2" xfId="19378" xr:uid="{00000000-0005-0000-0000-000083550000}"/>
    <cellStyle name="Standard 109_est. MEAT" xfId="25486" xr:uid="{00000000-0005-0000-0000-000084550000}"/>
    <cellStyle name="Standard 11" xfId="9964" xr:uid="{00000000-0005-0000-0000-000085550000}"/>
    <cellStyle name="Standard 11 2" xfId="9965" xr:uid="{00000000-0005-0000-0000-000086550000}"/>
    <cellStyle name="Standard 11 2 2" xfId="9966" xr:uid="{00000000-0005-0000-0000-000087550000}"/>
    <cellStyle name="Standard 11 2 2 2" xfId="19381" xr:uid="{00000000-0005-0000-0000-000088550000}"/>
    <cellStyle name="Standard 11 2 2_est. MEAT" xfId="25487" xr:uid="{00000000-0005-0000-0000-000089550000}"/>
    <cellStyle name="Standard 11 2 3" xfId="19380" xr:uid="{00000000-0005-0000-0000-00008A550000}"/>
    <cellStyle name="Standard 11 2_2012-2019" xfId="13172" xr:uid="{00000000-0005-0000-0000-00008B550000}"/>
    <cellStyle name="Standard 11 3" xfId="9967" xr:uid="{00000000-0005-0000-0000-00008C550000}"/>
    <cellStyle name="Standard 11 3 2" xfId="19382" xr:uid="{00000000-0005-0000-0000-00008D550000}"/>
    <cellStyle name="Standard 11 3_est. MEAT" xfId="25488" xr:uid="{00000000-0005-0000-0000-00008E550000}"/>
    <cellStyle name="Standard 11 4" xfId="9968" xr:uid="{00000000-0005-0000-0000-00008F550000}"/>
    <cellStyle name="Standard 11 4 2" xfId="9969" xr:uid="{00000000-0005-0000-0000-000090550000}"/>
    <cellStyle name="Standard 11 4 2 2" xfId="19384" xr:uid="{00000000-0005-0000-0000-000091550000}"/>
    <cellStyle name="Standard 11 4 2_est. MEAT" xfId="25489" xr:uid="{00000000-0005-0000-0000-000092550000}"/>
    <cellStyle name="Standard 11 4 3" xfId="19383" xr:uid="{00000000-0005-0000-0000-000093550000}"/>
    <cellStyle name="Standard 11 4_2012-2019" xfId="13173" xr:uid="{00000000-0005-0000-0000-000094550000}"/>
    <cellStyle name="Standard 11 5" xfId="9970" xr:uid="{00000000-0005-0000-0000-000095550000}"/>
    <cellStyle name="Standard 11 5 2" xfId="19385" xr:uid="{00000000-0005-0000-0000-000096550000}"/>
    <cellStyle name="Standard 11 5_est. MEAT" xfId="25490" xr:uid="{00000000-0005-0000-0000-000097550000}"/>
    <cellStyle name="Standard 11 6" xfId="19379" xr:uid="{00000000-0005-0000-0000-000098550000}"/>
    <cellStyle name="Standard 11_2012-2019" xfId="13171" xr:uid="{00000000-0005-0000-0000-000099550000}"/>
    <cellStyle name="Standard 110" xfId="9971" xr:uid="{00000000-0005-0000-0000-00009A550000}"/>
    <cellStyle name="Standard 110 2" xfId="19386" xr:uid="{00000000-0005-0000-0000-00009B550000}"/>
    <cellStyle name="Standard 110_est. MEAT" xfId="25491" xr:uid="{00000000-0005-0000-0000-00009C550000}"/>
    <cellStyle name="Standard 111" xfId="9972" xr:uid="{00000000-0005-0000-0000-00009D550000}"/>
    <cellStyle name="Standard 111 2" xfId="19387" xr:uid="{00000000-0005-0000-0000-00009E550000}"/>
    <cellStyle name="Standard 111_est. MEAT" xfId="25492" xr:uid="{00000000-0005-0000-0000-00009F550000}"/>
    <cellStyle name="Standard 112" xfId="9973" xr:uid="{00000000-0005-0000-0000-0000A0550000}"/>
    <cellStyle name="Standard 112 2" xfId="19388" xr:uid="{00000000-0005-0000-0000-0000A1550000}"/>
    <cellStyle name="Standard 112_est. MEAT" xfId="25493" xr:uid="{00000000-0005-0000-0000-0000A2550000}"/>
    <cellStyle name="Standard 113" xfId="9974" xr:uid="{00000000-0005-0000-0000-0000A3550000}"/>
    <cellStyle name="Standard 113 2" xfId="19389" xr:uid="{00000000-0005-0000-0000-0000A4550000}"/>
    <cellStyle name="Standard 113_est. MEAT" xfId="25494" xr:uid="{00000000-0005-0000-0000-0000A5550000}"/>
    <cellStyle name="Standard 114" xfId="9975" xr:uid="{00000000-0005-0000-0000-0000A6550000}"/>
    <cellStyle name="Standard 114 2" xfId="19390" xr:uid="{00000000-0005-0000-0000-0000A7550000}"/>
    <cellStyle name="Standard 114_est. MEAT" xfId="25495" xr:uid="{00000000-0005-0000-0000-0000A8550000}"/>
    <cellStyle name="Standard 115" xfId="9976" xr:uid="{00000000-0005-0000-0000-0000A9550000}"/>
    <cellStyle name="Standard 115 2" xfId="19391" xr:uid="{00000000-0005-0000-0000-0000AA550000}"/>
    <cellStyle name="Standard 115_est. MEAT" xfId="25496" xr:uid="{00000000-0005-0000-0000-0000AB550000}"/>
    <cellStyle name="Standard 116" xfId="9977" xr:uid="{00000000-0005-0000-0000-0000AC550000}"/>
    <cellStyle name="Standard 116 2" xfId="19392" xr:uid="{00000000-0005-0000-0000-0000AD550000}"/>
    <cellStyle name="Standard 116_est. MEAT" xfId="25497" xr:uid="{00000000-0005-0000-0000-0000AE550000}"/>
    <cellStyle name="Standard 117" xfId="9978" xr:uid="{00000000-0005-0000-0000-0000AF550000}"/>
    <cellStyle name="Standard 117 2" xfId="19393" xr:uid="{00000000-0005-0000-0000-0000B0550000}"/>
    <cellStyle name="Standard 117_est. MEAT" xfId="25498" xr:uid="{00000000-0005-0000-0000-0000B1550000}"/>
    <cellStyle name="Standard 118" xfId="9979" xr:uid="{00000000-0005-0000-0000-0000B2550000}"/>
    <cellStyle name="Standard 118 2" xfId="19394" xr:uid="{00000000-0005-0000-0000-0000B3550000}"/>
    <cellStyle name="Standard 118_est. MEAT" xfId="25499" xr:uid="{00000000-0005-0000-0000-0000B4550000}"/>
    <cellStyle name="Standard 119" xfId="9980" xr:uid="{00000000-0005-0000-0000-0000B5550000}"/>
    <cellStyle name="Standard 119 2" xfId="19395" xr:uid="{00000000-0005-0000-0000-0000B6550000}"/>
    <cellStyle name="Standard 119_est. MEAT" xfId="25500" xr:uid="{00000000-0005-0000-0000-0000B7550000}"/>
    <cellStyle name="Standard 12" xfId="9981" xr:uid="{00000000-0005-0000-0000-0000B8550000}"/>
    <cellStyle name="Standard 12 2" xfId="9982" xr:uid="{00000000-0005-0000-0000-0000B9550000}"/>
    <cellStyle name="Standard 12 2 2" xfId="19397" xr:uid="{00000000-0005-0000-0000-0000BA550000}"/>
    <cellStyle name="Standard 12 2_est. MEAT" xfId="25501" xr:uid="{00000000-0005-0000-0000-0000BB550000}"/>
    <cellStyle name="Standard 12 3" xfId="9983" xr:uid="{00000000-0005-0000-0000-0000BC550000}"/>
    <cellStyle name="Standard 12 3 2" xfId="19398" xr:uid="{00000000-0005-0000-0000-0000BD550000}"/>
    <cellStyle name="Standard 12 3_est. MEAT" xfId="25502" xr:uid="{00000000-0005-0000-0000-0000BE550000}"/>
    <cellStyle name="Standard 12 4" xfId="9984" xr:uid="{00000000-0005-0000-0000-0000BF550000}"/>
    <cellStyle name="Standard 12 4 2" xfId="9985" xr:uid="{00000000-0005-0000-0000-0000C0550000}"/>
    <cellStyle name="Standard 12 4 2 2" xfId="9986" xr:uid="{00000000-0005-0000-0000-0000C1550000}"/>
    <cellStyle name="Standard 12 4 2 2 2" xfId="19401" xr:uid="{00000000-0005-0000-0000-0000C2550000}"/>
    <cellStyle name="Standard 12 4 2 2_est. MEAT" xfId="25503" xr:uid="{00000000-0005-0000-0000-0000C3550000}"/>
    <cellStyle name="Standard 12 4 2 3" xfId="19400" xr:uid="{00000000-0005-0000-0000-0000C4550000}"/>
    <cellStyle name="Standard 12 4 2_2012-2019" xfId="13176" xr:uid="{00000000-0005-0000-0000-0000C5550000}"/>
    <cellStyle name="Standard 12 4 3" xfId="9987" xr:uid="{00000000-0005-0000-0000-0000C6550000}"/>
    <cellStyle name="Standard 12 4 3 2" xfId="19402" xr:uid="{00000000-0005-0000-0000-0000C7550000}"/>
    <cellStyle name="Standard 12 4 3_est. MEAT" xfId="25504" xr:uid="{00000000-0005-0000-0000-0000C8550000}"/>
    <cellStyle name="Standard 12 4 4" xfId="19399" xr:uid="{00000000-0005-0000-0000-0000C9550000}"/>
    <cellStyle name="Standard 12 4_2012-2019" xfId="13175" xr:uid="{00000000-0005-0000-0000-0000CA550000}"/>
    <cellStyle name="Standard 12 5" xfId="9988" xr:uid="{00000000-0005-0000-0000-0000CB550000}"/>
    <cellStyle name="Standard 12 5 2" xfId="19403" xr:uid="{00000000-0005-0000-0000-0000CC550000}"/>
    <cellStyle name="Standard 12 5_est. MEAT" xfId="25505" xr:uid="{00000000-0005-0000-0000-0000CD550000}"/>
    <cellStyle name="Standard 12 6" xfId="9989" xr:uid="{00000000-0005-0000-0000-0000CE550000}"/>
    <cellStyle name="Standard 12 6 2" xfId="19404" xr:uid="{00000000-0005-0000-0000-0000CF550000}"/>
    <cellStyle name="Standard 12 6_est. MEAT" xfId="25506" xr:uid="{00000000-0005-0000-0000-0000D0550000}"/>
    <cellStyle name="Standard 12 7" xfId="19396" xr:uid="{00000000-0005-0000-0000-0000D1550000}"/>
    <cellStyle name="Standard 12_2012-2019" xfId="13174" xr:uid="{00000000-0005-0000-0000-0000D2550000}"/>
    <cellStyle name="Standard 120" xfId="9990" xr:uid="{00000000-0005-0000-0000-0000D3550000}"/>
    <cellStyle name="Standard 120 2" xfId="19405" xr:uid="{00000000-0005-0000-0000-0000D4550000}"/>
    <cellStyle name="Standard 120_est. MEAT" xfId="25507" xr:uid="{00000000-0005-0000-0000-0000D5550000}"/>
    <cellStyle name="Standard 121" xfId="9991" xr:uid="{00000000-0005-0000-0000-0000D6550000}"/>
    <cellStyle name="Standard 121 2" xfId="19406" xr:uid="{00000000-0005-0000-0000-0000D7550000}"/>
    <cellStyle name="Standard 121_est. MEAT" xfId="25508" xr:uid="{00000000-0005-0000-0000-0000D8550000}"/>
    <cellStyle name="Standard 122" xfId="9992" xr:uid="{00000000-0005-0000-0000-0000D9550000}"/>
    <cellStyle name="Standard 122 2" xfId="19407" xr:uid="{00000000-0005-0000-0000-0000DA550000}"/>
    <cellStyle name="Standard 122_est. MEAT" xfId="25509" xr:uid="{00000000-0005-0000-0000-0000DB550000}"/>
    <cellStyle name="Standard 123" xfId="9993" xr:uid="{00000000-0005-0000-0000-0000DC550000}"/>
    <cellStyle name="Standard 123 2" xfId="19408" xr:uid="{00000000-0005-0000-0000-0000DD550000}"/>
    <cellStyle name="Standard 123_est. MEAT" xfId="25510" xr:uid="{00000000-0005-0000-0000-0000DE550000}"/>
    <cellStyle name="Standard 124" xfId="9994" xr:uid="{00000000-0005-0000-0000-0000DF550000}"/>
    <cellStyle name="Standard 124 2" xfId="19409" xr:uid="{00000000-0005-0000-0000-0000E0550000}"/>
    <cellStyle name="Standard 124_est. MEAT" xfId="25511" xr:uid="{00000000-0005-0000-0000-0000E1550000}"/>
    <cellStyle name="Standard 125" xfId="9995" xr:uid="{00000000-0005-0000-0000-0000E2550000}"/>
    <cellStyle name="Standard 125 2" xfId="19410" xr:uid="{00000000-0005-0000-0000-0000E3550000}"/>
    <cellStyle name="Standard 125_est. MEAT" xfId="25512" xr:uid="{00000000-0005-0000-0000-0000E4550000}"/>
    <cellStyle name="Standard 126" xfId="9996" xr:uid="{00000000-0005-0000-0000-0000E5550000}"/>
    <cellStyle name="Standard 126 2" xfId="19411" xr:uid="{00000000-0005-0000-0000-0000E6550000}"/>
    <cellStyle name="Standard 126_est. MEAT" xfId="25513" xr:uid="{00000000-0005-0000-0000-0000E7550000}"/>
    <cellStyle name="Standard 127" xfId="9997" xr:uid="{00000000-0005-0000-0000-0000E8550000}"/>
    <cellStyle name="Standard 127 2" xfId="19412" xr:uid="{00000000-0005-0000-0000-0000E9550000}"/>
    <cellStyle name="Standard 127_est. MEAT" xfId="25514" xr:uid="{00000000-0005-0000-0000-0000EA550000}"/>
    <cellStyle name="Standard 128" xfId="9998" xr:uid="{00000000-0005-0000-0000-0000EB550000}"/>
    <cellStyle name="Standard 128 2" xfId="19413" xr:uid="{00000000-0005-0000-0000-0000EC550000}"/>
    <cellStyle name="Standard 128_est. MEAT" xfId="25515" xr:uid="{00000000-0005-0000-0000-0000ED550000}"/>
    <cellStyle name="Standard 129" xfId="9999" xr:uid="{00000000-0005-0000-0000-0000EE550000}"/>
    <cellStyle name="Standard 129 2" xfId="19414" xr:uid="{00000000-0005-0000-0000-0000EF550000}"/>
    <cellStyle name="Standard 129_est. MEAT" xfId="25516" xr:uid="{00000000-0005-0000-0000-0000F0550000}"/>
    <cellStyle name="Standard 13" xfId="10000" xr:uid="{00000000-0005-0000-0000-0000F1550000}"/>
    <cellStyle name="Standard 13 2" xfId="10001" xr:uid="{00000000-0005-0000-0000-0000F2550000}"/>
    <cellStyle name="Standard 13 2 2" xfId="19416" xr:uid="{00000000-0005-0000-0000-0000F3550000}"/>
    <cellStyle name="Standard 13 2_est. MEAT" xfId="25517" xr:uid="{00000000-0005-0000-0000-0000F4550000}"/>
    <cellStyle name="Standard 13 3" xfId="10002" xr:uid="{00000000-0005-0000-0000-0000F5550000}"/>
    <cellStyle name="Standard 13 3 2" xfId="19417" xr:uid="{00000000-0005-0000-0000-0000F6550000}"/>
    <cellStyle name="Standard 13 3_est. MEAT" xfId="25518" xr:uid="{00000000-0005-0000-0000-0000F7550000}"/>
    <cellStyle name="Standard 13 4" xfId="10003" xr:uid="{00000000-0005-0000-0000-0000F8550000}"/>
    <cellStyle name="Standard 13 4 2" xfId="10004" xr:uid="{00000000-0005-0000-0000-0000F9550000}"/>
    <cellStyle name="Standard 13 4 2 2" xfId="10005" xr:uid="{00000000-0005-0000-0000-0000FA550000}"/>
    <cellStyle name="Standard 13 4 2 2 2" xfId="19420" xr:uid="{00000000-0005-0000-0000-0000FB550000}"/>
    <cellStyle name="Standard 13 4 2 2_est. MEAT" xfId="25519" xr:uid="{00000000-0005-0000-0000-0000FC550000}"/>
    <cellStyle name="Standard 13 4 2 3" xfId="19419" xr:uid="{00000000-0005-0000-0000-0000FD550000}"/>
    <cellStyle name="Standard 13 4 2_2012-2019" xfId="13179" xr:uid="{00000000-0005-0000-0000-0000FE550000}"/>
    <cellStyle name="Standard 13 4 3" xfId="10006" xr:uid="{00000000-0005-0000-0000-0000FF550000}"/>
    <cellStyle name="Standard 13 4 3 2" xfId="19421" xr:uid="{00000000-0005-0000-0000-000000560000}"/>
    <cellStyle name="Standard 13 4 3_est. MEAT" xfId="25520" xr:uid="{00000000-0005-0000-0000-000001560000}"/>
    <cellStyle name="Standard 13 4 4" xfId="19418" xr:uid="{00000000-0005-0000-0000-000002560000}"/>
    <cellStyle name="Standard 13 4_2012-2019" xfId="13178" xr:uid="{00000000-0005-0000-0000-000003560000}"/>
    <cellStyle name="Standard 13 5" xfId="10007" xr:uid="{00000000-0005-0000-0000-000004560000}"/>
    <cellStyle name="Standard 13 5 2" xfId="19422" xr:uid="{00000000-0005-0000-0000-000005560000}"/>
    <cellStyle name="Standard 13 5_est. MEAT" xfId="25521" xr:uid="{00000000-0005-0000-0000-000006560000}"/>
    <cellStyle name="Standard 13 6" xfId="10008" xr:uid="{00000000-0005-0000-0000-000007560000}"/>
    <cellStyle name="Standard 13 6 2" xfId="19423" xr:uid="{00000000-0005-0000-0000-000008560000}"/>
    <cellStyle name="Standard 13 6_est. MEAT" xfId="25522" xr:uid="{00000000-0005-0000-0000-000009560000}"/>
    <cellStyle name="Standard 13 7" xfId="19415" xr:uid="{00000000-0005-0000-0000-00000A560000}"/>
    <cellStyle name="Standard 13_2012-2019" xfId="13177" xr:uid="{00000000-0005-0000-0000-00000B560000}"/>
    <cellStyle name="Standard 131 2" xfId="10009" xr:uid="{00000000-0005-0000-0000-00000C560000}"/>
    <cellStyle name="Standard 131 2 2" xfId="19424" xr:uid="{00000000-0005-0000-0000-00000D560000}"/>
    <cellStyle name="Standard 131 2_est. MEAT" xfId="25523" xr:uid="{00000000-0005-0000-0000-00000E560000}"/>
    <cellStyle name="Standard 132" xfId="10010" xr:uid="{00000000-0005-0000-0000-00000F560000}"/>
    <cellStyle name="Standard 132 2" xfId="19425" xr:uid="{00000000-0005-0000-0000-000010560000}"/>
    <cellStyle name="Standard 132_est. MEAT" xfId="25524" xr:uid="{00000000-0005-0000-0000-000011560000}"/>
    <cellStyle name="Standard 14" xfId="10011" xr:uid="{00000000-0005-0000-0000-000012560000}"/>
    <cellStyle name="Standard 14 2" xfId="10012" xr:uid="{00000000-0005-0000-0000-000013560000}"/>
    <cellStyle name="Standard 14 2 2" xfId="19427" xr:uid="{00000000-0005-0000-0000-000014560000}"/>
    <cellStyle name="Standard 14 2_est. MEAT" xfId="25525" xr:uid="{00000000-0005-0000-0000-000015560000}"/>
    <cellStyle name="Standard 14 3" xfId="19426" xr:uid="{00000000-0005-0000-0000-000016560000}"/>
    <cellStyle name="Standard 14_2012-2019" xfId="13180" xr:uid="{00000000-0005-0000-0000-000017560000}"/>
    <cellStyle name="Standard 15" xfId="10013" xr:uid="{00000000-0005-0000-0000-000018560000}"/>
    <cellStyle name="Standard 15 2" xfId="10014" xr:uid="{00000000-0005-0000-0000-000019560000}"/>
    <cellStyle name="Standard 15 2 2" xfId="19429" xr:uid="{00000000-0005-0000-0000-00001A560000}"/>
    <cellStyle name="Standard 15 2_est. MEAT" xfId="25526" xr:uid="{00000000-0005-0000-0000-00001B560000}"/>
    <cellStyle name="Standard 15 3" xfId="10015" xr:uid="{00000000-0005-0000-0000-00001C560000}"/>
    <cellStyle name="Standard 15 3 2" xfId="10016" xr:uid="{00000000-0005-0000-0000-00001D560000}"/>
    <cellStyle name="Standard 15 3 2 2" xfId="19431" xr:uid="{00000000-0005-0000-0000-00001E560000}"/>
    <cellStyle name="Standard 15 3 2_est. MEAT" xfId="25527" xr:uid="{00000000-0005-0000-0000-00001F560000}"/>
    <cellStyle name="Standard 15 3 3" xfId="19430" xr:uid="{00000000-0005-0000-0000-000020560000}"/>
    <cellStyle name="Standard 15 3_2012-2019" xfId="13182" xr:uid="{00000000-0005-0000-0000-000021560000}"/>
    <cellStyle name="Standard 15 4" xfId="10017" xr:uid="{00000000-0005-0000-0000-000022560000}"/>
    <cellStyle name="Standard 15 4 2" xfId="19432" xr:uid="{00000000-0005-0000-0000-000023560000}"/>
    <cellStyle name="Standard 15 4_est. MEAT" xfId="25528" xr:uid="{00000000-0005-0000-0000-000024560000}"/>
    <cellStyle name="Standard 15 5" xfId="19428" xr:uid="{00000000-0005-0000-0000-000025560000}"/>
    <cellStyle name="Standard 15_2012-2019" xfId="13181" xr:uid="{00000000-0005-0000-0000-000026560000}"/>
    <cellStyle name="Standard 16" xfId="10018" xr:uid="{00000000-0005-0000-0000-000027560000}"/>
    <cellStyle name="Standard 16 2" xfId="10019" xr:uid="{00000000-0005-0000-0000-000028560000}"/>
    <cellStyle name="Standard 16 2 2" xfId="10020" xr:uid="{00000000-0005-0000-0000-000029560000}"/>
    <cellStyle name="Standard 16 2 2 2" xfId="19435" xr:uid="{00000000-0005-0000-0000-00002A560000}"/>
    <cellStyle name="Standard 16 2 2_est. MEAT" xfId="25529" xr:uid="{00000000-0005-0000-0000-00002B560000}"/>
    <cellStyle name="Standard 16 2 3" xfId="19434" xr:uid="{00000000-0005-0000-0000-00002C560000}"/>
    <cellStyle name="Standard 16 2_2012-2019" xfId="13184" xr:uid="{00000000-0005-0000-0000-00002D560000}"/>
    <cellStyle name="Standard 16 3" xfId="10021" xr:uid="{00000000-0005-0000-0000-00002E560000}"/>
    <cellStyle name="Standard 16 3 2" xfId="19436" xr:uid="{00000000-0005-0000-0000-00002F560000}"/>
    <cellStyle name="Standard 16 3_est. MEAT" xfId="25530" xr:uid="{00000000-0005-0000-0000-000030560000}"/>
    <cellStyle name="Standard 16 4" xfId="19433" xr:uid="{00000000-0005-0000-0000-000031560000}"/>
    <cellStyle name="Standard 16_2012-2019" xfId="13183" xr:uid="{00000000-0005-0000-0000-000032560000}"/>
    <cellStyle name="Standard 17" xfId="10022" xr:uid="{00000000-0005-0000-0000-000033560000}"/>
    <cellStyle name="Standard 17 2" xfId="10023" xr:uid="{00000000-0005-0000-0000-000034560000}"/>
    <cellStyle name="Standard 17 2 2" xfId="10024" xr:uid="{00000000-0005-0000-0000-000035560000}"/>
    <cellStyle name="Standard 17 2 2 2" xfId="19439" xr:uid="{00000000-0005-0000-0000-000036560000}"/>
    <cellStyle name="Standard 17 2 2_est. MEAT" xfId="25531" xr:uid="{00000000-0005-0000-0000-000037560000}"/>
    <cellStyle name="Standard 17 2 3" xfId="19438" xr:uid="{00000000-0005-0000-0000-000038560000}"/>
    <cellStyle name="Standard 17 2_2012-2019" xfId="13186" xr:uid="{00000000-0005-0000-0000-000039560000}"/>
    <cellStyle name="Standard 17 3" xfId="10025" xr:uid="{00000000-0005-0000-0000-00003A560000}"/>
    <cellStyle name="Standard 17 3 2" xfId="19440" xr:uid="{00000000-0005-0000-0000-00003B560000}"/>
    <cellStyle name="Standard 17 3_est. MEAT" xfId="25532" xr:uid="{00000000-0005-0000-0000-00003C560000}"/>
    <cellStyle name="Standard 17 4" xfId="19437" xr:uid="{00000000-0005-0000-0000-00003D560000}"/>
    <cellStyle name="Standard 17_2012-2019" xfId="13185" xr:uid="{00000000-0005-0000-0000-00003E560000}"/>
    <cellStyle name="Standard 18" xfId="10026" xr:uid="{00000000-0005-0000-0000-00003F560000}"/>
    <cellStyle name="Standard 18 2" xfId="10027" xr:uid="{00000000-0005-0000-0000-000040560000}"/>
    <cellStyle name="Standard 18 2 2" xfId="10028" xr:uid="{00000000-0005-0000-0000-000041560000}"/>
    <cellStyle name="Standard 18 2 2 2" xfId="19443" xr:uid="{00000000-0005-0000-0000-000042560000}"/>
    <cellStyle name="Standard 18 2 2_est. MEAT" xfId="25533" xr:uid="{00000000-0005-0000-0000-000043560000}"/>
    <cellStyle name="Standard 18 2 3" xfId="19442" xr:uid="{00000000-0005-0000-0000-000044560000}"/>
    <cellStyle name="Standard 18 2_2012-2019" xfId="13188" xr:uid="{00000000-0005-0000-0000-000045560000}"/>
    <cellStyle name="Standard 18 3" xfId="10029" xr:uid="{00000000-0005-0000-0000-000046560000}"/>
    <cellStyle name="Standard 18 3 2" xfId="19444" xr:uid="{00000000-0005-0000-0000-000047560000}"/>
    <cellStyle name="Standard 18 3_est. MEAT" xfId="25534" xr:uid="{00000000-0005-0000-0000-000048560000}"/>
    <cellStyle name="Standard 18 4" xfId="19441" xr:uid="{00000000-0005-0000-0000-000049560000}"/>
    <cellStyle name="Standard 18_2012-2019" xfId="13187" xr:uid="{00000000-0005-0000-0000-00004A560000}"/>
    <cellStyle name="Standard 19" xfId="10030" xr:uid="{00000000-0005-0000-0000-00004B560000}"/>
    <cellStyle name="Standard 19 2" xfId="10031" xr:uid="{00000000-0005-0000-0000-00004C560000}"/>
    <cellStyle name="Standard 19 2 2" xfId="10032" xr:uid="{00000000-0005-0000-0000-00004D560000}"/>
    <cellStyle name="Standard 19 2 2 2" xfId="19447" xr:uid="{00000000-0005-0000-0000-00004E560000}"/>
    <cellStyle name="Standard 19 2 2_est. MEAT" xfId="25535" xr:uid="{00000000-0005-0000-0000-00004F560000}"/>
    <cellStyle name="Standard 19 2 3" xfId="19446" xr:uid="{00000000-0005-0000-0000-000050560000}"/>
    <cellStyle name="Standard 19 2_2012-2019" xfId="13190" xr:uid="{00000000-0005-0000-0000-000051560000}"/>
    <cellStyle name="Standard 19 3" xfId="10033" xr:uid="{00000000-0005-0000-0000-000052560000}"/>
    <cellStyle name="Standard 19 3 2" xfId="19448" xr:uid="{00000000-0005-0000-0000-000053560000}"/>
    <cellStyle name="Standard 19 3_est. MEAT" xfId="25536" xr:uid="{00000000-0005-0000-0000-000054560000}"/>
    <cellStyle name="Standard 19 4" xfId="19445" xr:uid="{00000000-0005-0000-0000-000055560000}"/>
    <cellStyle name="Standard 19_2012-2019" xfId="13189" xr:uid="{00000000-0005-0000-0000-000056560000}"/>
    <cellStyle name="Standard 2" xfId="10034" xr:uid="{00000000-0005-0000-0000-000057560000}"/>
    <cellStyle name="Standard 2 2" xfId="10035" xr:uid="{00000000-0005-0000-0000-000058560000}"/>
    <cellStyle name="Standard 2 2 2" xfId="10036" xr:uid="{00000000-0005-0000-0000-000059560000}"/>
    <cellStyle name="Standard 2 2 2 2" xfId="10037" xr:uid="{00000000-0005-0000-0000-00005A560000}"/>
    <cellStyle name="Standard 2 2 2 2 2" xfId="19452" xr:uid="{00000000-0005-0000-0000-00005B560000}"/>
    <cellStyle name="Standard 2 2 2 2_est. MEAT" xfId="25537" xr:uid="{00000000-0005-0000-0000-00005C560000}"/>
    <cellStyle name="Standard 2 2 2 3" xfId="19451" xr:uid="{00000000-0005-0000-0000-00005D560000}"/>
    <cellStyle name="Standard 2 2 2_2012-2019" xfId="13193" xr:uid="{00000000-0005-0000-0000-00005E560000}"/>
    <cellStyle name="Standard 2 2 3" xfId="10038" xr:uid="{00000000-0005-0000-0000-00005F560000}"/>
    <cellStyle name="Standard 2 2 3 2" xfId="19453" xr:uid="{00000000-0005-0000-0000-000060560000}"/>
    <cellStyle name="Standard 2 2 3_est. MEAT" xfId="25538" xr:uid="{00000000-0005-0000-0000-000061560000}"/>
    <cellStyle name="Standard 2 2 4" xfId="19450" xr:uid="{00000000-0005-0000-0000-000062560000}"/>
    <cellStyle name="Standard 2 2_2012-2019" xfId="13192" xr:uid="{00000000-0005-0000-0000-000063560000}"/>
    <cellStyle name="Standard 2 3" xfId="10039" xr:uid="{00000000-0005-0000-0000-000064560000}"/>
    <cellStyle name="Standard 2 3 2" xfId="10040" xr:uid="{00000000-0005-0000-0000-000065560000}"/>
    <cellStyle name="Standard 2 3 2 2" xfId="10041" xr:uid="{00000000-0005-0000-0000-000066560000}"/>
    <cellStyle name="Standard 2 3 2 2 2" xfId="19456" xr:uid="{00000000-0005-0000-0000-000067560000}"/>
    <cellStyle name="Standard 2 3 2 2_est. MEAT" xfId="25539" xr:uid="{00000000-0005-0000-0000-000068560000}"/>
    <cellStyle name="Standard 2 3 2 3" xfId="19455" xr:uid="{00000000-0005-0000-0000-000069560000}"/>
    <cellStyle name="Standard 2 3 2_2012-2019" xfId="13195" xr:uid="{00000000-0005-0000-0000-00006A560000}"/>
    <cellStyle name="Standard 2 3 3" xfId="10042" xr:uid="{00000000-0005-0000-0000-00006B560000}"/>
    <cellStyle name="Standard 2 3 3 2" xfId="19457" xr:uid="{00000000-0005-0000-0000-00006C560000}"/>
    <cellStyle name="Standard 2 3 3_est. MEAT" xfId="25540" xr:uid="{00000000-0005-0000-0000-00006D560000}"/>
    <cellStyle name="Standard 2 3 4" xfId="19454" xr:uid="{00000000-0005-0000-0000-00006E560000}"/>
    <cellStyle name="Standard 2 3_2012-2019" xfId="13194" xr:uid="{00000000-0005-0000-0000-00006F560000}"/>
    <cellStyle name="Standard 2 4" xfId="10043" xr:uid="{00000000-0005-0000-0000-000070560000}"/>
    <cellStyle name="Standard 2 4 2" xfId="10044" xr:uid="{00000000-0005-0000-0000-000071560000}"/>
    <cellStyle name="Standard 2 4 2 2" xfId="10045" xr:uid="{00000000-0005-0000-0000-000072560000}"/>
    <cellStyle name="Standard 2 4 2 2 2" xfId="19460" xr:uid="{00000000-0005-0000-0000-000073560000}"/>
    <cellStyle name="Standard 2 4 2 2_est. MEAT" xfId="25541" xr:uid="{00000000-0005-0000-0000-000074560000}"/>
    <cellStyle name="Standard 2 4 2 3" xfId="19459" xr:uid="{00000000-0005-0000-0000-000075560000}"/>
    <cellStyle name="Standard 2 4 2_2012-2019" xfId="13197" xr:uid="{00000000-0005-0000-0000-000076560000}"/>
    <cellStyle name="Standard 2 4 3" xfId="10046" xr:uid="{00000000-0005-0000-0000-000077560000}"/>
    <cellStyle name="Standard 2 4 3 2" xfId="19461" xr:uid="{00000000-0005-0000-0000-000078560000}"/>
    <cellStyle name="Standard 2 4 3_est. MEAT" xfId="25542" xr:uid="{00000000-0005-0000-0000-000079560000}"/>
    <cellStyle name="Standard 2 4 4" xfId="19458" xr:uid="{00000000-0005-0000-0000-00007A560000}"/>
    <cellStyle name="Standard 2 4_2012-2019" xfId="13196" xr:uid="{00000000-0005-0000-0000-00007B560000}"/>
    <cellStyle name="Standard 2 5" xfId="10047" xr:uid="{00000000-0005-0000-0000-00007C560000}"/>
    <cellStyle name="Standard 2 5 2" xfId="10048" xr:uid="{00000000-0005-0000-0000-00007D560000}"/>
    <cellStyle name="Standard 2 5 2 2" xfId="19463" xr:uid="{00000000-0005-0000-0000-00007E560000}"/>
    <cellStyle name="Standard 2 5 2_est. MEAT" xfId="25543" xr:uid="{00000000-0005-0000-0000-00007F560000}"/>
    <cellStyle name="Standard 2 5 3" xfId="19462" xr:uid="{00000000-0005-0000-0000-000080560000}"/>
    <cellStyle name="Standard 2 5_2012-2019" xfId="13198" xr:uid="{00000000-0005-0000-0000-000081560000}"/>
    <cellStyle name="Standard 2 6" xfId="10049" xr:uid="{00000000-0005-0000-0000-000082560000}"/>
    <cellStyle name="Standard 2 6 2" xfId="10050" xr:uid="{00000000-0005-0000-0000-000083560000}"/>
    <cellStyle name="Standard 2 6 2 2" xfId="10051" xr:uid="{00000000-0005-0000-0000-000084560000}"/>
    <cellStyle name="Standard 2 6 2 2 2" xfId="19466" xr:uid="{00000000-0005-0000-0000-000085560000}"/>
    <cellStyle name="Standard 2 6 2 2_est. MEAT" xfId="25544" xr:uid="{00000000-0005-0000-0000-000086560000}"/>
    <cellStyle name="Standard 2 6 2 3" xfId="19465" xr:uid="{00000000-0005-0000-0000-000087560000}"/>
    <cellStyle name="Standard 2 6 2_2012-2019" xfId="13200" xr:uid="{00000000-0005-0000-0000-000088560000}"/>
    <cellStyle name="Standard 2 6 3" xfId="10052" xr:uid="{00000000-0005-0000-0000-000089560000}"/>
    <cellStyle name="Standard 2 6 3 2" xfId="19467" xr:uid="{00000000-0005-0000-0000-00008A560000}"/>
    <cellStyle name="Standard 2 6 3_est. MEAT" xfId="25545" xr:uid="{00000000-0005-0000-0000-00008B560000}"/>
    <cellStyle name="Standard 2 6 4" xfId="19464" xr:uid="{00000000-0005-0000-0000-00008C560000}"/>
    <cellStyle name="Standard 2 6_2012-2019" xfId="13199" xr:uid="{00000000-0005-0000-0000-00008D560000}"/>
    <cellStyle name="Standard 2 7" xfId="10053" xr:uid="{00000000-0005-0000-0000-00008E560000}"/>
    <cellStyle name="Standard 2 7 2" xfId="19468" xr:uid="{00000000-0005-0000-0000-00008F560000}"/>
    <cellStyle name="Standard 2 7_est. MEAT" xfId="25546" xr:uid="{00000000-0005-0000-0000-000090560000}"/>
    <cellStyle name="Standard 2 8" xfId="10054" xr:uid="{00000000-0005-0000-0000-000091560000}"/>
    <cellStyle name="Standard 2 8 2" xfId="19469" xr:uid="{00000000-0005-0000-0000-000092560000}"/>
    <cellStyle name="Standard 2 8_est. MEAT" xfId="25547" xr:uid="{00000000-0005-0000-0000-000093560000}"/>
    <cellStyle name="Standard 2 9" xfId="19449" xr:uid="{00000000-0005-0000-0000-000094560000}"/>
    <cellStyle name="Standard 2_2012-2019" xfId="13191" xr:uid="{00000000-0005-0000-0000-000095560000}"/>
    <cellStyle name="Standard 20" xfId="10055" xr:uid="{00000000-0005-0000-0000-000096560000}"/>
    <cellStyle name="Standard 20 2" xfId="10056" xr:uid="{00000000-0005-0000-0000-000097560000}"/>
    <cellStyle name="Standard 20 2 2" xfId="10057" xr:uid="{00000000-0005-0000-0000-000098560000}"/>
    <cellStyle name="Standard 20 2 2 2" xfId="19472" xr:uid="{00000000-0005-0000-0000-000099560000}"/>
    <cellStyle name="Standard 20 2 2_est. MEAT" xfId="25548" xr:uid="{00000000-0005-0000-0000-00009A560000}"/>
    <cellStyle name="Standard 20 2 3" xfId="19471" xr:uid="{00000000-0005-0000-0000-00009B560000}"/>
    <cellStyle name="Standard 20 2_2012-2019" xfId="13202" xr:uid="{00000000-0005-0000-0000-00009C560000}"/>
    <cellStyle name="Standard 20 3" xfId="10058" xr:uid="{00000000-0005-0000-0000-00009D560000}"/>
    <cellStyle name="Standard 20 3 2" xfId="19473" xr:uid="{00000000-0005-0000-0000-00009E560000}"/>
    <cellStyle name="Standard 20 3_est. MEAT" xfId="25549" xr:uid="{00000000-0005-0000-0000-00009F560000}"/>
    <cellStyle name="Standard 20 4" xfId="19470" xr:uid="{00000000-0005-0000-0000-0000A0560000}"/>
    <cellStyle name="Standard 20_2012-2019" xfId="13201" xr:uid="{00000000-0005-0000-0000-0000A1560000}"/>
    <cellStyle name="Standard 21" xfId="10059" xr:uid="{00000000-0005-0000-0000-0000A2560000}"/>
    <cellStyle name="Standard 21 2" xfId="10060" xr:uid="{00000000-0005-0000-0000-0000A3560000}"/>
    <cellStyle name="Standard 21 2 2" xfId="10061" xr:uid="{00000000-0005-0000-0000-0000A4560000}"/>
    <cellStyle name="Standard 21 2 2 2" xfId="19476" xr:uid="{00000000-0005-0000-0000-0000A5560000}"/>
    <cellStyle name="Standard 21 2 2_est. MEAT" xfId="25550" xr:uid="{00000000-0005-0000-0000-0000A6560000}"/>
    <cellStyle name="Standard 21 2 3" xfId="19475" xr:uid="{00000000-0005-0000-0000-0000A7560000}"/>
    <cellStyle name="Standard 21 2_2012-2019" xfId="13204" xr:uid="{00000000-0005-0000-0000-0000A8560000}"/>
    <cellStyle name="Standard 21 3" xfId="10062" xr:uid="{00000000-0005-0000-0000-0000A9560000}"/>
    <cellStyle name="Standard 21 3 2" xfId="19477" xr:uid="{00000000-0005-0000-0000-0000AA560000}"/>
    <cellStyle name="Standard 21 3_est. MEAT" xfId="25551" xr:uid="{00000000-0005-0000-0000-0000AB560000}"/>
    <cellStyle name="Standard 21 4" xfId="19474" xr:uid="{00000000-0005-0000-0000-0000AC560000}"/>
    <cellStyle name="Standard 21_2012-2019" xfId="13203" xr:uid="{00000000-0005-0000-0000-0000AD560000}"/>
    <cellStyle name="Standard 22" xfId="10063" xr:uid="{00000000-0005-0000-0000-0000AE560000}"/>
    <cellStyle name="Standard 22 2" xfId="10064" xr:uid="{00000000-0005-0000-0000-0000AF560000}"/>
    <cellStyle name="Standard 22 2 2" xfId="10065" xr:uid="{00000000-0005-0000-0000-0000B0560000}"/>
    <cellStyle name="Standard 22 2 2 2" xfId="19480" xr:uid="{00000000-0005-0000-0000-0000B1560000}"/>
    <cellStyle name="Standard 22 2 2_est. MEAT" xfId="25552" xr:uid="{00000000-0005-0000-0000-0000B2560000}"/>
    <cellStyle name="Standard 22 2 3" xfId="19479" xr:uid="{00000000-0005-0000-0000-0000B3560000}"/>
    <cellStyle name="Standard 22 2_2012-2019" xfId="13206" xr:uid="{00000000-0005-0000-0000-0000B4560000}"/>
    <cellStyle name="Standard 22 3" xfId="10066" xr:uid="{00000000-0005-0000-0000-0000B5560000}"/>
    <cellStyle name="Standard 22 3 2" xfId="19481" xr:uid="{00000000-0005-0000-0000-0000B6560000}"/>
    <cellStyle name="Standard 22 3_est. MEAT" xfId="25553" xr:uid="{00000000-0005-0000-0000-0000B7560000}"/>
    <cellStyle name="Standard 22 4" xfId="19478" xr:uid="{00000000-0005-0000-0000-0000B8560000}"/>
    <cellStyle name="Standard 22_2012-2019" xfId="13205" xr:uid="{00000000-0005-0000-0000-0000B9560000}"/>
    <cellStyle name="Standard 23" xfId="10067" xr:uid="{00000000-0005-0000-0000-0000BA560000}"/>
    <cellStyle name="Standard 23 2" xfId="10068" xr:uid="{00000000-0005-0000-0000-0000BB560000}"/>
    <cellStyle name="Standard 23 2 2" xfId="10069" xr:uid="{00000000-0005-0000-0000-0000BC560000}"/>
    <cellStyle name="Standard 23 2 2 2" xfId="19484" xr:uid="{00000000-0005-0000-0000-0000BD560000}"/>
    <cellStyle name="Standard 23 2 2_est. MEAT" xfId="25554" xr:uid="{00000000-0005-0000-0000-0000BE560000}"/>
    <cellStyle name="Standard 23 2 3" xfId="19483" xr:uid="{00000000-0005-0000-0000-0000BF560000}"/>
    <cellStyle name="Standard 23 2_2012-2019" xfId="13208" xr:uid="{00000000-0005-0000-0000-0000C0560000}"/>
    <cellStyle name="Standard 23 3" xfId="10070" xr:uid="{00000000-0005-0000-0000-0000C1560000}"/>
    <cellStyle name="Standard 23 3 2" xfId="19485" xr:uid="{00000000-0005-0000-0000-0000C2560000}"/>
    <cellStyle name="Standard 23 3_est. MEAT" xfId="25555" xr:uid="{00000000-0005-0000-0000-0000C3560000}"/>
    <cellStyle name="Standard 23 4" xfId="19482" xr:uid="{00000000-0005-0000-0000-0000C4560000}"/>
    <cellStyle name="Standard 23_2012-2019" xfId="13207" xr:uid="{00000000-0005-0000-0000-0000C5560000}"/>
    <cellStyle name="Standard 24" xfId="10071" xr:uid="{00000000-0005-0000-0000-0000C6560000}"/>
    <cellStyle name="Standard 24 2" xfId="10072" xr:uid="{00000000-0005-0000-0000-0000C7560000}"/>
    <cellStyle name="Standard 24 2 2" xfId="10073" xr:uid="{00000000-0005-0000-0000-0000C8560000}"/>
    <cellStyle name="Standard 24 2 2 2" xfId="19488" xr:uid="{00000000-0005-0000-0000-0000C9560000}"/>
    <cellStyle name="Standard 24 2 2_est. MEAT" xfId="25556" xr:uid="{00000000-0005-0000-0000-0000CA560000}"/>
    <cellStyle name="Standard 24 2 3" xfId="19487" xr:uid="{00000000-0005-0000-0000-0000CB560000}"/>
    <cellStyle name="Standard 24 2_2012-2019" xfId="13210" xr:uid="{00000000-0005-0000-0000-0000CC560000}"/>
    <cellStyle name="Standard 24 3" xfId="10074" xr:uid="{00000000-0005-0000-0000-0000CD560000}"/>
    <cellStyle name="Standard 24 3 2" xfId="19489" xr:uid="{00000000-0005-0000-0000-0000CE560000}"/>
    <cellStyle name="Standard 24 3_est. MEAT" xfId="25557" xr:uid="{00000000-0005-0000-0000-0000CF560000}"/>
    <cellStyle name="Standard 24 4" xfId="19486" xr:uid="{00000000-0005-0000-0000-0000D0560000}"/>
    <cellStyle name="Standard 24_2012-2019" xfId="13209" xr:uid="{00000000-0005-0000-0000-0000D1560000}"/>
    <cellStyle name="Standard 25" xfId="10075" xr:uid="{00000000-0005-0000-0000-0000D2560000}"/>
    <cellStyle name="Standard 25 2" xfId="10076" xr:uid="{00000000-0005-0000-0000-0000D3560000}"/>
    <cellStyle name="Standard 25 2 2" xfId="10077" xr:uid="{00000000-0005-0000-0000-0000D4560000}"/>
    <cellStyle name="Standard 25 2 2 2" xfId="19492" xr:uid="{00000000-0005-0000-0000-0000D5560000}"/>
    <cellStyle name="Standard 25 2 2_est. MEAT" xfId="25558" xr:uid="{00000000-0005-0000-0000-0000D6560000}"/>
    <cellStyle name="Standard 25 2 3" xfId="19491" xr:uid="{00000000-0005-0000-0000-0000D7560000}"/>
    <cellStyle name="Standard 25 2_2012-2019" xfId="13212" xr:uid="{00000000-0005-0000-0000-0000D8560000}"/>
    <cellStyle name="Standard 25 3" xfId="10078" xr:uid="{00000000-0005-0000-0000-0000D9560000}"/>
    <cellStyle name="Standard 25 3 2" xfId="19493" xr:uid="{00000000-0005-0000-0000-0000DA560000}"/>
    <cellStyle name="Standard 25 3_est. MEAT" xfId="25559" xr:uid="{00000000-0005-0000-0000-0000DB560000}"/>
    <cellStyle name="Standard 25 4" xfId="19490" xr:uid="{00000000-0005-0000-0000-0000DC560000}"/>
    <cellStyle name="Standard 25_2012-2019" xfId="13211" xr:uid="{00000000-0005-0000-0000-0000DD560000}"/>
    <cellStyle name="Standard 26" xfId="10079" xr:uid="{00000000-0005-0000-0000-0000DE560000}"/>
    <cellStyle name="Standard 26 2" xfId="10080" xr:uid="{00000000-0005-0000-0000-0000DF560000}"/>
    <cellStyle name="Standard 26 2 2" xfId="10081" xr:uid="{00000000-0005-0000-0000-0000E0560000}"/>
    <cellStyle name="Standard 26 2 2 2" xfId="19496" xr:uid="{00000000-0005-0000-0000-0000E1560000}"/>
    <cellStyle name="Standard 26 2 2_est. MEAT" xfId="25560" xr:uid="{00000000-0005-0000-0000-0000E2560000}"/>
    <cellStyle name="Standard 26 2 3" xfId="19495" xr:uid="{00000000-0005-0000-0000-0000E3560000}"/>
    <cellStyle name="Standard 26 2_2012-2019" xfId="13214" xr:uid="{00000000-0005-0000-0000-0000E4560000}"/>
    <cellStyle name="Standard 26 3" xfId="10082" xr:uid="{00000000-0005-0000-0000-0000E5560000}"/>
    <cellStyle name="Standard 26 3 2" xfId="19497" xr:uid="{00000000-0005-0000-0000-0000E6560000}"/>
    <cellStyle name="Standard 26 3_est. MEAT" xfId="25561" xr:uid="{00000000-0005-0000-0000-0000E7560000}"/>
    <cellStyle name="Standard 26 4" xfId="19494" xr:uid="{00000000-0005-0000-0000-0000E8560000}"/>
    <cellStyle name="Standard 26_2012-2019" xfId="13213" xr:uid="{00000000-0005-0000-0000-0000E9560000}"/>
    <cellStyle name="Standard 27" xfId="10083" xr:uid="{00000000-0005-0000-0000-0000EA560000}"/>
    <cellStyle name="Standard 27 2" xfId="10084" xr:uid="{00000000-0005-0000-0000-0000EB560000}"/>
    <cellStyle name="Standard 27 2 2" xfId="10085" xr:uid="{00000000-0005-0000-0000-0000EC560000}"/>
    <cellStyle name="Standard 27 2 2 2" xfId="19500" xr:uid="{00000000-0005-0000-0000-0000ED560000}"/>
    <cellStyle name="Standard 27 2 2_est. MEAT" xfId="25562" xr:uid="{00000000-0005-0000-0000-0000EE560000}"/>
    <cellStyle name="Standard 27 2 3" xfId="19499" xr:uid="{00000000-0005-0000-0000-0000EF560000}"/>
    <cellStyle name="Standard 27 2_2012-2019" xfId="13216" xr:uid="{00000000-0005-0000-0000-0000F0560000}"/>
    <cellStyle name="Standard 27 3" xfId="10086" xr:uid="{00000000-0005-0000-0000-0000F1560000}"/>
    <cellStyle name="Standard 27 3 2" xfId="19501" xr:uid="{00000000-0005-0000-0000-0000F2560000}"/>
    <cellStyle name="Standard 27 3_est. MEAT" xfId="25563" xr:uid="{00000000-0005-0000-0000-0000F3560000}"/>
    <cellStyle name="Standard 27 4" xfId="19498" xr:uid="{00000000-0005-0000-0000-0000F4560000}"/>
    <cellStyle name="Standard 27_2012-2019" xfId="13215" xr:uid="{00000000-0005-0000-0000-0000F5560000}"/>
    <cellStyle name="Standard 28" xfId="10087" xr:uid="{00000000-0005-0000-0000-0000F6560000}"/>
    <cellStyle name="Standard 28 2" xfId="10088" xr:uid="{00000000-0005-0000-0000-0000F7560000}"/>
    <cellStyle name="Standard 28 2 2" xfId="10089" xr:uid="{00000000-0005-0000-0000-0000F8560000}"/>
    <cellStyle name="Standard 28 2 2 2" xfId="19504" xr:uid="{00000000-0005-0000-0000-0000F9560000}"/>
    <cellStyle name="Standard 28 2 2_est. MEAT" xfId="25564" xr:uid="{00000000-0005-0000-0000-0000FA560000}"/>
    <cellStyle name="Standard 28 2 3" xfId="19503" xr:uid="{00000000-0005-0000-0000-0000FB560000}"/>
    <cellStyle name="Standard 28 2_2012-2019" xfId="13218" xr:uid="{00000000-0005-0000-0000-0000FC560000}"/>
    <cellStyle name="Standard 28 3" xfId="10090" xr:uid="{00000000-0005-0000-0000-0000FD560000}"/>
    <cellStyle name="Standard 28 3 2" xfId="19505" xr:uid="{00000000-0005-0000-0000-0000FE560000}"/>
    <cellStyle name="Standard 28 3_est. MEAT" xfId="25565" xr:uid="{00000000-0005-0000-0000-0000FF560000}"/>
    <cellStyle name="Standard 28 4" xfId="19502" xr:uid="{00000000-0005-0000-0000-000000570000}"/>
    <cellStyle name="Standard 28_2012-2019" xfId="13217" xr:uid="{00000000-0005-0000-0000-000001570000}"/>
    <cellStyle name="Standard 29" xfId="10091" xr:uid="{00000000-0005-0000-0000-000002570000}"/>
    <cellStyle name="Standard 29 2" xfId="10092" xr:uid="{00000000-0005-0000-0000-000003570000}"/>
    <cellStyle name="Standard 29 2 2" xfId="10093" xr:uid="{00000000-0005-0000-0000-000004570000}"/>
    <cellStyle name="Standard 29 2 2 2" xfId="19508" xr:uid="{00000000-0005-0000-0000-000005570000}"/>
    <cellStyle name="Standard 29 2 2_est. MEAT" xfId="25566" xr:uid="{00000000-0005-0000-0000-000006570000}"/>
    <cellStyle name="Standard 29 2 3" xfId="19507" xr:uid="{00000000-0005-0000-0000-000007570000}"/>
    <cellStyle name="Standard 29 2_2012-2019" xfId="13220" xr:uid="{00000000-0005-0000-0000-000008570000}"/>
    <cellStyle name="Standard 29 3" xfId="10094" xr:uid="{00000000-0005-0000-0000-000009570000}"/>
    <cellStyle name="Standard 29 3 2" xfId="19509" xr:uid="{00000000-0005-0000-0000-00000A570000}"/>
    <cellStyle name="Standard 29 3_est. MEAT" xfId="25567" xr:uid="{00000000-0005-0000-0000-00000B570000}"/>
    <cellStyle name="Standard 29 4" xfId="19506" xr:uid="{00000000-0005-0000-0000-00000C570000}"/>
    <cellStyle name="Standard 29_2012-2019" xfId="13219" xr:uid="{00000000-0005-0000-0000-00000D570000}"/>
    <cellStyle name="Standard 3" xfId="10095" xr:uid="{00000000-0005-0000-0000-00000E570000}"/>
    <cellStyle name="Standard 3 2" xfId="10096" xr:uid="{00000000-0005-0000-0000-00000F570000}"/>
    <cellStyle name="Standard 3 2 2" xfId="19511" xr:uid="{00000000-0005-0000-0000-000010570000}"/>
    <cellStyle name="Standard 3 2_est. MEAT" xfId="25568" xr:uid="{00000000-0005-0000-0000-000011570000}"/>
    <cellStyle name="Standard 3 3" xfId="10097" xr:uid="{00000000-0005-0000-0000-000012570000}"/>
    <cellStyle name="Standard 3 3 2" xfId="19512" xr:uid="{00000000-0005-0000-0000-000013570000}"/>
    <cellStyle name="Standard 3 3_est. MEAT" xfId="25569" xr:uid="{00000000-0005-0000-0000-000014570000}"/>
    <cellStyle name="Standard 3 4" xfId="10098" xr:uid="{00000000-0005-0000-0000-000015570000}"/>
    <cellStyle name="Standard 3 4 2" xfId="10099" xr:uid="{00000000-0005-0000-0000-000016570000}"/>
    <cellStyle name="Standard 3 4 2 2" xfId="19514" xr:uid="{00000000-0005-0000-0000-000017570000}"/>
    <cellStyle name="Standard 3 4 2_est. MEAT" xfId="25570" xr:uid="{00000000-0005-0000-0000-000018570000}"/>
    <cellStyle name="Standard 3 4 3" xfId="19513" xr:uid="{00000000-0005-0000-0000-000019570000}"/>
    <cellStyle name="Standard 3 4_2012-2019" xfId="13222" xr:uid="{00000000-0005-0000-0000-00001A570000}"/>
    <cellStyle name="Standard 3 5" xfId="10100" xr:uid="{00000000-0005-0000-0000-00001B570000}"/>
    <cellStyle name="Standard 3 5 2" xfId="19515" xr:uid="{00000000-0005-0000-0000-00001C570000}"/>
    <cellStyle name="Standard 3 5_est. MEAT" xfId="25571" xr:uid="{00000000-0005-0000-0000-00001D570000}"/>
    <cellStyle name="Standard 3 6" xfId="19510" xr:uid="{00000000-0005-0000-0000-00001E570000}"/>
    <cellStyle name="Standard 3_2012-2019" xfId="13221" xr:uid="{00000000-0005-0000-0000-00001F570000}"/>
    <cellStyle name="Standard 30" xfId="10101" xr:uid="{00000000-0005-0000-0000-000020570000}"/>
    <cellStyle name="Standard 30 2" xfId="10102" xr:uid="{00000000-0005-0000-0000-000021570000}"/>
    <cellStyle name="Standard 30 2 2" xfId="10103" xr:uid="{00000000-0005-0000-0000-000022570000}"/>
    <cellStyle name="Standard 30 2 2 2" xfId="19518" xr:uid="{00000000-0005-0000-0000-000023570000}"/>
    <cellStyle name="Standard 30 2 2_est. MEAT" xfId="25572" xr:uid="{00000000-0005-0000-0000-000024570000}"/>
    <cellStyle name="Standard 30 2 3" xfId="19517" xr:uid="{00000000-0005-0000-0000-000025570000}"/>
    <cellStyle name="Standard 30 2_2012-2019" xfId="13224" xr:uid="{00000000-0005-0000-0000-000026570000}"/>
    <cellStyle name="Standard 30 3" xfId="10104" xr:uid="{00000000-0005-0000-0000-000027570000}"/>
    <cellStyle name="Standard 30 3 2" xfId="19519" xr:uid="{00000000-0005-0000-0000-000028570000}"/>
    <cellStyle name="Standard 30 3_est. MEAT" xfId="25573" xr:uid="{00000000-0005-0000-0000-000029570000}"/>
    <cellStyle name="Standard 30 4" xfId="19516" xr:uid="{00000000-0005-0000-0000-00002A570000}"/>
    <cellStyle name="Standard 30_2012-2019" xfId="13223" xr:uid="{00000000-0005-0000-0000-00002B570000}"/>
    <cellStyle name="Standard 31" xfId="10105" xr:uid="{00000000-0005-0000-0000-00002C570000}"/>
    <cellStyle name="Standard 31 2" xfId="10106" xr:uid="{00000000-0005-0000-0000-00002D570000}"/>
    <cellStyle name="Standard 31 2 2" xfId="10107" xr:uid="{00000000-0005-0000-0000-00002E570000}"/>
    <cellStyle name="Standard 31 2 2 2" xfId="19522" xr:uid="{00000000-0005-0000-0000-00002F570000}"/>
    <cellStyle name="Standard 31 2 2_est. MEAT" xfId="25574" xr:uid="{00000000-0005-0000-0000-000030570000}"/>
    <cellStyle name="Standard 31 2 3" xfId="19521" xr:uid="{00000000-0005-0000-0000-000031570000}"/>
    <cellStyle name="Standard 31 2_2012-2019" xfId="13226" xr:uid="{00000000-0005-0000-0000-000032570000}"/>
    <cellStyle name="Standard 31 3" xfId="10108" xr:uid="{00000000-0005-0000-0000-000033570000}"/>
    <cellStyle name="Standard 31 3 2" xfId="19523" xr:uid="{00000000-0005-0000-0000-000034570000}"/>
    <cellStyle name="Standard 31 3_est. MEAT" xfId="25575" xr:uid="{00000000-0005-0000-0000-000035570000}"/>
    <cellStyle name="Standard 31 4" xfId="19520" xr:uid="{00000000-0005-0000-0000-000036570000}"/>
    <cellStyle name="Standard 31_2012-2019" xfId="13225" xr:uid="{00000000-0005-0000-0000-000037570000}"/>
    <cellStyle name="Standard 32" xfId="10109" xr:uid="{00000000-0005-0000-0000-000038570000}"/>
    <cellStyle name="Standard 32 2" xfId="10110" xr:uid="{00000000-0005-0000-0000-000039570000}"/>
    <cellStyle name="Standard 32 2 2" xfId="10111" xr:uid="{00000000-0005-0000-0000-00003A570000}"/>
    <cellStyle name="Standard 32 2 2 2" xfId="19526" xr:uid="{00000000-0005-0000-0000-00003B570000}"/>
    <cellStyle name="Standard 32 2 2_est. MEAT" xfId="25576" xr:uid="{00000000-0005-0000-0000-00003C570000}"/>
    <cellStyle name="Standard 32 2 3" xfId="19525" xr:uid="{00000000-0005-0000-0000-00003D570000}"/>
    <cellStyle name="Standard 32 2_2012-2019" xfId="13228" xr:uid="{00000000-0005-0000-0000-00003E570000}"/>
    <cellStyle name="Standard 32 3" xfId="10112" xr:uid="{00000000-0005-0000-0000-00003F570000}"/>
    <cellStyle name="Standard 32 3 2" xfId="19527" xr:uid="{00000000-0005-0000-0000-000040570000}"/>
    <cellStyle name="Standard 32 3_est. MEAT" xfId="25577" xr:uid="{00000000-0005-0000-0000-000041570000}"/>
    <cellStyle name="Standard 32 4" xfId="19524" xr:uid="{00000000-0005-0000-0000-000042570000}"/>
    <cellStyle name="Standard 32_2012-2019" xfId="13227" xr:uid="{00000000-0005-0000-0000-000043570000}"/>
    <cellStyle name="Standard 33" xfId="10113" xr:uid="{00000000-0005-0000-0000-000044570000}"/>
    <cellStyle name="Standard 33 2" xfId="10114" xr:uid="{00000000-0005-0000-0000-000045570000}"/>
    <cellStyle name="Standard 33 2 2" xfId="10115" xr:uid="{00000000-0005-0000-0000-000046570000}"/>
    <cellStyle name="Standard 33 2 2 2" xfId="19530" xr:uid="{00000000-0005-0000-0000-000047570000}"/>
    <cellStyle name="Standard 33 2 2_est. MEAT" xfId="25578" xr:uid="{00000000-0005-0000-0000-000048570000}"/>
    <cellStyle name="Standard 33 2 3" xfId="19529" xr:uid="{00000000-0005-0000-0000-000049570000}"/>
    <cellStyle name="Standard 33 2_2012-2019" xfId="13230" xr:uid="{00000000-0005-0000-0000-00004A570000}"/>
    <cellStyle name="Standard 33 3" xfId="10116" xr:uid="{00000000-0005-0000-0000-00004B570000}"/>
    <cellStyle name="Standard 33 3 2" xfId="19531" xr:uid="{00000000-0005-0000-0000-00004C570000}"/>
    <cellStyle name="Standard 33 3_est. MEAT" xfId="25579" xr:uid="{00000000-0005-0000-0000-00004D570000}"/>
    <cellStyle name="Standard 33 4" xfId="19528" xr:uid="{00000000-0005-0000-0000-00004E570000}"/>
    <cellStyle name="Standard 33_2012-2019" xfId="13229" xr:uid="{00000000-0005-0000-0000-00004F570000}"/>
    <cellStyle name="Standard 34" xfId="10117" xr:uid="{00000000-0005-0000-0000-000050570000}"/>
    <cellStyle name="Standard 34 2" xfId="10118" xr:uid="{00000000-0005-0000-0000-000051570000}"/>
    <cellStyle name="Standard 34 2 2" xfId="10119" xr:uid="{00000000-0005-0000-0000-000052570000}"/>
    <cellStyle name="Standard 34 2 2 2" xfId="19534" xr:uid="{00000000-0005-0000-0000-000053570000}"/>
    <cellStyle name="Standard 34 2 2_est. MEAT" xfId="25580" xr:uid="{00000000-0005-0000-0000-000054570000}"/>
    <cellStyle name="Standard 34 2 3" xfId="19533" xr:uid="{00000000-0005-0000-0000-000055570000}"/>
    <cellStyle name="Standard 34 2_2012-2019" xfId="13232" xr:uid="{00000000-0005-0000-0000-000056570000}"/>
    <cellStyle name="Standard 34 3" xfId="10120" xr:uid="{00000000-0005-0000-0000-000057570000}"/>
    <cellStyle name="Standard 34 3 2" xfId="19535" xr:uid="{00000000-0005-0000-0000-000058570000}"/>
    <cellStyle name="Standard 34 3_est. MEAT" xfId="25581" xr:uid="{00000000-0005-0000-0000-000059570000}"/>
    <cellStyle name="Standard 34 4" xfId="19532" xr:uid="{00000000-0005-0000-0000-00005A570000}"/>
    <cellStyle name="Standard 34_2012-2019" xfId="13231" xr:uid="{00000000-0005-0000-0000-00005B570000}"/>
    <cellStyle name="Standard 35" xfId="10121" xr:uid="{00000000-0005-0000-0000-00005C570000}"/>
    <cellStyle name="Standard 35 2" xfId="10122" xr:uid="{00000000-0005-0000-0000-00005D570000}"/>
    <cellStyle name="Standard 35 2 2" xfId="10123" xr:uid="{00000000-0005-0000-0000-00005E570000}"/>
    <cellStyle name="Standard 35 2 2 2" xfId="19538" xr:uid="{00000000-0005-0000-0000-00005F570000}"/>
    <cellStyle name="Standard 35 2 2_est. MEAT" xfId="25582" xr:uid="{00000000-0005-0000-0000-000060570000}"/>
    <cellStyle name="Standard 35 2 3" xfId="19537" xr:uid="{00000000-0005-0000-0000-000061570000}"/>
    <cellStyle name="Standard 35 2_2012-2019" xfId="13234" xr:uid="{00000000-0005-0000-0000-000062570000}"/>
    <cellStyle name="Standard 35 3" xfId="10124" xr:uid="{00000000-0005-0000-0000-000063570000}"/>
    <cellStyle name="Standard 35 3 2" xfId="19539" xr:uid="{00000000-0005-0000-0000-000064570000}"/>
    <cellStyle name="Standard 35 3_est. MEAT" xfId="25583" xr:uid="{00000000-0005-0000-0000-000065570000}"/>
    <cellStyle name="Standard 35 4" xfId="19536" xr:uid="{00000000-0005-0000-0000-000066570000}"/>
    <cellStyle name="Standard 35_2012-2019" xfId="13233" xr:uid="{00000000-0005-0000-0000-000067570000}"/>
    <cellStyle name="Standard 36" xfId="10125" xr:uid="{00000000-0005-0000-0000-000068570000}"/>
    <cellStyle name="Standard 36 2" xfId="10126" xr:uid="{00000000-0005-0000-0000-000069570000}"/>
    <cellStyle name="Standard 36 2 2" xfId="10127" xr:uid="{00000000-0005-0000-0000-00006A570000}"/>
    <cellStyle name="Standard 36 2 2 2" xfId="19542" xr:uid="{00000000-0005-0000-0000-00006B570000}"/>
    <cellStyle name="Standard 36 2 2_est. MEAT" xfId="25584" xr:uid="{00000000-0005-0000-0000-00006C570000}"/>
    <cellStyle name="Standard 36 2 3" xfId="19541" xr:uid="{00000000-0005-0000-0000-00006D570000}"/>
    <cellStyle name="Standard 36 2_2012-2019" xfId="13236" xr:uid="{00000000-0005-0000-0000-00006E570000}"/>
    <cellStyle name="Standard 36 3" xfId="10128" xr:uid="{00000000-0005-0000-0000-00006F570000}"/>
    <cellStyle name="Standard 36 3 2" xfId="19543" xr:uid="{00000000-0005-0000-0000-000070570000}"/>
    <cellStyle name="Standard 36 3_est. MEAT" xfId="25585" xr:uid="{00000000-0005-0000-0000-000071570000}"/>
    <cellStyle name="Standard 36 4" xfId="19540" xr:uid="{00000000-0005-0000-0000-000072570000}"/>
    <cellStyle name="Standard 36_2012-2019" xfId="13235" xr:uid="{00000000-0005-0000-0000-000073570000}"/>
    <cellStyle name="Standard 37" xfId="10129" xr:uid="{00000000-0005-0000-0000-000074570000}"/>
    <cellStyle name="Standard 37 2" xfId="10130" xr:uid="{00000000-0005-0000-0000-000075570000}"/>
    <cellStyle name="Standard 37 2 2" xfId="10131" xr:uid="{00000000-0005-0000-0000-000076570000}"/>
    <cellStyle name="Standard 37 2 2 2" xfId="19546" xr:uid="{00000000-0005-0000-0000-000077570000}"/>
    <cellStyle name="Standard 37 2 2_est. MEAT" xfId="25586" xr:uid="{00000000-0005-0000-0000-000078570000}"/>
    <cellStyle name="Standard 37 2 3" xfId="19545" xr:uid="{00000000-0005-0000-0000-000079570000}"/>
    <cellStyle name="Standard 37 2_2012-2019" xfId="13238" xr:uid="{00000000-0005-0000-0000-00007A570000}"/>
    <cellStyle name="Standard 37 3" xfId="10132" xr:uid="{00000000-0005-0000-0000-00007B570000}"/>
    <cellStyle name="Standard 37 3 2" xfId="19547" xr:uid="{00000000-0005-0000-0000-00007C570000}"/>
    <cellStyle name="Standard 37 3_est. MEAT" xfId="25587" xr:uid="{00000000-0005-0000-0000-00007D570000}"/>
    <cellStyle name="Standard 37 4" xfId="19544" xr:uid="{00000000-0005-0000-0000-00007E570000}"/>
    <cellStyle name="Standard 37_2012-2019" xfId="13237" xr:uid="{00000000-0005-0000-0000-00007F570000}"/>
    <cellStyle name="Standard 38" xfId="10133" xr:uid="{00000000-0005-0000-0000-000080570000}"/>
    <cellStyle name="Standard 38 2" xfId="10134" xr:uid="{00000000-0005-0000-0000-000081570000}"/>
    <cellStyle name="Standard 38 2 2" xfId="10135" xr:uid="{00000000-0005-0000-0000-000082570000}"/>
    <cellStyle name="Standard 38 2 2 2" xfId="19550" xr:uid="{00000000-0005-0000-0000-000083570000}"/>
    <cellStyle name="Standard 38 2 2_est. MEAT" xfId="25588" xr:uid="{00000000-0005-0000-0000-000084570000}"/>
    <cellStyle name="Standard 38 2 3" xfId="19549" xr:uid="{00000000-0005-0000-0000-000085570000}"/>
    <cellStyle name="Standard 38 2_2012-2019" xfId="13240" xr:uid="{00000000-0005-0000-0000-000086570000}"/>
    <cellStyle name="Standard 38 3" xfId="10136" xr:uid="{00000000-0005-0000-0000-000087570000}"/>
    <cellStyle name="Standard 38 3 2" xfId="19551" xr:uid="{00000000-0005-0000-0000-000088570000}"/>
    <cellStyle name="Standard 38 3_est. MEAT" xfId="25589" xr:uid="{00000000-0005-0000-0000-000089570000}"/>
    <cellStyle name="Standard 38 4" xfId="19548" xr:uid="{00000000-0005-0000-0000-00008A570000}"/>
    <cellStyle name="Standard 38_2012-2019" xfId="13239" xr:uid="{00000000-0005-0000-0000-00008B570000}"/>
    <cellStyle name="Standard 39" xfId="10137" xr:uid="{00000000-0005-0000-0000-00008C570000}"/>
    <cellStyle name="Standard 39 2" xfId="10138" xr:uid="{00000000-0005-0000-0000-00008D570000}"/>
    <cellStyle name="Standard 39 2 2" xfId="10139" xr:uid="{00000000-0005-0000-0000-00008E570000}"/>
    <cellStyle name="Standard 39 2 2 2" xfId="19554" xr:uid="{00000000-0005-0000-0000-00008F570000}"/>
    <cellStyle name="Standard 39 2 2_est. MEAT" xfId="25590" xr:uid="{00000000-0005-0000-0000-000090570000}"/>
    <cellStyle name="Standard 39 2 3" xfId="19553" xr:uid="{00000000-0005-0000-0000-000091570000}"/>
    <cellStyle name="Standard 39 2_2012-2019" xfId="13242" xr:uid="{00000000-0005-0000-0000-000092570000}"/>
    <cellStyle name="Standard 39 3" xfId="10140" xr:uid="{00000000-0005-0000-0000-000093570000}"/>
    <cellStyle name="Standard 39 3 2" xfId="19555" xr:uid="{00000000-0005-0000-0000-000094570000}"/>
    <cellStyle name="Standard 39 3_est. MEAT" xfId="25591" xr:uid="{00000000-0005-0000-0000-000095570000}"/>
    <cellStyle name="Standard 39 4" xfId="19552" xr:uid="{00000000-0005-0000-0000-000096570000}"/>
    <cellStyle name="Standard 39_2012-2019" xfId="13241" xr:uid="{00000000-0005-0000-0000-000097570000}"/>
    <cellStyle name="Standard 4" xfId="10141" xr:uid="{00000000-0005-0000-0000-000098570000}"/>
    <cellStyle name="Standard 4 2" xfId="10142" xr:uid="{00000000-0005-0000-0000-000099570000}"/>
    <cellStyle name="Standard 4 2 2" xfId="19557" xr:uid="{00000000-0005-0000-0000-00009A570000}"/>
    <cellStyle name="Standard 4 2_est. MEAT" xfId="25592" xr:uid="{00000000-0005-0000-0000-00009B570000}"/>
    <cellStyle name="Standard 4 3" xfId="10143" xr:uid="{00000000-0005-0000-0000-00009C570000}"/>
    <cellStyle name="Standard 4 3 2" xfId="19558" xr:uid="{00000000-0005-0000-0000-00009D570000}"/>
    <cellStyle name="Standard 4 3_est. MEAT" xfId="25593" xr:uid="{00000000-0005-0000-0000-00009E570000}"/>
    <cellStyle name="Standard 4 4" xfId="10144" xr:uid="{00000000-0005-0000-0000-00009F570000}"/>
    <cellStyle name="Standard 4 4 2" xfId="10145" xr:uid="{00000000-0005-0000-0000-0000A0570000}"/>
    <cellStyle name="Standard 4 4 2 2" xfId="19560" xr:uid="{00000000-0005-0000-0000-0000A1570000}"/>
    <cellStyle name="Standard 4 4 2_est. MEAT" xfId="25594" xr:uid="{00000000-0005-0000-0000-0000A2570000}"/>
    <cellStyle name="Standard 4 4 3" xfId="19559" xr:uid="{00000000-0005-0000-0000-0000A3570000}"/>
    <cellStyle name="Standard 4 4_2012-2019" xfId="13244" xr:uid="{00000000-0005-0000-0000-0000A4570000}"/>
    <cellStyle name="Standard 4 5" xfId="10146" xr:uid="{00000000-0005-0000-0000-0000A5570000}"/>
    <cellStyle name="Standard 4 5 2" xfId="19561" xr:uid="{00000000-0005-0000-0000-0000A6570000}"/>
    <cellStyle name="Standard 4 5_est. MEAT" xfId="25595" xr:uid="{00000000-0005-0000-0000-0000A7570000}"/>
    <cellStyle name="Standard 4 6" xfId="19556" xr:uid="{00000000-0005-0000-0000-0000A8570000}"/>
    <cellStyle name="Standard 4_2012-2019" xfId="13243" xr:uid="{00000000-0005-0000-0000-0000A9570000}"/>
    <cellStyle name="Standard 40" xfId="10147" xr:uid="{00000000-0005-0000-0000-0000AA570000}"/>
    <cellStyle name="Standard 40 2" xfId="10148" xr:uid="{00000000-0005-0000-0000-0000AB570000}"/>
    <cellStyle name="Standard 40 2 2" xfId="10149" xr:uid="{00000000-0005-0000-0000-0000AC570000}"/>
    <cellStyle name="Standard 40 2 2 2" xfId="19564" xr:uid="{00000000-0005-0000-0000-0000AD570000}"/>
    <cellStyle name="Standard 40 2 2_est. MEAT" xfId="25596" xr:uid="{00000000-0005-0000-0000-0000AE570000}"/>
    <cellStyle name="Standard 40 2 3" xfId="19563" xr:uid="{00000000-0005-0000-0000-0000AF570000}"/>
    <cellStyle name="Standard 40 2_2012-2019" xfId="13246" xr:uid="{00000000-0005-0000-0000-0000B0570000}"/>
    <cellStyle name="Standard 40 3" xfId="10150" xr:uid="{00000000-0005-0000-0000-0000B1570000}"/>
    <cellStyle name="Standard 40 3 2" xfId="19565" xr:uid="{00000000-0005-0000-0000-0000B2570000}"/>
    <cellStyle name="Standard 40 3_est. MEAT" xfId="25597" xr:uid="{00000000-0005-0000-0000-0000B3570000}"/>
    <cellStyle name="Standard 40 4" xfId="19562" xr:uid="{00000000-0005-0000-0000-0000B4570000}"/>
    <cellStyle name="Standard 40_2012-2019" xfId="13245" xr:uid="{00000000-0005-0000-0000-0000B5570000}"/>
    <cellStyle name="Standard 41" xfId="10151" xr:uid="{00000000-0005-0000-0000-0000B6570000}"/>
    <cellStyle name="Standard 41 2" xfId="10152" xr:uid="{00000000-0005-0000-0000-0000B7570000}"/>
    <cellStyle name="Standard 41 2 2" xfId="10153" xr:uid="{00000000-0005-0000-0000-0000B8570000}"/>
    <cellStyle name="Standard 41 2 2 2" xfId="19568" xr:uid="{00000000-0005-0000-0000-0000B9570000}"/>
    <cellStyle name="Standard 41 2 2_est. MEAT" xfId="25598" xr:uid="{00000000-0005-0000-0000-0000BA570000}"/>
    <cellStyle name="Standard 41 2 3" xfId="19567" xr:uid="{00000000-0005-0000-0000-0000BB570000}"/>
    <cellStyle name="Standard 41 2_2012-2019" xfId="13248" xr:uid="{00000000-0005-0000-0000-0000BC570000}"/>
    <cellStyle name="Standard 41 3" xfId="10154" xr:uid="{00000000-0005-0000-0000-0000BD570000}"/>
    <cellStyle name="Standard 41 3 2" xfId="19569" xr:uid="{00000000-0005-0000-0000-0000BE570000}"/>
    <cellStyle name="Standard 41 3_est. MEAT" xfId="25599" xr:uid="{00000000-0005-0000-0000-0000BF570000}"/>
    <cellStyle name="Standard 41 4" xfId="19566" xr:uid="{00000000-0005-0000-0000-0000C0570000}"/>
    <cellStyle name="Standard 41_2012-2019" xfId="13247" xr:uid="{00000000-0005-0000-0000-0000C1570000}"/>
    <cellStyle name="Standard 42" xfId="10155" xr:uid="{00000000-0005-0000-0000-0000C2570000}"/>
    <cellStyle name="Standard 42 2" xfId="10156" xr:uid="{00000000-0005-0000-0000-0000C3570000}"/>
    <cellStyle name="Standard 42 2 2" xfId="10157" xr:uid="{00000000-0005-0000-0000-0000C4570000}"/>
    <cellStyle name="Standard 42 2 2 2" xfId="19572" xr:uid="{00000000-0005-0000-0000-0000C5570000}"/>
    <cellStyle name="Standard 42 2 2_est. MEAT" xfId="25600" xr:uid="{00000000-0005-0000-0000-0000C6570000}"/>
    <cellStyle name="Standard 42 2 3" xfId="19571" xr:uid="{00000000-0005-0000-0000-0000C7570000}"/>
    <cellStyle name="Standard 42 2_2012-2019" xfId="13250" xr:uid="{00000000-0005-0000-0000-0000C8570000}"/>
    <cellStyle name="Standard 42 3" xfId="10158" xr:uid="{00000000-0005-0000-0000-0000C9570000}"/>
    <cellStyle name="Standard 42 3 2" xfId="19573" xr:uid="{00000000-0005-0000-0000-0000CA570000}"/>
    <cellStyle name="Standard 42 3_est. MEAT" xfId="25601" xr:uid="{00000000-0005-0000-0000-0000CB570000}"/>
    <cellStyle name="Standard 42 4" xfId="19570" xr:uid="{00000000-0005-0000-0000-0000CC570000}"/>
    <cellStyle name="Standard 42_2012-2019" xfId="13249" xr:uid="{00000000-0005-0000-0000-0000CD570000}"/>
    <cellStyle name="Standard 43" xfId="10159" xr:uid="{00000000-0005-0000-0000-0000CE570000}"/>
    <cellStyle name="Standard 43 2" xfId="10160" xr:uid="{00000000-0005-0000-0000-0000CF570000}"/>
    <cellStyle name="Standard 43 2 2" xfId="10161" xr:uid="{00000000-0005-0000-0000-0000D0570000}"/>
    <cellStyle name="Standard 43 2 2 2" xfId="19576" xr:uid="{00000000-0005-0000-0000-0000D1570000}"/>
    <cellStyle name="Standard 43 2 2_est. MEAT" xfId="25602" xr:uid="{00000000-0005-0000-0000-0000D2570000}"/>
    <cellStyle name="Standard 43 2 3" xfId="19575" xr:uid="{00000000-0005-0000-0000-0000D3570000}"/>
    <cellStyle name="Standard 43 2_2012-2019" xfId="13252" xr:uid="{00000000-0005-0000-0000-0000D4570000}"/>
    <cellStyle name="Standard 43 3" xfId="10162" xr:uid="{00000000-0005-0000-0000-0000D5570000}"/>
    <cellStyle name="Standard 43 3 2" xfId="19577" xr:uid="{00000000-0005-0000-0000-0000D6570000}"/>
    <cellStyle name="Standard 43 3_est. MEAT" xfId="25603" xr:uid="{00000000-0005-0000-0000-0000D7570000}"/>
    <cellStyle name="Standard 43 4" xfId="19574" xr:uid="{00000000-0005-0000-0000-0000D8570000}"/>
    <cellStyle name="Standard 43_2012-2019" xfId="13251" xr:uid="{00000000-0005-0000-0000-0000D9570000}"/>
    <cellStyle name="Standard 44" xfId="10163" xr:uid="{00000000-0005-0000-0000-0000DA570000}"/>
    <cellStyle name="Standard 44 2" xfId="10164" xr:uid="{00000000-0005-0000-0000-0000DB570000}"/>
    <cellStyle name="Standard 44 2 2" xfId="10165" xr:uid="{00000000-0005-0000-0000-0000DC570000}"/>
    <cellStyle name="Standard 44 2 2 2" xfId="19580" xr:uid="{00000000-0005-0000-0000-0000DD570000}"/>
    <cellStyle name="Standard 44 2 2_est. MEAT" xfId="25604" xr:uid="{00000000-0005-0000-0000-0000DE570000}"/>
    <cellStyle name="Standard 44 2 3" xfId="19579" xr:uid="{00000000-0005-0000-0000-0000DF570000}"/>
    <cellStyle name="Standard 44 2_2012-2019" xfId="13254" xr:uid="{00000000-0005-0000-0000-0000E0570000}"/>
    <cellStyle name="Standard 44 3" xfId="10166" xr:uid="{00000000-0005-0000-0000-0000E1570000}"/>
    <cellStyle name="Standard 44 3 2" xfId="19581" xr:uid="{00000000-0005-0000-0000-0000E2570000}"/>
    <cellStyle name="Standard 44 3_est. MEAT" xfId="25605" xr:uid="{00000000-0005-0000-0000-0000E3570000}"/>
    <cellStyle name="Standard 44 4" xfId="19578" xr:uid="{00000000-0005-0000-0000-0000E4570000}"/>
    <cellStyle name="Standard 44_2012-2019" xfId="13253" xr:uid="{00000000-0005-0000-0000-0000E5570000}"/>
    <cellStyle name="Standard 45" xfId="10167" xr:uid="{00000000-0005-0000-0000-0000E6570000}"/>
    <cellStyle name="Standard 45 2" xfId="10168" xr:uid="{00000000-0005-0000-0000-0000E7570000}"/>
    <cellStyle name="Standard 45 2 2" xfId="10169" xr:uid="{00000000-0005-0000-0000-0000E8570000}"/>
    <cellStyle name="Standard 45 2 2 2" xfId="19584" xr:uid="{00000000-0005-0000-0000-0000E9570000}"/>
    <cellStyle name="Standard 45 2 2_est. MEAT" xfId="25606" xr:uid="{00000000-0005-0000-0000-0000EA570000}"/>
    <cellStyle name="Standard 45 2 3" xfId="19583" xr:uid="{00000000-0005-0000-0000-0000EB570000}"/>
    <cellStyle name="Standard 45 2_2012-2019" xfId="13256" xr:uid="{00000000-0005-0000-0000-0000EC570000}"/>
    <cellStyle name="Standard 45 3" xfId="10170" xr:uid="{00000000-0005-0000-0000-0000ED570000}"/>
    <cellStyle name="Standard 45 3 2" xfId="19585" xr:uid="{00000000-0005-0000-0000-0000EE570000}"/>
    <cellStyle name="Standard 45 3_est. MEAT" xfId="25607" xr:uid="{00000000-0005-0000-0000-0000EF570000}"/>
    <cellStyle name="Standard 45 4" xfId="19582" xr:uid="{00000000-0005-0000-0000-0000F0570000}"/>
    <cellStyle name="Standard 45_2012-2019" xfId="13255" xr:uid="{00000000-0005-0000-0000-0000F1570000}"/>
    <cellStyle name="Standard 46" xfId="10171" xr:uid="{00000000-0005-0000-0000-0000F2570000}"/>
    <cellStyle name="Standard 46 2" xfId="10172" xr:uid="{00000000-0005-0000-0000-0000F3570000}"/>
    <cellStyle name="Standard 46 2 2" xfId="10173" xr:uid="{00000000-0005-0000-0000-0000F4570000}"/>
    <cellStyle name="Standard 46 2 2 2" xfId="19588" xr:uid="{00000000-0005-0000-0000-0000F5570000}"/>
    <cellStyle name="Standard 46 2 2_est. MEAT" xfId="25608" xr:uid="{00000000-0005-0000-0000-0000F6570000}"/>
    <cellStyle name="Standard 46 2 3" xfId="19587" xr:uid="{00000000-0005-0000-0000-0000F7570000}"/>
    <cellStyle name="Standard 46 2_2012-2019" xfId="13258" xr:uid="{00000000-0005-0000-0000-0000F8570000}"/>
    <cellStyle name="Standard 46 3" xfId="10174" xr:uid="{00000000-0005-0000-0000-0000F9570000}"/>
    <cellStyle name="Standard 46 3 2" xfId="19589" xr:uid="{00000000-0005-0000-0000-0000FA570000}"/>
    <cellStyle name="Standard 46 3_est. MEAT" xfId="25609" xr:uid="{00000000-0005-0000-0000-0000FB570000}"/>
    <cellStyle name="Standard 46 4" xfId="19586" xr:uid="{00000000-0005-0000-0000-0000FC570000}"/>
    <cellStyle name="Standard 46_2012-2019" xfId="13257" xr:uid="{00000000-0005-0000-0000-0000FD570000}"/>
    <cellStyle name="Standard 47" xfId="10175" xr:uid="{00000000-0005-0000-0000-0000FE570000}"/>
    <cellStyle name="Standard 47 2" xfId="10176" xr:uid="{00000000-0005-0000-0000-0000FF570000}"/>
    <cellStyle name="Standard 47 2 2" xfId="10177" xr:uid="{00000000-0005-0000-0000-000000580000}"/>
    <cellStyle name="Standard 47 2 2 2" xfId="19592" xr:uid="{00000000-0005-0000-0000-000001580000}"/>
    <cellStyle name="Standard 47 2 2_est. MEAT" xfId="25610" xr:uid="{00000000-0005-0000-0000-000002580000}"/>
    <cellStyle name="Standard 47 2 3" xfId="19591" xr:uid="{00000000-0005-0000-0000-000003580000}"/>
    <cellStyle name="Standard 47 2_2012-2019" xfId="13260" xr:uid="{00000000-0005-0000-0000-000004580000}"/>
    <cellStyle name="Standard 47 3" xfId="10178" xr:uid="{00000000-0005-0000-0000-000005580000}"/>
    <cellStyle name="Standard 47 3 2" xfId="19593" xr:uid="{00000000-0005-0000-0000-000006580000}"/>
    <cellStyle name="Standard 47 3_est. MEAT" xfId="25611" xr:uid="{00000000-0005-0000-0000-000007580000}"/>
    <cellStyle name="Standard 47 4" xfId="19590" xr:uid="{00000000-0005-0000-0000-000008580000}"/>
    <cellStyle name="Standard 47_2012-2019" xfId="13259" xr:uid="{00000000-0005-0000-0000-000009580000}"/>
    <cellStyle name="Standard 48" xfId="10179" xr:uid="{00000000-0005-0000-0000-00000A580000}"/>
    <cellStyle name="Standard 48 2" xfId="10180" xr:uid="{00000000-0005-0000-0000-00000B580000}"/>
    <cellStyle name="Standard 48 2 2" xfId="10181" xr:uid="{00000000-0005-0000-0000-00000C580000}"/>
    <cellStyle name="Standard 48 2 2 2" xfId="19596" xr:uid="{00000000-0005-0000-0000-00000D580000}"/>
    <cellStyle name="Standard 48 2 2_est. MEAT" xfId="25612" xr:uid="{00000000-0005-0000-0000-00000E580000}"/>
    <cellStyle name="Standard 48 2 3" xfId="19595" xr:uid="{00000000-0005-0000-0000-00000F580000}"/>
    <cellStyle name="Standard 48 2_2012-2019" xfId="13262" xr:uid="{00000000-0005-0000-0000-000010580000}"/>
    <cellStyle name="Standard 48 3" xfId="10182" xr:uid="{00000000-0005-0000-0000-000011580000}"/>
    <cellStyle name="Standard 48 3 2" xfId="19597" xr:uid="{00000000-0005-0000-0000-000012580000}"/>
    <cellStyle name="Standard 48 3_est. MEAT" xfId="25613" xr:uid="{00000000-0005-0000-0000-000013580000}"/>
    <cellStyle name="Standard 48 4" xfId="19594" xr:uid="{00000000-0005-0000-0000-000014580000}"/>
    <cellStyle name="Standard 48_2012-2019" xfId="13261" xr:uid="{00000000-0005-0000-0000-000015580000}"/>
    <cellStyle name="Standard 49" xfId="10183" xr:uid="{00000000-0005-0000-0000-000016580000}"/>
    <cellStyle name="Standard 49 2" xfId="10184" xr:uid="{00000000-0005-0000-0000-000017580000}"/>
    <cellStyle name="Standard 49 2 2" xfId="10185" xr:uid="{00000000-0005-0000-0000-000018580000}"/>
    <cellStyle name="Standard 49 2 2 2" xfId="19600" xr:uid="{00000000-0005-0000-0000-000019580000}"/>
    <cellStyle name="Standard 49 2 2_est. MEAT" xfId="25614" xr:uid="{00000000-0005-0000-0000-00001A580000}"/>
    <cellStyle name="Standard 49 2 3" xfId="19599" xr:uid="{00000000-0005-0000-0000-00001B580000}"/>
    <cellStyle name="Standard 49 2_2012-2019" xfId="13264" xr:uid="{00000000-0005-0000-0000-00001C580000}"/>
    <cellStyle name="Standard 49 3" xfId="10186" xr:uid="{00000000-0005-0000-0000-00001D580000}"/>
    <cellStyle name="Standard 49 3 2" xfId="19601" xr:uid="{00000000-0005-0000-0000-00001E580000}"/>
    <cellStyle name="Standard 49 3_est. MEAT" xfId="25615" xr:uid="{00000000-0005-0000-0000-00001F580000}"/>
    <cellStyle name="Standard 49 4" xfId="19598" xr:uid="{00000000-0005-0000-0000-000020580000}"/>
    <cellStyle name="Standard 49_2012-2019" xfId="13263" xr:uid="{00000000-0005-0000-0000-000021580000}"/>
    <cellStyle name="Standard 5" xfId="10187" xr:uid="{00000000-0005-0000-0000-000022580000}"/>
    <cellStyle name="Standard 5 2" xfId="10188" xr:uid="{00000000-0005-0000-0000-000023580000}"/>
    <cellStyle name="Standard 5 2 2" xfId="19603" xr:uid="{00000000-0005-0000-0000-000024580000}"/>
    <cellStyle name="Standard 5 2_est. MEAT" xfId="25616" xr:uid="{00000000-0005-0000-0000-000025580000}"/>
    <cellStyle name="Standard 5 3" xfId="10189" xr:uid="{00000000-0005-0000-0000-000026580000}"/>
    <cellStyle name="Standard 5 3 2" xfId="19604" xr:uid="{00000000-0005-0000-0000-000027580000}"/>
    <cellStyle name="Standard 5 3_est. MEAT" xfId="25617" xr:uid="{00000000-0005-0000-0000-000028580000}"/>
    <cellStyle name="Standard 5 4" xfId="10190" xr:uid="{00000000-0005-0000-0000-000029580000}"/>
    <cellStyle name="Standard 5 4 2" xfId="10191" xr:uid="{00000000-0005-0000-0000-00002A580000}"/>
    <cellStyle name="Standard 5 4 2 2" xfId="19606" xr:uid="{00000000-0005-0000-0000-00002B580000}"/>
    <cellStyle name="Standard 5 4 2_est. MEAT" xfId="25618" xr:uid="{00000000-0005-0000-0000-00002C580000}"/>
    <cellStyle name="Standard 5 4 3" xfId="19605" xr:uid="{00000000-0005-0000-0000-00002D580000}"/>
    <cellStyle name="Standard 5 4_2012-2019" xfId="13266" xr:uid="{00000000-0005-0000-0000-00002E580000}"/>
    <cellStyle name="Standard 5 5" xfId="10192" xr:uid="{00000000-0005-0000-0000-00002F580000}"/>
    <cellStyle name="Standard 5 5 2" xfId="19607" xr:uid="{00000000-0005-0000-0000-000030580000}"/>
    <cellStyle name="Standard 5 5_est. MEAT" xfId="25619" xr:uid="{00000000-0005-0000-0000-000031580000}"/>
    <cellStyle name="Standard 5 6" xfId="19602" xr:uid="{00000000-0005-0000-0000-000032580000}"/>
    <cellStyle name="Standard 5_2012-2019" xfId="13265" xr:uid="{00000000-0005-0000-0000-000033580000}"/>
    <cellStyle name="Standard 50" xfId="10193" xr:uid="{00000000-0005-0000-0000-000034580000}"/>
    <cellStyle name="Standard 50 2" xfId="10194" xr:uid="{00000000-0005-0000-0000-000035580000}"/>
    <cellStyle name="Standard 50 2 2" xfId="10195" xr:uid="{00000000-0005-0000-0000-000036580000}"/>
    <cellStyle name="Standard 50 2 2 2" xfId="19610" xr:uid="{00000000-0005-0000-0000-000037580000}"/>
    <cellStyle name="Standard 50 2 2_est. MEAT" xfId="25620" xr:uid="{00000000-0005-0000-0000-000038580000}"/>
    <cellStyle name="Standard 50 2 3" xfId="19609" xr:uid="{00000000-0005-0000-0000-000039580000}"/>
    <cellStyle name="Standard 50 2_2012-2019" xfId="13268" xr:uid="{00000000-0005-0000-0000-00003A580000}"/>
    <cellStyle name="Standard 50 3" xfId="10196" xr:uid="{00000000-0005-0000-0000-00003B580000}"/>
    <cellStyle name="Standard 50 3 2" xfId="19611" xr:uid="{00000000-0005-0000-0000-00003C580000}"/>
    <cellStyle name="Standard 50 3_est. MEAT" xfId="25621" xr:uid="{00000000-0005-0000-0000-00003D580000}"/>
    <cellStyle name="Standard 50 4" xfId="19608" xr:uid="{00000000-0005-0000-0000-00003E580000}"/>
    <cellStyle name="Standard 50_2012-2019" xfId="13267" xr:uid="{00000000-0005-0000-0000-00003F580000}"/>
    <cellStyle name="Standard 51" xfId="10197" xr:uid="{00000000-0005-0000-0000-000040580000}"/>
    <cellStyle name="Standard 51 2" xfId="10198" xr:uid="{00000000-0005-0000-0000-000041580000}"/>
    <cellStyle name="Standard 51 2 2" xfId="10199" xr:uid="{00000000-0005-0000-0000-000042580000}"/>
    <cellStyle name="Standard 51 2 2 2" xfId="19614" xr:uid="{00000000-0005-0000-0000-000043580000}"/>
    <cellStyle name="Standard 51 2 2_est. MEAT" xfId="25622" xr:uid="{00000000-0005-0000-0000-000044580000}"/>
    <cellStyle name="Standard 51 2 3" xfId="19613" xr:uid="{00000000-0005-0000-0000-000045580000}"/>
    <cellStyle name="Standard 51 2_2012-2019" xfId="13270" xr:uid="{00000000-0005-0000-0000-000046580000}"/>
    <cellStyle name="Standard 51 3" xfId="10200" xr:uid="{00000000-0005-0000-0000-000047580000}"/>
    <cellStyle name="Standard 51 3 2" xfId="19615" xr:uid="{00000000-0005-0000-0000-000048580000}"/>
    <cellStyle name="Standard 51 3_est. MEAT" xfId="25623" xr:uid="{00000000-0005-0000-0000-000049580000}"/>
    <cellStyle name="Standard 51 4" xfId="19612" xr:uid="{00000000-0005-0000-0000-00004A580000}"/>
    <cellStyle name="Standard 51_2012-2019" xfId="13269" xr:uid="{00000000-0005-0000-0000-00004B580000}"/>
    <cellStyle name="Standard 52" xfId="10201" xr:uid="{00000000-0005-0000-0000-00004C580000}"/>
    <cellStyle name="Standard 52 2" xfId="10202" xr:uid="{00000000-0005-0000-0000-00004D580000}"/>
    <cellStyle name="Standard 52 2 2" xfId="10203" xr:uid="{00000000-0005-0000-0000-00004E580000}"/>
    <cellStyle name="Standard 52 2 2 2" xfId="19618" xr:uid="{00000000-0005-0000-0000-00004F580000}"/>
    <cellStyle name="Standard 52 2 2_est. MEAT" xfId="25624" xr:uid="{00000000-0005-0000-0000-000050580000}"/>
    <cellStyle name="Standard 52 2 3" xfId="19617" xr:uid="{00000000-0005-0000-0000-000051580000}"/>
    <cellStyle name="Standard 52 2_2012-2019" xfId="13272" xr:uid="{00000000-0005-0000-0000-000052580000}"/>
    <cellStyle name="Standard 52 3" xfId="10204" xr:uid="{00000000-0005-0000-0000-000053580000}"/>
    <cellStyle name="Standard 52 3 2" xfId="19619" xr:uid="{00000000-0005-0000-0000-000054580000}"/>
    <cellStyle name="Standard 52 3_est. MEAT" xfId="25625" xr:uid="{00000000-0005-0000-0000-000055580000}"/>
    <cellStyle name="Standard 52 4" xfId="19616" xr:uid="{00000000-0005-0000-0000-000056580000}"/>
    <cellStyle name="Standard 52_2012-2019" xfId="13271" xr:uid="{00000000-0005-0000-0000-000057580000}"/>
    <cellStyle name="Standard 53" xfId="10205" xr:uid="{00000000-0005-0000-0000-000058580000}"/>
    <cellStyle name="Standard 53 2" xfId="10206" xr:uid="{00000000-0005-0000-0000-000059580000}"/>
    <cellStyle name="Standard 53 2 2" xfId="10207" xr:uid="{00000000-0005-0000-0000-00005A580000}"/>
    <cellStyle name="Standard 53 2 2 2" xfId="19622" xr:uid="{00000000-0005-0000-0000-00005B580000}"/>
    <cellStyle name="Standard 53 2 2_est. MEAT" xfId="25626" xr:uid="{00000000-0005-0000-0000-00005C580000}"/>
    <cellStyle name="Standard 53 2 3" xfId="19621" xr:uid="{00000000-0005-0000-0000-00005D580000}"/>
    <cellStyle name="Standard 53 2_2012-2019" xfId="13274" xr:uid="{00000000-0005-0000-0000-00005E580000}"/>
    <cellStyle name="Standard 53 3" xfId="10208" xr:uid="{00000000-0005-0000-0000-00005F580000}"/>
    <cellStyle name="Standard 53 3 2" xfId="19623" xr:uid="{00000000-0005-0000-0000-000060580000}"/>
    <cellStyle name="Standard 53 3_est. MEAT" xfId="25627" xr:uid="{00000000-0005-0000-0000-000061580000}"/>
    <cellStyle name="Standard 53 4" xfId="19620" xr:uid="{00000000-0005-0000-0000-000062580000}"/>
    <cellStyle name="Standard 53_2012-2019" xfId="13273" xr:uid="{00000000-0005-0000-0000-000063580000}"/>
    <cellStyle name="Standard 54" xfId="10209" xr:uid="{00000000-0005-0000-0000-000064580000}"/>
    <cellStyle name="Standard 54 2" xfId="10210" xr:uid="{00000000-0005-0000-0000-000065580000}"/>
    <cellStyle name="Standard 54 2 2" xfId="10211" xr:uid="{00000000-0005-0000-0000-000066580000}"/>
    <cellStyle name="Standard 54 2 2 2" xfId="19626" xr:uid="{00000000-0005-0000-0000-000067580000}"/>
    <cellStyle name="Standard 54 2 2_est. MEAT" xfId="25628" xr:uid="{00000000-0005-0000-0000-000068580000}"/>
    <cellStyle name="Standard 54 2 3" xfId="19625" xr:uid="{00000000-0005-0000-0000-000069580000}"/>
    <cellStyle name="Standard 54 2_2012-2019" xfId="13276" xr:uid="{00000000-0005-0000-0000-00006A580000}"/>
    <cellStyle name="Standard 54 3" xfId="10212" xr:uid="{00000000-0005-0000-0000-00006B580000}"/>
    <cellStyle name="Standard 54 3 2" xfId="19627" xr:uid="{00000000-0005-0000-0000-00006C580000}"/>
    <cellStyle name="Standard 54 3_est. MEAT" xfId="25629" xr:uid="{00000000-0005-0000-0000-00006D580000}"/>
    <cellStyle name="Standard 54 4" xfId="19624" xr:uid="{00000000-0005-0000-0000-00006E580000}"/>
    <cellStyle name="Standard 54_2012-2019" xfId="13275" xr:uid="{00000000-0005-0000-0000-00006F580000}"/>
    <cellStyle name="Standard 55" xfId="10213" xr:uid="{00000000-0005-0000-0000-000070580000}"/>
    <cellStyle name="Standard 55 2" xfId="19628" xr:uid="{00000000-0005-0000-0000-000071580000}"/>
    <cellStyle name="Standard 55_est. MEAT" xfId="25630" xr:uid="{00000000-0005-0000-0000-000072580000}"/>
    <cellStyle name="Standard 56" xfId="10214" xr:uid="{00000000-0005-0000-0000-000073580000}"/>
    <cellStyle name="Standard 56 2" xfId="10215" xr:uid="{00000000-0005-0000-0000-000074580000}"/>
    <cellStyle name="Standard 56 2 2" xfId="10216" xr:uid="{00000000-0005-0000-0000-000075580000}"/>
    <cellStyle name="Standard 56 2 2 2" xfId="19631" xr:uid="{00000000-0005-0000-0000-000076580000}"/>
    <cellStyle name="Standard 56 2 2_est. MEAT" xfId="25631" xr:uid="{00000000-0005-0000-0000-000077580000}"/>
    <cellStyle name="Standard 56 2 3" xfId="19630" xr:uid="{00000000-0005-0000-0000-000078580000}"/>
    <cellStyle name="Standard 56 2_2012-2019" xfId="13278" xr:uid="{00000000-0005-0000-0000-000079580000}"/>
    <cellStyle name="Standard 56 3" xfId="10217" xr:uid="{00000000-0005-0000-0000-00007A580000}"/>
    <cellStyle name="Standard 56 3 2" xfId="19632" xr:uid="{00000000-0005-0000-0000-00007B580000}"/>
    <cellStyle name="Standard 56 3_est. MEAT" xfId="25632" xr:uid="{00000000-0005-0000-0000-00007C580000}"/>
    <cellStyle name="Standard 56 4" xfId="19629" xr:uid="{00000000-0005-0000-0000-00007D580000}"/>
    <cellStyle name="Standard 56_2012-2019" xfId="13277" xr:uid="{00000000-0005-0000-0000-00007E580000}"/>
    <cellStyle name="Standard 57" xfId="10218" xr:uid="{00000000-0005-0000-0000-00007F580000}"/>
    <cellStyle name="Standard 57 2" xfId="10219" xr:uid="{00000000-0005-0000-0000-000080580000}"/>
    <cellStyle name="Standard 57 2 2" xfId="10220" xr:uid="{00000000-0005-0000-0000-000081580000}"/>
    <cellStyle name="Standard 57 2 2 2" xfId="19635" xr:uid="{00000000-0005-0000-0000-000082580000}"/>
    <cellStyle name="Standard 57 2 2_est. MEAT" xfId="25633" xr:uid="{00000000-0005-0000-0000-000083580000}"/>
    <cellStyle name="Standard 57 2 3" xfId="19634" xr:uid="{00000000-0005-0000-0000-000084580000}"/>
    <cellStyle name="Standard 57 2_2012-2019" xfId="13280" xr:uid="{00000000-0005-0000-0000-000085580000}"/>
    <cellStyle name="Standard 57 3" xfId="10221" xr:uid="{00000000-0005-0000-0000-000086580000}"/>
    <cellStyle name="Standard 57 3 2" xfId="19636" xr:uid="{00000000-0005-0000-0000-000087580000}"/>
    <cellStyle name="Standard 57 3_est. MEAT" xfId="25634" xr:uid="{00000000-0005-0000-0000-000088580000}"/>
    <cellStyle name="Standard 57 4" xfId="19633" xr:uid="{00000000-0005-0000-0000-000089580000}"/>
    <cellStyle name="Standard 57_2012-2019" xfId="13279" xr:uid="{00000000-0005-0000-0000-00008A580000}"/>
    <cellStyle name="Standard 58" xfId="10222" xr:uid="{00000000-0005-0000-0000-00008B580000}"/>
    <cellStyle name="Standard 58 2" xfId="10223" xr:uid="{00000000-0005-0000-0000-00008C580000}"/>
    <cellStyle name="Standard 58 2 2" xfId="10224" xr:uid="{00000000-0005-0000-0000-00008D580000}"/>
    <cellStyle name="Standard 58 2 2 2" xfId="19639" xr:uid="{00000000-0005-0000-0000-00008E580000}"/>
    <cellStyle name="Standard 58 2 2_est. MEAT" xfId="25635" xr:uid="{00000000-0005-0000-0000-00008F580000}"/>
    <cellStyle name="Standard 58 2 3" xfId="19638" xr:uid="{00000000-0005-0000-0000-000090580000}"/>
    <cellStyle name="Standard 58 2_2012-2019" xfId="13282" xr:uid="{00000000-0005-0000-0000-000091580000}"/>
    <cellStyle name="Standard 58 3" xfId="10225" xr:uid="{00000000-0005-0000-0000-000092580000}"/>
    <cellStyle name="Standard 58 3 2" xfId="19640" xr:uid="{00000000-0005-0000-0000-000093580000}"/>
    <cellStyle name="Standard 58 3_est. MEAT" xfId="25636" xr:uid="{00000000-0005-0000-0000-000094580000}"/>
    <cellStyle name="Standard 58 4" xfId="19637" xr:uid="{00000000-0005-0000-0000-000095580000}"/>
    <cellStyle name="Standard 58_2012-2019" xfId="13281" xr:uid="{00000000-0005-0000-0000-000096580000}"/>
    <cellStyle name="Standard 59" xfId="10226" xr:uid="{00000000-0005-0000-0000-000097580000}"/>
    <cellStyle name="Standard 59 2" xfId="10227" xr:uid="{00000000-0005-0000-0000-000098580000}"/>
    <cellStyle name="Standard 59 2 2" xfId="10228" xr:uid="{00000000-0005-0000-0000-000099580000}"/>
    <cellStyle name="Standard 59 2 2 2" xfId="19643" xr:uid="{00000000-0005-0000-0000-00009A580000}"/>
    <cellStyle name="Standard 59 2 2_est. MEAT" xfId="25637" xr:uid="{00000000-0005-0000-0000-00009B580000}"/>
    <cellStyle name="Standard 59 2 3" xfId="19642" xr:uid="{00000000-0005-0000-0000-00009C580000}"/>
    <cellStyle name="Standard 59 2_2012-2019" xfId="13284" xr:uid="{00000000-0005-0000-0000-00009D580000}"/>
    <cellStyle name="Standard 59 3" xfId="10229" xr:uid="{00000000-0005-0000-0000-00009E580000}"/>
    <cellStyle name="Standard 59 3 2" xfId="19644" xr:uid="{00000000-0005-0000-0000-00009F580000}"/>
    <cellStyle name="Standard 59 3_est. MEAT" xfId="25638" xr:uid="{00000000-0005-0000-0000-0000A0580000}"/>
    <cellStyle name="Standard 59 4" xfId="19641" xr:uid="{00000000-0005-0000-0000-0000A1580000}"/>
    <cellStyle name="Standard 59_2012-2019" xfId="13283" xr:uid="{00000000-0005-0000-0000-0000A2580000}"/>
    <cellStyle name="Standard 6" xfId="10230" xr:uid="{00000000-0005-0000-0000-0000A3580000}"/>
    <cellStyle name="Standard 6 2" xfId="10231" xr:uid="{00000000-0005-0000-0000-0000A4580000}"/>
    <cellStyle name="Standard 6 2 2" xfId="19646" xr:uid="{00000000-0005-0000-0000-0000A5580000}"/>
    <cellStyle name="Standard 6 2_est. MEAT" xfId="25639" xr:uid="{00000000-0005-0000-0000-0000A6580000}"/>
    <cellStyle name="Standard 6 3" xfId="10232" xr:uid="{00000000-0005-0000-0000-0000A7580000}"/>
    <cellStyle name="Standard 6 3 2" xfId="19647" xr:uid="{00000000-0005-0000-0000-0000A8580000}"/>
    <cellStyle name="Standard 6 3_est. MEAT" xfId="25640" xr:uid="{00000000-0005-0000-0000-0000A9580000}"/>
    <cellStyle name="Standard 6 4" xfId="10233" xr:uid="{00000000-0005-0000-0000-0000AA580000}"/>
    <cellStyle name="Standard 6 4 2" xfId="10234" xr:uid="{00000000-0005-0000-0000-0000AB580000}"/>
    <cellStyle name="Standard 6 4 2 2" xfId="19649" xr:uid="{00000000-0005-0000-0000-0000AC580000}"/>
    <cellStyle name="Standard 6 4 2_est. MEAT" xfId="25641" xr:uid="{00000000-0005-0000-0000-0000AD580000}"/>
    <cellStyle name="Standard 6 4 3" xfId="19648" xr:uid="{00000000-0005-0000-0000-0000AE580000}"/>
    <cellStyle name="Standard 6 4_2012-2019" xfId="13286" xr:uid="{00000000-0005-0000-0000-0000AF580000}"/>
    <cellStyle name="Standard 6 5" xfId="10235" xr:uid="{00000000-0005-0000-0000-0000B0580000}"/>
    <cellStyle name="Standard 6 5 2" xfId="19650" xr:uid="{00000000-0005-0000-0000-0000B1580000}"/>
    <cellStyle name="Standard 6 5_est. MEAT" xfId="25642" xr:uid="{00000000-0005-0000-0000-0000B2580000}"/>
    <cellStyle name="Standard 6 6" xfId="19645" xr:uid="{00000000-0005-0000-0000-0000B3580000}"/>
    <cellStyle name="Standard 6_2012-2019" xfId="13285" xr:uid="{00000000-0005-0000-0000-0000B4580000}"/>
    <cellStyle name="Standard 60" xfId="10236" xr:uid="{00000000-0005-0000-0000-0000B5580000}"/>
    <cellStyle name="Standard 60 2" xfId="10237" xr:uid="{00000000-0005-0000-0000-0000B6580000}"/>
    <cellStyle name="Standard 60 2 2" xfId="10238" xr:uid="{00000000-0005-0000-0000-0000B7580000}"/>
    <cellStyle name="Standard 60 2 2 2" xfId="19653" xr:uid="{00000000-0005-0000-0000-0000B8580000}"/>
    <cellStyle name="Standard 60 2 2_est. MEAT" xfId="25643" xr:uid="{00000000-0005-0000-0000-0000B9580000}"/>
    <cellStyle name="Standard 60 2 3" xfId="19652" xr:uid="{00000000-0005-0000-0000-0000BA580000}"/>
    <cellStyle name="Standard 60 2_2012-2019" xfId="13288" xr:uid="{00000000-0005-0000-0000-0000BB580000}"/>
    <cellStyle name="Standard 60 3" xfId="10239" xr:uid="{00000000-0005-0000-0000-0000BC580000}"/>
    <cellStyle name="Standard 60 3 2" xfId="19654" xr:uid="{00000000-0005-0000-0000-0000BD580000}"/>
    <cellStyle name="Standard 60 3_est. MEAT" xfId="25644" xr:uid="{00000000-0005-0000-0000-0000BE580000}"/>
    <cellStyle name="Standard 60 4" xfId="19651" xr:uid="{00000000-0005-0000-0000-0000BF580000}"/>
    <cellStyle name="Standard 60_2012-2019" xfId="13287" xr:uid="{00000000-0005-0000-0000-0000C0580000}"/>
    <cellStyle name="Standard 61" xfId="10240" xr:uid="{00000000-0005-0000-0000-0000C1580000}"/>
    <cellStyle name="Standard 61 2" xfId="10241" xr:uid="{00000000-0005-0000-0000-0000C2580000}"/>
    <cellStyle name="Standard 61 2 2" xfId="10242" xr:uid="{00000000-0005-0000-0000-0000C3580000}"/>
    <cellStyle name="Standard 61 2 2 2" xfId="19657" xr:uid="{00000000-0005-0000-0000-0000C4580000}"/>
    <cellStyle name="Standard 61 2 2_est. MEAT" xfId="25645" xr:uid="{00000000-0005-0000-0000-0000C5580000}"/>
    <cellStyle name="Standard 61 2 3" xfId="19656" xr:uid="{00000000-0005-0000-0000-0000C6580000}"/>
    <cellStyle name="Standard 61 2_2012-2019" xfId="13290" xr:uid="{00000000-0005-0000-0000-0000C7580000}"/>
    <cellStyle name="Standard 61 3" xfId="10243" xr:uid="{00000000-0005-0000-0000-0000C8580000}"/>
    <cellStyle name="Standard 61 3 2" xfId="19658" xr:uid="{00000000-0005-0000-0000-0000C9580000}"/>
    <cellStyle name="Standard 61 3_est. MEAT" xfId="25646" xr:uid="{00000000-0005-0000-0000-0000CA580000}"/>
    <cellStyle name="Standard 61 4" xfId="19655" xr:uid="{00000000-0005-0000-0000-0000CB580000}"/>
    <cellStyle name="Standard 61_2012-2019" xfId="13289" xr:uid="{00000000-0005-0000-0000-0000CC580000}"/>
    <cellStyle name="Standard 62" xfId="10244" xr:uid="{00000000-0005-0000-0000-0000CD580000}"/>
    <cellStyle name="Standard 62 2" xfId="10245" xr:uid="{00000000-0005-0000-0000-0000CE580000}"/>
    <cellStyle name="Standard 62 2 2" xfId="10246" xr:uid="{00000000-0005-0000-0000-0000CF580000}"/>
    <cellStyle name="Standard 62 2 2 2" xfId="19661" xr:uid="{00000000-0005-0000-0000-0000D0580000}"/>
    <cellStyle name="Standard 62 2 2_est. MEAT" xfId="25647" xr:uid="{00000000-0005-0000-0000-0000D1580000}"/>
    <cellStyle name="Standard 62 2 3" xfId="19660" xr:uid="{00000000-0005-0000-0000-0000D2580000}"/>
    <cellStyle name="Standard 62 2_2012-2019" xfId="13292" xr:uid="{00000000-0005-0000-0000-0000D3580000}"/>
    <cellStyle name="Standard 62 3" xfId="10247" xr:uid="{00000000-0005-0000-0000-0000D4580000}"/>
    <cellStyle name="Standard 62 3 2" xfId="19662" xr:uid="{00000000-0005-0000-0000-0000D5580000}"/>
    <cellStyle name="Standard 62 3_est. MEAT" xfId="25648" xr:uid="{00000000-0005-0000-0000-0000D6580000}"/>
    <cellStyle name="Standard 62 4" xfId="19659" xr:uid="{00000000-0005-0000-0000-0000D7580000}"/>
    <cellStyle name="Standard 62_2012-2019" xfId="13291" xr:uid="{00000000-0005-0000-0000-0000D8580000}"/>
    <cellStyle name="Standard 63" xfId="10248" xr:uid="{00000000-0005-0000-0000-0000D9580000}"/>
    <cellStyle name="Standard 63 2" xfId="10249" xr:uid="{00000000-0005-0000-0000-0000DA580000}"/>
    <cellStyle name="Standard 63 2 2" xfId="10250" xr:uid="{00000000-0005-0000-0000-0000DB580000}"/>
    <cellStyle name="Standard 63 2 2 2" xfId="19665" xr:uid="{00000000-0005-0000-0000-0000DC580000}"/>
    <cellStyle name="Standard 63 2 2_est. MEAT" xfId="25649" xr:uid="{00000000-0005-0000-0000-0000DD580000}"/>
    <cellStyle name="Standard 63 2 3" xfId="19664" xr:uid="{00000000-0005-0000-0000-0000DE580000}"/>
    <cellStyle name="Standard 63 2_2012-2019" xfId="13294" xr:uid="{00000000-0005-0000-0000-0000DF580000}"/>
    <cellStyle name="Standard 63 3" xfId="10251" xr:uid="{00000000-0005-0000-0000-0000E0580000}"/>
    <cellStyle name="Standard 63 3 2" xfId="19666" xr:uid="{00000000-0005-0000-0000-0000E1580000}"/>
    <cellStyle name="Standard 63 3_est. MEAT" xfId="25650" xr:uid="{00000000-0005-0000-0000-0000E2580000}"/>
    <cellStyle name="Standard 63 4" xfId="19663" xr:uid="{00000000-0005-0000-0000-0000E3580000}"/>
    <cellStyle name="Standard 63_2012-2019" xfId="13293" xr:uid="{00000000-0005-0000-0000-0000E4580000}"/>
    <cellStyle name="Standard 64" xfId="10252" xr:uid="{00000000-0005-0000-0000-0000E5580000}"/>
    <cellStyle name="Standard 64 2" xfId="10253" xr:uid="{00000000-0005-0000-0000-0000E6580000}"/>
    <cellStyle name="Standard 64 2 2" xfId="10254" xr:uid="{00000000-0005-0000-0000-0000E7580000}"/>
    <cellStyle name="Standard 64 2 2 2" xfId="19669" xr:uid="{00000000-0005-0000-0000-0000E8580000}"/>
    <cellStyle name="Standard 64 2 2_est. MEAT" xfId="25651" xr:uid="{00000000-0005-0000-0000-0000E9580000}"/>
    <cellStyle name="Standard 64 2 3" xfId="19668" xr:uid="{00000000-0005-0000-0000-0000EA580000}"/>
    <cellStyle name="Standard 64 2_2012-2019" xfId="13296" xr:uid="{00000000-0005-0000-0000-0000EB580000}"/>
    <cellStyle name="Standard 64 3" xfId="10255" xr:uid="{00000000-0005-0000-0000-0000EC580000}"/>
    <cellStyle name="Standard 64 3 2" xfId="19670" xr:uid="{00000000-0005-0000-0000-0000ED580000}"/>
    <cellStyle name="Standard 64 3_est. MEAT" xfId="25652" xr:uid="{00000000-0005-0000-0000-0000EE580000}"/>
    <cellStyle name="Standard 64 4" xfId="19667" xr:uid="{00000000-0005-0000-0000-0000EF580000}"/>
    <cellStyle name="Standard 64_2012-2019" xfId="13295" xr:uid="{00000000-0005-0000-0000-0000F0580000}"/>
    <cellStyle name="Standard 65" xfId="10256" xr:uid="{00000000-0005-0000-0000-0000F1580000}"/>
    <cellStyle name="Standard 65 2" xfId="10257" xr:uid="{00000000-0005-0000-0000-0000F2580000}"/>
    <cellStyle name="Standard 65 2 2" xfId="10258" xr:uid="{00000000-0005-0000-0000-0000F3580000}"/>
    <cellStyle name="Standard 65 2 2 2" xfId="19673" xr:uid="{00000000-0005-0000-0000-0000F4580000}"/>
    <cellStyle name="Standard 65 2 2_est. MEAT" xfId="25653" xr:uid="{00000000-0005-0000-0000-0000F5580000}"/>
    <cellStyle name="Standard 65 2 3" xfId="19672" xr:uid="{00000000-0005-0000-0000-0000F6580000}"/>
    <cellStyle name="Standard 65 2_2012-2019" xfId="13298" xr:uid="{00000000-0005-0000-0000-0000F7580000}"/>
    <cellStyle name="Standard 65 3" xfId="10259" xr:uid="{00000000-0005-0000-0000-0000F8580000}"/>
    <cellStyle name="Standard 65 3 2" xfId="19674" xr:uid="{00000000-0005-0000-0000-0000F9580000}"/>
    <cellStyle name="Standard 65 3_est. MEAT" xfId="25654" xr:uid="{00000000-0005-0000-0000-0000FA580000}"/>
    <cellStyle name="Standard 65 4" xfId="19671" xr:uid="{00000000-0005-0000-0000-0000FB580000}"/>
    <cellStyle name="Standard 65_2012-2019" xfId="13297" xr:uid="{00000000-0005-0000-0000-0000FC580000}"/>
    <cellStyle name="Standard 66" xfId="10260" xr:uid="{00000000-0005-0000-0000-0000FD580000}"/>
    <cellStyle name="Standard 66 2" xfId="10261" xr:uid="{00000000-0005-0000-0000-0000FE580000}"/>
    <cellStyle name="Standard 66 2 2" xfId="10262" xr:uid="{00000000-0005-0000-0000-0000FF580000}"/>
    <cellStyle name="Standard 66 2 2 2" xfId="19677" xr:uid="{00000000-0005-0000-0000-000000590000}"/>
    <cellStyle name="Standard 66 2 2_est. MEAT" xfId="25655" xr:uid="{00000000-0005-0000-0000-000001590000}"/>
    <cellStyle name="Standard 66 2 3" xfId="19676" xr:uid="{00000000-0005-0000-0000-000002590000}"/>
    <cellStyle name="Standard 66 2_2012-2019" xfId="13300" xr:uid="{00000000-0005-0000-0000-000003590000}"/>
    <cellStyle name="Standard 66 3" xfId="10263" xr:uid="{00000000-0005-0000-0000-000004590000}"/>
    <cellStyle name="Standard 66 3 2" xfId="19678" xr:uid="{00000000-0005-0000-0000-000005590000}"/>
    <cellStyle name="Standard 66 3_est. MEAT" xfId="25656" xr:uid="{00000000-0005-0000-0000-000006590000}"/>
    <cellStyle name="Standard 66 4" xfId="19675" xr:uid="{00000000-0005-0000-0000-000007590000}"/>
    <cellStyle name="Standard 66_2012-2019" xfId="13299" xr:uid="{00000000-0005-0000-0000-000008590000}"/>
    <cellStyle name="Standard 67" xfId="10264" xr:uid="{00000000-0005-0000-0000-000009590000}"/>
    <cellStyle name="Standard 67 2" xfId="10265" xr:uid="{00000000-0005-0000-0000-00000A590000}"/>
    <cellStyle name="Standard 67 2 2" xfId="10266" xr:uid="{00000000-0005-0000-0000-00000B590000}"/>
    <cellStyle name="Standard 67 2 2 2" xfId="19681" xr:uid="{00000000-0005-0000-0000-00000C590000}"/>
    <cellStyle name="Standard 67 2 2_est. MEAT" xfId="25657" xr:uid="{00000000-0005-0000-0000-00000D590000}"/>
    <cellStyle name="Standard 67 2 3" xfId="19680" xr:uid="{00000000-0005-0000-0000-00000E590000}"/>
    <cellStyle name="Standard 67 2_2012-2019" xfId="13302" xr:uid="{00000000-0005-0000-0000-00000F590000}"/>
    <cellStyle name="Standard 67 3" xfId="10267" xr:uid="{00000000-0005-0000-0000-000010590000}"/>
    <cellStyle name="Standard 67 3 2" xfId="19682" xr:uid="{00000000-0005-0000-0000-000011590000}"/>
    <cellStyle name="Standard 67 3_est. MEAT" xfId="25658" xr:uid="{00000000-0005-0000-0000-000012590000}"/>
    <cellStyle name="Standard 67 4" xfId="19679" xr:uid="{00000000-0005-0000-0000-000013590000}"/>
    <cellStyle name="Standard 67_2012-2019" xfId="13301" xr:uid="{00000000-0005-0000-0000-000014590000}"/>
    <cellStyle name="Standard 68" xfId="10268" xr:uid="{00000000-0005-0000-0000-000015590000}"/>
    <cellStyle name="Standard 68 2" xfId="10269" xr:uid="{00000000-0005-0000-0000-000016590000}"/>
    <cellStyle name="Standard 68 2 2" xfId="10270" xr:uid="{00000000-0005-0000-0000-000017590000}"/>
    <cellStyle name="Standard 68 2 2 2" xfId="19685" xr:uid="{00000000-0005-0000-0000-000018590000}"/>
    <cellStyle name="Standard 68 2 2_est. MEAT" xfId="25659" xr:uid="{00000000-0005-0000-0000-000019590000}"/>
    <cellStyle name="Standard 68 2 3" xfId="19684" xr:uid="{00000000-0005-0000-0000-00001A590000}"/>
    <cellStyle name="Standard 68 2_2012-2019" xfId="13304" xr:uid="{00000000-0005-0000-0000-00001B590000}"/>
    <cellStyle name="Standard 68 3" xfId="10271" xr:uid="{00000000-0005-0000-0000-00001C590000}"/>
    <cellStyle name="Standard 68 3 2" xfId="19686" xr:uid="{00000000-0005-0000-0000-00001D590000}"/>
    <cellStyle name="Standard 68 3_est. MEAT" xfId="25660" xr:uid="{00000000-0005-0000-0000-00001E590000}"/>
    <cellStyle name="Standard 68 4" xfId="19683" xr:uid="{00000000-0005-0000-0000-00001F590000}"/>
    <cellStyle name="Standard 68_2012-2019" xfId="13303" xr:uid="{00000000-0005-0000-0000-000020590000}"/>
    <cellStyle name="Standard 69" xfId="10272" xr:uid="{00000000-0005-0000-0000-000021590000}"/>
    <cellStyle name="Standard 69 2" xfId="19687" xr:uid="{00000000-0005-0000-0000-000022590000}"/>
    <cellStyle name="Standard 69_est. MEAT" xfId="25661" xr:uid="{00000000-0005-0000-0000-000023590000}"/>
    <cellStyle name="Standard 7" xfId="10273" xr:uid="{00000000-0005-0000-0000-000024590000}"/>
    <cellStyle name="Standard 7 2" xfId="10274" xr:uid="{00000000-0005-0000-0000-000025590000}"/>
    <cellStyle name="Standard 7 2 2" xfId="19689" xr:uid="{00000000-0005-0000-0000-000026590000}"/>
    <cellStyle name="Standard 7 2_est. MEAT" xfId="25662" xr:uid="{00000000-0005-0000-0000-000027590000}"/>
    <cellStyle name="Standard 7 3" xfId="10275" xr:uid="{00000000-0005-0000-0000-000028590000}"/>
    <cellStyle name="Standard 7 3 2" xfId="19690" xr:uid="{00000000-0005-0000-0000-000029590000}"/>
    <cellStyle name="Standard 7 3_est. MEAT" xfId="25663" xr:uid="{00000000-0005-0000-0000-00002A590000}"/>
    <cellStyle name="Standard 7 4" xfId="10276" xr:uid="{00000000-0005-0000-0000-00002B590000}"/>
    <cellStyle name="Standard 7 4 2" xfId="10277" xr:uid="{00000000-0005-0000-0000-00002C590000}"/>
    <cellStyle name="Standard 7 4 2 2" xfId="19692" xr:uid="{00000000-0005-0000-0000-00002D590000}"/>
    <cellStyle name="Standard 7 4 2_est. MEAT" xfId="25664" xr:uid="{00000000-0005-0000-0000-00002E590000}"/>
    <cellStyle name="Standard 7 4 3" xfId="19691" xr:uid="{00000000-0005-0000-0000-00002F590000}"/>
    <cellStyle name="Standard 7 4_2012-2019" xfId="13306" xr:uid="{00000000-0005-0000-0000-000030590000}"/>
    <cellStyle name="Standard 7 5" xfId="10278" xr:uid="{00000000-0005-0000-0000-000031590000}"/>
    <cellStyle name="Standard 7 5 2" xfId="19693" xr:uid="{00000000-0005-0000-0000-000032590000}"/>
    <cellStyle name="Standard 7 5_est. MEAT" xfId="25665" xr:uid="{00000000-0005-0000-0000-000033590000}"/>
    <cellStyle name="Standard 7 6" xfId="19688" xr:uid="{00000000-0005-0000-0000-000034590000}"/>
    <cellStyle name="Standard 7_2012-2019" xfId="13305" xr:uid="{00000000-0005-0000-0000-000035590000}"/>
    <cellStyle name="Standard 70" xfId="10279" xr:uid="{00000000-0005-0000-0000-000036590000}"/>
    <cellStyle name="Standard 70 2" xfId="10280" xr:uid="{00000000-0005-0000-0000-000037590000}"/>
    <cellStyle name="Standard 70 2 2" xfId="10281" xr:uid="{00000000-0005-0000-0000-000038590000}"/>
    <cellStyle name="Standard 70 2 2 2" xfId="19696" xr:uid="{00000000-0005-0000-0000-000039590000}"/>
    <cellStyle name="Standard 70 2 2_est. MEAT" xfId="25666" xr:uid="{00000000-0005-0000-0000-00003A590000}"/>
    <cellStyle name="Standard 70 2 3" xfId="19695" xr:uid="{00000000-0005-0000-0000-00003B590000}"/>
    <cellStyle name="Standard 70 2_2012-2019" xfId="13308" xr:uid="{00000000-0005-0000-0000-00003C590000}"/>
    <cellStyle name="Standard 70 3" xfId="10282" xr:uid="{00000000-0005-0000-0000-00003D590000}"/>
    <cellStyle name="Standard 70 3 2" xfId="19697" xr:uid="{00000000-0005-0000-0000-00003E590000}"/>
    <cellStyle name="Standard 70 3_est. MEAT" xfId="25667" xr:uid="{00000000-0005-0000-0000-00003F590000}"/>
    <cellStyle name="Standard 70 4" xfId="19694" xr:uid="{00000000-0005-0000-0000-000040590000}"/>
    <cellStyle name="Standard 70_2012-2019" xfId="13307" xr:uid="{00000000-0005-0000-0000-000041590000}"/>
    <cellStyle name="Standard 71" xfId="10283" xr:uid="{00000000-0005-0000-0000-000042590000}"/>
    <cellStyle name="Standard 71 2" xfId="10284" xr:uid="{00000000-0005-0000-0000-000043590000}"/>
    <cellStyle name="Standard 71 2 2" xfId="10285" xr:uid="{00000000-0005-0000-0000-000044590000}"/>
    <cellStyle name="Standard 71 2 2 2" xfId="19700" xr:uid="{00000000-0005-0000-0000-000045590000}"/>
    <cellStyle name="Standard 71 2 2_est. MEAT" xfId="25668" xr:uid="{00000000-0005-0000-0000-000046590000}"/>
    <cellStyle name="Standard 71 2 3" xfId="19699" xr:uid="{00000000-0005-0000-0000-000047590000}"/>
    <cellStyle name="Standard 71 2_2012-2019" xfId="13310" xr:uid="{00000000-0005-0000-0000-000048590000}"/>
    <cellStyle name="Standard 71 3" xfId="10286" xr:uid="{00000000-0005-0000-0000-000049590000}"/>
    <cellStyle name="Standard 71 3 2" xfId="19701" xr:uid="{00000000-0005-0000-0000-00004A590000}"/>
    <cellStyle name="Standard 71 3_est. MEAT" xfId="25669" xr:uid="{00000000-0005-0000-0000-00004B590000}"/>
    <cellStyle name="Standard 71 4" xfId="19698" xr:uid="{00000000-0005-0000-0000-00004C590000}"/>
    <cellStyle name="Standard 71_2012-2019" xfId="13309" xr:uid="{00000000-0005-0000-0000-00004D590000}"/>
    <cellStyle name="Standard 72" xfId="10287" xr:uid="{00000000-0005-0000-0000-00004E590000}"/>
    <cellStyle name="Standard 72 2" xfId="10288" xr:uid="{00000000-0005-0000-0000-00004F590000}"/>
    <cellStyle name="Standard 72 2 2" xfId="10289" xr:uid="{00000000-0005-0000-0000-000050590000}"/>
    <cellStyle name="Standard 72 2 2 2" xfId="19704" xr:uid="{00000000-0005-0000-0000-000051590000}"/>
    <cellStyle name="Standard 72 2 2_est. MEAT" xfId="25670" xr:uid="{00000000-0005-0000-0000-000052590000}"/>
    <cellStyle name="Standard 72 2 3" xfId="19703" xr:uid="{00000000-0005-0000-0000-000053590000}"/>
    <cellStyle name="Standard 72 2_2012-2019" xfId="13312" xr:uid="{00000000-0005-0000-0000-000054590000}"/>
    <cellStyle name="Standard 72 3" xfId="10290" xr:uid="{00000000-0005-0000-0000-000055590000}"/>
    <cellStyle name="Standard 72 3 2" xfId="19705" xr:uid="{00000000-0005-0000-0000-000056590000}"/>
    <cellStyle name="Standard 72 3_est. MEAT" xfId="25671" xr:uid="{00000000-0005-0000-0000-000057590000}"/>
    <cellStyle name="Standard 72 4" xfId="19702" xr:uid="{00000000-0005-0000-0000-000058590000}"/>
    <cellStyle name="Standard 72_2012-2019" xfId="13311" xr:uid="{00000000-0005-0000-0000-000059590000}"/>
    <cellStyle name="Standard 73" xfId="10291" xr:uid="{00000000-0005-0000-0000-00005A590000}"/>
    <cellStyle name="Standard 73 2" xfId="10292" xr:uid="{00000000-0005-0000-0000-00005B590000}"/>
    <cellStyle name="Standard 73 2 2" xfId="10293" xr:uid="{00000000-0005-0000-0000-00005C590000}"/>
    <cellStyle name="Standard 73 2 2 2" xfId="19708" xr:uid="{00000000-0005-0000-0000-00005D590000}"/>
    <cellStyle name="Standard 73 2 2_est. MEAT" xfId="25672" xr:uid="{00000000-0005-0000-0000-00005E590000}"/>
    <cellStyle name="Standard 73 2 3" xfId="19707" xr:uid="{00000000-0005-0000-0000-00005F590000}"/>
    <cellStyle name="Standard 73 2_2012-2019" xfId="13314" xr:uid="{00000000-0005-0000-0000-000060590000}"/>
    <cellStyle name="Standard 73 3" xfId="10294" xr:uid="{00000000-0005-0000-0000-000061590000}"/>
    <cellStyle name="Standard 73 3 2" xfId="19709" xr:uid="{00000000-0005-0000-0000-000062590000}"/>
    <cellStyle name="Standard 73 3_est. MEAT" xfId="25673" xr:uid="{00000000-0005-0000-0000-000063590000}"/>
    <cellStyle name="Standard 73 4" xfId="19706" xr:uid="{00000000-0005-0000-0000-000064590000}"/>
    <cellStyle name="Standard 73_2012-2019" xfId="13313" xr:uid="{00000000-0005-0000-0000-000065590000}"/>
    <cellStyle name="Standard 74" xfId="10295" xr:uid="{00000000-0005-0000-0000-000066590000}"/>
    <cellStyle name="Standard 74 2" xfId="10296" xr:uid="{00000000-0005-0000-0000-000067590000}"/>
    <cellStyle name="Standard 74 2 2" xfId="10297" xr:uid="{00000000-0005-0000-0000-000068590000}"/>
    <cellStyle name="Standard 74 2 2 2" xfId="19712" xr:uid="{00000000-0005-0000-0000-000069590000}"/>
    <cellStyle name="Standard 74 2 2_est. MEAT" xfId="25674" xr:uid="{00000000-0005-0000-0000-00006A590000}"/>
    <cellStyle name="Standard 74 2 3" xfId="19711" xr:uid="{00000000-0005-0000-0000-00006B590000}"/>
    <cellStyle name="Standard 74 2_2012-2019" xfId="13316" xr:uid="{00000000-0005-0000-0000-00006C590000}"/>
    <cellStyle name="Standard 74 3" xfId="10298" xr:uid="{00000000-0005-0000-0000-00006D590000}"/>
    <cellStyle name="Standard 74 3 2" xfId="19713" xr:uid="{00000000-0005-0000-0000-00006E590000}"/>
    <cellStyle name="Standard 74 3_est. MEAT" xfId="25675" xr:uid="{00000000-0005-0000-0000-00006F590000}"/>
    <cellStyle name="Standard 74 4" xfId="19710" xr:uid="{00000000-0005-0000-0000-000070590000}"/>
    <cellStyle name="Standard 74_2012-2019" xfId="13315" xr:uid="{00000000-0005-0000-0000-000071590000}"/>
    <cellStyle name="Standard 75" xfId="10299" xr:uid="{00000000-0005-0000-0000-000072590000}"/>
    <cellStyle name="Standard 75 2" xfId="10300" xr:uid="{00000000-0005-0000-0000-000073590000}"/>
    <cellStyle name="Standard 75 2 2" xfId="10301" xr:uid="{00000000-0005-0000-0000-000074590000}"/>
    <cellStyle name="Standard 75 2 2 2" xfId="19716" xr:uid="{00000000-0005-0000-0000-000075590000}"/>
    <cellStyle name="Standard 75 2 2_est. MEAT" xfId="25676" xr:uid="{00000000-0005-0000-0000-000076590000}"/>
    <cellStyle name="Standard 75 2 3" xfId="19715" xr:uid="{00000000-0005-0000-0000-000077590000}"/>
    <cellStyle name="Standard 75 2_2012-2019" xfId="13318" xr:uid="{00000000-0005-0000-0000-000078590000}"/>
    <cellStyle name="Standard 75 3" xfId="10302" xr:uid="{00000000-0005-0000-0000-000079590000}"/>
    <cellStyle name="Standard 75 3 2" xfId="19717" xr:uid="{00000000-0005-0000-0000-00007A590000}"/>
    <cellStyle name="Standard 75 3_est. MEAT" xfId="25677" xr:uid="{00000000-0005-0000-0000-00007B590000}"/>
    <cellStyle name="Standard 75 4" xfId="19714" xr:uid="{00000000-0005-0000-0000-00007C590000}"/>
    <cellStyle name="Standard 75_2012-2019" xfId="13317" xr:uid="{00000000-0005-0000-0000-00007D590000}"/>
    <cellStyle name="Standard 76" xfId="10303" xr:uid="{00000000-0005-0000-0000-00007E590000}"/>
    <cellStyle name="Standard 76 2" xfId="10304" xr:uid="{00000000-0005-0000-0000-00007F590000}"/>
    <cellStyle name="Standard 76 2 2" xfId="10305" xr:uid="{00000000-0005-0000-0000-000080590000}"/>
    <cellStyle name="Standard 76 2 2 2" xfId="19720" xr:uid="{00000000-0005-0000-0000-000081590000}"/>
    <cellStyle name="Standard 76 2 2_est. MEAT" xfId="25678" xr:uid="{00000000-0005-0000-0000-000082590000}"/>
    <cellStyle name="Standard 76 2 3" xfId="19719" xr:uid="{00000000-0005-0000-0000-000083590000}"/>
    <cellStyle name="Standard 76 2_2012-2019" xfId="13320" xr:uid="{00000000-0005-0000-0000-000084590000}"/>
    <cellStyle name="Standard 76 3" xfId="10306" xr:uid="{00000000-0005-0000-0000-000085590000}"/>
    <cellStyle name="Standard 76 3 2" xfId="19721" xr:uid="{00000000-0005-0000-0000-000086590000}"/>
    <cellStyle name="Standard 76 3_est. MEAT" xfId="25679" xr:uid="{00000000-0005-0000-0000-000087590000}"/>
    <cellStyle name="Standard 76 4" xfId="19718" xr:uid="{00000000-0005-0000-0000-000088590000}"/>
    <cellStyle name="Standard 76_2012-2019" xfId="13319" xr:uid="{00000000-0005-0000-0000-000089590000}"/>
    <cellStyle name="Standard 77" xfId="10307" xr:uid="{00000000-0005-0000-0000-00008A590000}"/>
    <cellStyle name="Standard 77 2" xfId="10308" xr:uid="{00000000-0005-0000-0000-00008B590000}"/>
    <cellStyle name="Standard 77 2 2" xfId="10309" xr:uid="{00000000-0005-0000-0000-00008C590000}"/>
    <cellStyle name="Standard 77 2 2 2" xfId="19724" xr:uid="{00000000-0005-0000-0000-00008D590000}"/>
    <cellStyle name="Standard 77 2 2_est. MEAT" xfId="25680" xr:uid="{00000000-0005-0000-0000-00008E590000}"/>
    <cellStyle name="Standard 77 2 3" xfId="19723" xr:uid="{00000000-0005-0000-0000-00008F590000}"/>
    <cellStyle name="Standard 77 2_2012-2019" xfId="13322" xr:uid="{00000000-0005-0000-0000-000090590000}"/>
    <cellStyle name="Standard 77 3" xfId="10310" xr:uid="{00000000-0005-0000-0000-000091590000}"/>
    <cellStyle name="Standard 77 3 2" xfId="19725" xr:uid="{00000000-0005-0000-0000-000092590000}"/>
    <cellStyle name="Standard 77 3_est. MEAT" xfId="25681" xr:uid="{00000000-0005-0000-0000-000093590000}"/>
    <cellStyle name="Standard 77 4" xfId="19722" xr:uid="{00000000-0005-0000-0000-000094590000}"/>
    <cellStyle name="Standard 77_2012-2019" xfId="13321" xr:uid="{00000000-0005-0000-0000-000095590000}"/>
    <cellStyle name="Standard 78" xfId="10311" xr:uid="{00000000-0005-0000-0000-000096590000}"/>
    <cellStyle name="Standard 78 2" xfId="10312" xr:uid="{00000000-0005-0000-0000-000097590000}"/>
    <cellStyle name="Standard 78 2 2" xfId="10313" xr:uid="{00000000-0005-0000-0000-000098590000}"/>
    <cellStyle name="Standard 78 2 2 2" xfId="19728" xr:uid="{00000000-0005-0000-0000-000099590000}"/>
    <cellStyle name="Standard 78 2 2_est. MEAT" xfId="25682" xr:uid="{00000000-0005-0000-0000-00009A590000}"/>
    <cellStyle name="Standard 78 2 3" xfId="19727" xr:uid="{00000000-0005-0000-0000-00009B590000}"/>
    <cellStyle name="Standard 78 2_2012-2019" xfId="13324" xr:uid="{00000000-0005-0000-0000-00009C590000}"/>
    <cellStyle name="Standard 78 3" xfId="10314" xr:uid="{00000000-0005-0000-0000-00009D590000}"/>
    <cellStyle name="Standard 78 3 2" xfId="19729" xr:uid="{00000000-0005-0000-0000-00009E590000}"/>
    <cellStyle name="Standard 78 3_est. MEAT" xfId="25683" xr:uid="{00000000-0005-0000-0000-00009F590000}"/>
    <cellStyle name="Standard 78 4" xfId="19726" xr:uid="{00000000-0005-0000-0000-0000A0590000}"/>
    <cellStyle name="Standard 78_2012-2019" xfId="13323" xr:uid="{00000000-0005-0000-0000-0000A1590000}"/>
    <cellStyle name="Standard 79" xfId="10315" xr:uid="{00000000-0005-0000-0000-0000A2590000}"/>
    <cellStyle name="Standard 79 2" xfId="10316" xr:uid="{00000000-0005-0000-0000-0000A3590000}"/>
    <cellStyle name="Standard 79 2 2" xfId="10317" xr:uid="{00000000-0005-0000-0000-0000A4590000}"/>
    <cellStyle name="Standard 79 2 2 2" xfId="19732" xr:uid="{00000000-0005-0000-0000-0000A5590000}"/>
    <cellStyle name="Standard 79 2 2_est. MEAT" xfId="25684" xr:uid="{00000000-0005-0000-0000-0000A6590000}"/>
    <cellStyle name="Standard 79 2 3" xfId="19731" xr:uid="{00000000-0005-0000-0000-0000A7590000}"/>
    <cellStyle name="Standard 79 2_2012-2019" xfId="13326" xr:uid="{00000000-0005-0000-0000-0000A8590000}"/>
    <cellStyle name="Standard 79 3" xfId="10318" xr:uid="{00000000-0005-0000-0000-0000A9590000}"/>
    <cellStyle name="Standard 79 3 2" xfId="19733" xr:uid="{00000000-0005-0000-0000-0000AA590000}"/>
    <cellStyle name="Standard 79 3_est. MEAT" xfId="25685" xr:uid="{00000000-0005-0000-0000-0000AB590000}"/>
    <cellStyle name="Standard 79 4" xfId="19730" xr:uid="{00000000-0005-0000-0000-0000AC590000}"/>
    <cellStyle name="Standard 79_2012-2019" xfId="13325" xr:uid="{00000000-0005-0000-0000-0000AD590000}"/>
    <cellStyle name="Standard 8" xfId="10319" xr:uid="{00000000-0005-0000-0000-0000AE590000}"/>
    <cellStyle name="Standard 8 2" xfId="10320" xr:uid="{00000000-0005-0000-0000-0000AF590000}"/>
    <cellStyle name="Standard 8 2 2" xfId="19735" xr:uid="{00000000-0005-0000-0000-0000B0590000}"/>
    <cellStyle name="Standard 8 2_est. MEAT" xfId="25686" xr:uid="{00000000-0005-0000-0000-0000B1590000}"/>
    <cellStyle name="Standard 8 3" xfId="10321" xr:uid="{00000000-0005-0000-0000-0000B2590000}"/>
    <cellStyle name="Standard 8 3 2" xfId="19736" xr:uid="{00000000-0005-0000-0000-0000B3590000}"/>
    <cellStyle name="Standard 8 3_est. MEAT" xfId="25687" xr:uid="{00000000-0005-0000-0000-0000B4590000}"/>
    <cellStyle name="Standard 8 4" xfId="10322" xr:uid="{00000000-0005-0000-0000-0000B5590000}"/>
    <cellStyle name="Standard 8 4 2" xfId="10323" xr:uid="{00000000-0005-0000-0000-0000B6590000}"/>
    <cellStyle name="Standard 8 4 2 2" xfId="19738" xr:uid="{00000000-0005-0000-0000-0000B7590000}"/>
    <cellStyle name="Standard 8 4 2_est. MEAT" xfId="25688" xr:uid="{00000000-0005-0000-0000-0000B8590000}"/>
    <cellStyle name="Standard 8 4 3" xfId="19737" xr:uid="{00000000-0005-0000-0000-0000B9590000}"/>
    <cellStyle name="Standard 8 4_2012-2019" xfId="13328" xr:uid="{00000000-0005-0000-0000-0000BA590000}"/>
    <cellStyle name="Standard 8 5" xfId="10324" xr:uid="{00000000-0005-0000-0000-0000BB590000}"/>
    <cellStyle name="Standard 8 5 2" xfId="19739" xr:uid="{00000000-0005-0000-0000-0000BC590000}"/>
    <cellStyle name="Standard 8 5_est. MEAT" xfId="25689" xr:uid="{00000000-0005-0000-0000-0000BD590000}"/>
    <cellStyle name="Standard 8 6" xfId="10325" xr:uid="{00000000-0005-0000-0000-0000BE590000}"/>
    <cellStyle name="Standard 8 6 2" xfId="19740" xr:uid="{00000000-0005-0000-0000-0000BF590000}"/>
    <cellStyle name="Standard 8 6_est. MEAT" xfId="25690" xr:uid="{00000000-0005-0000-0000-0000C0590000}"/>
    <cellStyle name="Standard 8 7" xfId="19734" xr:uid="{00000000-0005-0000-0000-0000C1590000}"/>
    <cellStyle name="Standard 8_2012-2019" xfId="13327" xr:uid="{00000000-0005-0000-0000-0000C2590000}"/>
    <cellStyle name="Standard 80" xfId="10326" xr:uid="{00000000-0005-0000-0000-0000C3590000}"/>
    <cellStyle name="Standard 80 2" xfId="10327" xr:uid="{00000000-0005-0000-0000-0000C4590000}"/>
    <cellStyle name="Standard 80 2 2" xfId="10328" xr:uid="{00000000-0005-0000-0000-0000C5590000}"/>
    <cellStyle name="Standard 80 2 2 2" xfId="19743" xr:uid="{00000000-0005-0000-0000-0000C6590000}"/>
    <cellStyle name="Standard 80 2 2_est. MEAT" xfId="25691" xr:uid="{00000000-0005-0000-0000-0000C7590000}"/>
    <cellStyle name="Standard 80 2 3" xfId="19742" xr:uid="{00000000-0005-0000-0000-0000C8590000}"/>
    <cellStyle name="Standard 80 2_2012-2019" xfId="13330" xr:uid="{00000000-0005-0000-0000-0000C9590000}"/>
    <cellStyle name="Standard 80 3" xfId="10329" xr:uid="{00000000-0005-0000-0000-0000CA590000}"/>
    <cellStyle name="Standard 80 3 2" xfId="19744" xr:uid="{00000000-0005-0000-0000-0000CB590000}"/>
    <cellStyle name="Standard 80 3_est. MEAT" xfId="25692" xr:uid="{00000000-0005-0000-0000-0000CC590000}"/>
    <cellStyle name="Standard 80 4" xfId="19741" xr:uid="{00000000-0005-0000-0000-0000CD590000}"/>
    <cellStyle name="Standard 80_2012-2019" xfId="13329" xr:uid="{00000000-0005-0000-0000-0000CE590000}"/>
    <cellStyle name="Standard 81" xfId="10330" xr:uid="{00000000-0005-0000-0000-0000CF590000}"/>
    <cellStyle name="Standard 81 2" xfId="10331" xr:uid="{00000000-0005-0000-0000-0000D0590000}"/>
    <cellStyle name="Standard 81 2 2" xfId="10332" xr:uid="{00000000-0005-0000-0000-0000D1590000}"/>
    <cellStyle name="Standard 81 2 2 2" xfId="19747" xr:uid="{00000000-0005-0000-0000-0000D2590000}"/>
    <cellStyle name="Standard 81 2 2_est. MEAT" xfId="25693" xr:uid="{00000000-0005-0000-0000-0000D3590000}"/>
    <cellStyle name="Standard 81 2 3" xfId="19746" xr:uid="{00000000-0005-0000-0000-0000D4590000}"/>
    <cellStyle name="Standard 81 2_2012-2019" xfId="13332" xr:uid="{00000000-0005-0000-0000-0000D5590000}"/>
    <cellStyle name="Standard 81 3" xfId="10333" xr:uid="{00000000-0005-0000-0000-0000D6590000}"/>
    <cellStyle name="Standard 81 3 2" xfId="19748" xr:uid="{00000000-0005-0000-0000-0000D7590000}"/>
    <cellStyle name="Standard 81 3_est. MEAT" xfId="25694" xr:uid="{00000000-0005-0000-0000-0000D8590000}"/>
    <cellStyle name="Standard 81 4" xfId="19745" xr:uid="{00000000-0005-0000-0000-0000D9590000}"/>
    <cellStyle name="Standard 81_2012-2019" xfId="13331" xr:uid="{00000000-0005-0000-0000-0000DA590000}"/>
    <cellStyle name="Standard 82" xfId="10334" xr:uid="{00000000-0005-0000-0000-0000DB590000}"/>
    <cellStyle name="Standard 82 2" xfId="10335" xr:uid="{00000000-0005-0000-0000-0000DC590000}"/>
    <cellStyle name="Standard 82 2 2" xfId="10336" xr:uid="{00000000-0005-0000-0000-0000DD590000}"/>
    <cellStyle name="Standard 82 2 2 2" xfId="19751" xr:uid="{00000000-0005-0000-0000-0000DE590000}"/>
    <cellStyle name="Standard 82 2 2_est. MEAT" xfId="25695" xr:uid="{00000000-0005-0000-0000-0000DF590000}"/>
    <cellStyle name="Standard 82 2 3" xfId="19750" xr:uid="{00000000-0005-0000-0000-0000E0590000}"/>
    <cellStyle name="Standard 82 2_2012-2019" xfId="13334" xr:uid="{00000000-0005-0000-0000-0000E1590000}"/>
    <cellStyle name="Standard 82 3" xfId="10337" xr:uid="{00000000-0005-0000-0000-0000E2590000}"/>
    <cellStyle name="Standard 82 3 2" xfId="19752" xr:uid="{00000000-0005-0000-0000-0000E3590000}"/>
    <cellStyle name="Standard 82 3_est. MEAT" xfId="25696" xr:uid="{00000000-0005-0000-0000-0000E4590000}"/>
    <cellStyle name="Standard 82 4" xfId="19749" xr:uid="{00000000-0005-0000-0000-0000E5590000}"/>
    <cellStyle name="Standard 82_2012-2019" xfId="13333" xr:uid="{00000000-0005-0000-0000-0000E6590000}"/>
    <cellStyle name="Standard 83" xfId="10338" xr:uid="{00000000-0005-0000-0000-0000E7590000}"/>
    <cellStyle name="Standard 83 2" xfId="10339" xr:uid="{00000000-0005-0000-0000-0000E8590000}"/>
    <cellStyle name="Standard 83 2 2" xfId="10340" xr:uid="{00000000-0005-0000-0000-0000E9590000}"/>
    <cellStyle name="Standard 83 2 2 2" xfId="19755" xr:uid="{00000000-0005-0000-0000-0000EA590000}"/>
    <cellStyle name="Standard 83 2 2_est. MEAT" xfId="25697" xr:uid="{00000000-0005-0000-0000-0000EB590000}"/>
    <cellStyle name="Standard 83 2 3" xfId="19754" xr:uid="{00000000-0005-0000-0000-0000EC590000}"/>
    <cellStyle name="Standard 83 2_2012-2019" xfId="13336" xr:uid="{00000000-0005-0000-0000-0000ED590000}"/>
    <cellStyle name="Standard 83 3" xfId="10341" xr:uid="{00000000-0005-0000-0000-0000EE590000}"/>
    <cellStyle name="Standard 83 3 2" xfId="19756" xr:uid="{00000000-0005-0000-0000-0000EF590000}"/>
    <cellStyle name="Standard 83 3_est. MEAT" xfId="25698" xr:uid="{00000000-0005-0000-0000-0000F0590000}"/>
    <cellStyle name="Standard 83 4" xfId="19753" xr:uid="{00000000-0005-0000-0000-0000F1590000}"/>
    <cellStyle name="Standard 83_2012-2019" xfId="13335" xr:uid="{00000000-0005-0000-0000-0000F2590000}"/>
    <cellStyle name="Standard 84" xfId="10342" xr:uid="{00000000-0005-0000-0000-0000F3590000}"/>
    <cellStyle name="Standard 84 2" xfId="10343" xr:uid="{00000000-0005-0000-0000-0000F4590000}"/>
    <cellStyle name="Standard 84 2 2" xfId="10344" xr:uid="{00000000-0005-0000-0000-0000F5590000}"/>
    <cellStyle name="Standard 84 2 2 2" xfId="19759" xr:uid="{00000000-0005-0000-0000-0000F6590000}"/>
    <cellStyle name="Standard 84 2 2_est. MEAT" xfId="25699" xr:uid="{00000000-0005-0000-0000-0000F7590000}"/>
    <cellStyle name="Standard 84 2 3" xfId="19758" xr:uid="{00000000-0005-0000-0000-0000F8590000}"/>
    <cellStyle name="Standard 84 2_2012-2019" xfId="13338" xr:uid="{00000000-0005-0000-0000-0000F9590000}"/>
    <cellStyle name="Standard 84 3" xfId="10345" xr:uid="{00000000-0005-0000-0000-0000FA590000}"/>
    <cellStyle name="Standard 84 3 2" xfId="19760" xr:uid="{00000000-0005-0000-0000-0000FB590000}"/>
    <cellStyle name="Standard 84 3_est. MEAT" xfId="25700" xr:uid="{00000000-0005-0000-0000-0000FC590000}"/>
    <cellStyle name="Standard 84 4" xfId="19757" xr:uid="{00000000-0005-0000-0000-0000FD590000}"/>
    <cellStyle name="Standard 84_2012-2019" xfId="13337" xr:uid="{00000000-0005-0000-0000-0000FE590000}"/>
    <cellStyle name="Standard 85" xfId="10346" xr:uid="{00000000-0005-0000-0000-0000FF590000}"/>
    <cellStyle name="Standard 85 2" xfId="10347" xr:uid="{00000000-0005-0000-0000-0000005A0000}"/>
    <cellStyle name="Standard 85 2 2" xfId="10348" xr:uid="{00000000-0005-0000-0000-0000015A0000}"/>
    <cellStyle name="Standard 85 2 2 2" xfId="19763" xr:uid="{00000000-0005-0000-0000-0000025A0000}"/>
    <cellStyle name="Standard 85 2 2_est. MEAT" xfId="25701" xr:uid="{00000000-0005-0000-0000-0000035A0000}"/>
    <cellStyle name="Standard 85 2 3" xfId="19762" xr:uid="{00000000-0005-0000-0000-0000045A0000}"/>
    <cellStyle name="Standard 85 2_2012-2019" xfId="13340" xr:uid="{00000000-0005-0000-0000-0000055A0000}"/>
    <cellStyle name="Standard 85 3" xfId="10349" xr:uid="{00000000-0005-0000-0000-0000065A0000}"/>
    <cellStyle name="Standard 85 3 2" xfId="19764" xr:uid="{00000000-0005-0000-0000-0000075A0000}"/>
    <cellStyle name="Standard 85 3_est. MEAT" xfId="25702" xr:uid="{00000000-0005-0000-0000-0000085A0000}"/>
    <cellStyle name="Standard 85 4" xfId="19761" xr:uid="{00000000-0005-0000-0000-0000095A0000}"/>
    <cellStyle name="Standard 85_2012-2019" xfId="13339" xr:uid="{00000000-0005-0000-0000-00000A5A0000}"/>
    <cellStyle name="Standard 86" xfId="10350" xr:uid="{00000000-0005-0000-0000-00000B5A0000}"/>
    <cellStyle name="Standard 86 2" xfId="10351" xr:uid="{00000000-0005-0000-0000-00000C5A0000}"/>
    <cellStyle name="Standard 86 2 2" xfId="10352" xr:uid="{00000000-0005-0000-0000-00000D5A0000}"/>
    <cellStyle name="Standard 86 2 2 2" xfId="19767" xr:uid="{00000000-0005-0000-0000-00000E5A0000}"/>
    <cellStyle name="Standard 86 2 2_est. MEAT" xfId="25703" xr:uid="{00000000-0005-0000-0000-00000F5A0000}"/>
    <cellStyle name="Standard 86 2 3" xfId="19766" xr:uid="{00000000-0005-0000-0000-0000105A0000}"/>
    <cellStyle name="Standard 86 2_2012-2019" xfId="13342" xr:uid="{00000000-0005-0000-0000-0000115A0000}"/>
    <cellStyle name="Standard 86 3" xfId="10353" xr:uid="{00000000-0005-0000-0000-0000125A0000}"/>
    <cellStyle name="Standard 86 3 2" xfId="19768" xr:uid="{00000000-0005-0000-0000-0000135A0000}"/>
    <cellStyle name="Standard 86 3_est. MEAT" xfId="25704" xr:uid="{00000000-0005-0000-0000-0000145A0000}"/>
    <cellStyle name="Standard 86 4" xfId="19765" xr:uid="{00000000-0005-0000-0000-0000155A0000}"/>
    <cellStyle name="Standard 86_2012-2019" xfId="13341" xr:uid="{00000000-0005-0000-0000-0000165A0000}"/>
    <cellStyle name="Standard 87" xfId="10354" xr:uid="{00000000-0005-0000-0000-0000175A0000}"/>
    <cellStyle name="Standard 87 2" xfId="10355" xr:uid="{00000000-0005-0000-0000-0000185A0000}"/>
    <cellStyle name="Standard 87 2 2" xfId="10356" xr:uid="{00000000-0005-0000-0000-0000195A0000}"/>
    <cellStyle name="Standard 87 2 2 2" xfId="19771" xr:uid="{00000000-0005-0000-0000-00001A5A0000}"/>
    <cellStyle name="Standard 87 2 2_est. MEAT" xfId="25705" xr:uid="{00000000-0005-0000-0000-00001B5A0000}"/>
    <cellStyle name="Standard 87 2 3" xfId="19770" xr:uid="{00000000-0005-0000-0000-00001C5A0000}"/>
    <cellStyle name="Standard 87 2_2012-2019" xfId="13344" xr:uid="{00000000-0005-0000-0000-00001D5A0000}"/>
    <cellStyle name="Standard 87 3" xfId="10357" xr:uid="{00000000-0005-0000-0000-00001E5A0000}"/>
    <cellStyle name="Standard 87 3 2" xfId="19772" xr:uid="{00000000-0005-0000-0000-00001F5A0000}"/>
    <cellStyle name="Standard 87 3_est. MEAT" xfId="25706" xr:uid="{00000000-0005-0000-0000-0000205A0000}"/>
    <cellStyle name="Standard 87 4" xfId="19769" xr:uid="{00000000-0005-0000-0000-0000215A0000}"/>
    <cellStyle name="Standard 87_2012-2019" xfId="13343" xr:uid="{00000000-0005-0000-0000-0000225A0000}"/>
    <cellStyle name="Standard 88" xfId="10358" xr:uid="{00000000-0005-0000-0000-0000235A0000}"/>
    <cellStyle name="Standard 88 2" xfId="10359" xr:uid="{00000000-0005-0000-0000-0000245A0000}"/>
    <cellStyle name="Standard 88 2 2" xfId="10360" xr:uid="{00000000-0005-0000-0000-0000255A0000}"/>
    <cellStyle name="Standard 88 2 2 2" xfId="19775" xr:uid="{00000000-0005-0000-0000-0000265A0000}"/>
    <cellStyle name="Standard 88 2 2_est. MEAT" xfId="25707" xr:uid="{00000000-0005-0000-0000-0000275A0000}"/>
    <cellStyle name="Standard 88 2 3" xfId="19774" xr:uid="{00000000-0005-0000-0000-0000285A0000}"/>
    <cellStyle name="Standard 88 2_2012-2019" xfId="13346" xr:uid="{00000000-0005-0000-0000-0000295A0000}"/>
    <cellStyle name="Standard 88 3" xfId="10361" xr:uid="{00000000-0005-0000-0000-00002A5A0000}"/>
    <cellStyle name="Standard 88 3 2" xfId="19776" xr:uid="{00000000-0005-0000-0000-00002B5A0000}"/>
    <cellStyle name="Standard 88 3_est. MEAT" xfId="25708" xr:uid="{00000000-0005-0000-0000-00002C5A0000}"/>
    <cellStyle name="Standard 88 4" xfId="19773" xr:uid="{00000000-0005-0000-0000-00002D5A0000}"/>
    <cellStyle name="Standard 88_2012-2019" xfId="13345" xr:uid="{00000000-0005-0000-0000-00002E5A0000}"/>
    <cellStyle name="Standard 89" xfId="10362" xr:uid="{00000000-0005-0000-0000-00002F5A0000}"/>
    <cellStyle name="Standard 89 2" xfId="10363" xr:uid="{00000000-0005-0000-0000-0000305A0000}"/>
    <cellStyle name="Standard 89 2 2" xfId="10364" xr:uid="{00000000-0005-0000-0000-0000315A0000}"/>
    <cellStyle name="Standard 89 2 2 2" xfId="19779" xr:uid="{00000000-0005-0000-0000-0000325A0000}"/>
    <cellStyle name="Standard 89 2 2_est. MEAT" xfId="25709" xr:uid="{00000000-0005-0000-0000-0000335A0000}"/>
    <cellStyle name="Standard 89 2 3" xfId="19778" xr:uid="{00000000-0005-0000-0000-0000345A0000}"/>
    <cellStyle name="Standard 89 2_2012-2019" xfId="13348" xr:uid="{00000000-0005-0000-0000-0000355A0000}"/>
    <cellStyle name="Standard 89 3" xfId="10365" xr:uid="{00000000-0005-0000-0000-0000365A0000}"/>
    <cellStyle name="Standard 89 3 2" xfId="19780" xr:uid="{00000000-0005-0000-0000-0000375A0000}"/>
    <cellStyle name="Standard 89 3_est. MEAT" xfId="25710" xr:uid="{00000000-0005-0000-0000-0000385A0000}"/>
    <cellStyle name="Standard 89 4" xfId="19777" xr:uid="{00000000-0005-0000-0000-0000395A0000}"/>
    <cellStyle name="Standard 89_2012-2019" xfId="13347" xr:uid="{00000000-0005-0000-0000-00003A5A0000}"/>
    <cellStyle name="Standard 9" xfId="10366" xr:uid="{00000000-0005-0000-0000-00003B5A0000}"/>
    <cellStyle name="Standard 9 2" xfId="10367" xr:uid="{00000000-0005-0000-0000-00003C5A0000}"/>
    <cellStyle name="Standard 9 2 2" xfId="19782" xr:uid="{00000000-0005-0000-0000-00003D5A0000}"/>
    <cellStyle name="Standard 9 2_est. MEAT" xfId="25711" xr:uid="{00000000-0005-0000-0000-00003E5A0000}"/>
    <cellStyle name="Standard 9 3" xfId="10368" xr:uid="{00000000-0005-0000-0000-00003F5A0000}"/>
    <cellStyle name="Standard 9 3 2" xfId="19783" xr:uid="{00000000-0005-0000-0000-0000405A0000}"/>
    <cellStyle name="Standard 9 3_est. MEAT" xfId="25712" xr:uid="{00000000-0005-0000-0000-0000415A0000}"/>
    <cellStyle name="Standard 9 4" xfId="10369" xr:uid="{00000000-0005-0000-0000-0000425A0000}"/>
    <cellStyle name="Standard 9 4 2" xfId="10370" xr:uid="{00000000-0005-0000-0000-0000435A0000}"/>
    <cellStyle name="Standard 9 4 2 2" xfId="19785" xr:uid="{00000000-0005-0000-0000-0000445A0000}"/>
    <cellStyle name="Standard 9 4 2_est. MEAT" xfId="25713" xr:uid="{00000000-0005-0000-0000-0000455A0000}"/>
    <cellStyle name="Standard 9 4 3" xfId="19784" xr:uid="{00000000-0005-0000-0000-0000465A0000}"/>
    <cellStyle name="Standard 9 4_2012-2019" xfId="13350" xr:uid="{00000000-0005-0000-0000-0000475A0000}"/>
    <cellStyle name="Standard 9 5" xfId="10371" xr:uid="{00000000-0005-0000-0000-0000485A0000}"/>
    <cellStyle name="Standard 9 5 2" xfId="19786" xr:uid="{00000000-0005-0000-0000-0000495A0000}"/>
    <cellStyle name="Standard 9 5_est. MEAT" xfId="25714" xr:uid="{00000000-0005-0000-0000-00004A5A0000}"/>
    <cellStyle name="Standard 9 6" xfId="19781" xr:uid="{00000000-0005-0000-0000-00004B5A0000}"/>
    <cellStyle name="Standard 9_2012-2019" xfId="13349" xr:uid="{00000000-0005-0000-0000-00004C5A0000}"/>
    <cellStyle name="Standard 90" xfId="10372" xr:uid="{00000000-0005-0000-0000-00004D5A0000}"/>
    <cellStyle name="Standard 90 2" xfId="10373" xr:uid="{00000000-0005-0000-0000-00004E5A0000}"/>
    <cellStyle name="Standard 90 2 2" xfId="10374" xr:uid="{00000000-0005-0000-0000-00004F5A0000}"/>
    <cellStyle name="Standard 90 2 2 2" xfId="19789" xr:uid="{00000000-0005-0000-0000-0000505A0000}"/>
    <cellStyle name="Standard 90 2 2_est. MEAT" xfId="25715" xr:uid="{00000000-0005-0000-0000-0000515A0000}"/>
    <cellStyle name="Standard 90 2 3" xfId="19788" xr:uid="{00000000-0005-0000-0000-0000525A0000}"/>
    <cellStyle name="Standard 90 2_2012-2019" xfId="13352" xr:uid="{00000000-0005-0000-0000-0000535A0000}"/>
    <cellStyle name="Standard 90 3" xfId="10375" xr:uid="{00000000-0005-0000-0000-0000545A0000}"/>
    <cellStyle name="Standard 90 3 2" xfId="19790" xr:uid="{00000000-0005-0000-0000-0000555A0000}"/>
    <cellStyle name="Standard 90 3_est. MEAT" xfId="25716" xr:uid="{00000000-0005-0000-0000-0000565A0000}"/>
    <cellStyle name="Standard 90 4" xfId="19787" xr:uid="{00000000-0005-0000-0000-0000575A0000}"/>
    <cellStyle name="Standard 90_2012-2019" xfId="13351" xr:uid="{00000000-0005-0000-0000-0000585A0000}"/>
    <cellStyle name="Standard 91" xfId="10376" xr:uid="{00000000-0005-0000-0000-0000595A0000}"/>
    <cellStyle name="Standard 91 2" xfId="19791" xr:uid="{00000000-0005-0000-0000-00005A5A0000}"/>
    <cellStyle name="Standard 91_est. MEAT" xfId="25717" xr:uid="{00000000-0005-0000-0000-00005B5A0000}"/>
    <cellStyle name="Standard 92" xfId="10377" xr:uid="{00000000-0005-0000-0000-00005C5A0000}"/>
    <cellStyle name="Standard 92 2" xfId="19792" xr:uid="{00000000-0005-0000-0000-00005D5A0000}"/>
    <cellStyle name="Standard 92_est. MEAT" xfId="25718" xr:uid="{00000000-0005-0000-0000-00005E5A0000}"/>
    <cellStyle name="Standard 93" xfId="10378" xr:uid="{00000000-0005-0000-0000-00005F5A0000}"/>
    <cellStyle name="Standard 93 2" xfId="10379" xr:uid="{00000000-0005-0000-0000-0000605A0000}"/>
    <cellStyle name="Standard 93 2 2" xfId="19794" xr:uid="{00000000-0005-0000-0000-0000615A0000}"/>
    <cellStyle name="Standard 93 2_est. MEAT" xfId="25719" xr:uid="{00000000-0005-0000-0000-0000625A0000}"/>
    <cellStyle name="Standard 93 3" xfId="19793" xr:uid="{00000000-0005-0000-0000-0000635A0000}"/>
    <cellStyle name="Standard 93_2012-2019" xfId="13353" xr:uid="{00000000-0005-0000-0000-0000645A0000}"/>
    <cellStyle name="Standard 94" xfId="10380" xr:uid="{00000000-0005-0000-0000-0000655A0000}"/>
    <cellStyle name="Standard 94 2" xfId="19795" xr:uid="{00000000-0005-0000-0000-0000665A0000}"/>
    <cellStyle name="Standard 94_est. MEAT" xfId="25720" xr:uid="{00000000-0005-0000-0000-0000675A0000}"/>
    <cellStyle name="Standard 95" xfId="10381" xr:uid="{00000000-0005-0000-0000-0000685A0000}"/>
    <cellStyle name="Standard 95 2" xfId="19796" xr:uid="{00000000-0005-0000-0000-0000695A0000}"/>
    <cellStyle name="Standard 95_est. MEAT" xfId="25721" xr:uid="{00000000-0005-0000-0000-00006A5A0000}"/>
    <cellStyle name="Standard 96" xfId="10382" xr:uid="{00000000-0005-0000-0000-00006B5A0000}"/>
    <cellStyle name="Standard 96 2" xfId="19797" xr:uid="{00000000-0005-0000-0000-00006C5A0000}"/>
    <cellStyle name="Standard 96_est. MEAT" xfId="25722" xr:uid="{00000000-0005-0000-0000-00006D5A0000}"/>
    <cellStyle name="Standard 97" xfId="10383" xr:uid="{00000000-0005-0000-0000-00006E5A0000}"/>
    <cellStyle name="Standard 97 2" xfId="19798" xr:uid="{00000000-0005-0000-0000-00006F5A0000}"/>
    <cellStyle name="Standard 97_est. MEAT" xfId="25723" xr:uid="{00000000-0005-0000-0000-0000705A0000}"/>
    <cellStyle name="Standard 98" xfId="10384" xr:uid="{00000000-0005-0000-0000-0000715A0000}"/>
    <cellStyle name="Standard 98 2" xfId="19799" xr:uid="{00000000-0005-0000-0000-0000725A0000}"/>
    <cellStyle name="Standard 98_est. MEAT" xfId="25724" xr:uid="{00000000-0005-0000-0000-0000735A0000}"/>
    <cellStyle name="Standard 99" xfId="10385" xr:uid="{00000000-0005-0000-0000-0000745A0000}"/>
    <cellStyle name="Standard 99 2" xfId="19800" xr:uid="{00000000-0005-0000-0000-0000755A0000}"/>
    <cellStyle name="Standard 99_est. MEAT" xfId="25725" xr:uid="{00000000-0005-0000-0000-0000765A0000}"/>
    <cellStyle name="Stil 1" xfId="10386" xr:uid="{00000000-0005-0000-0000-0000775A0000}"/>
    <cellStyle name="Stil 1 2" xfId="19801" xr:uid="{00000000-0005-0000-0000-0000785A0000}"/>
    <cellStyle name="Stil 1_est. MEAT" xfId="25726" xr:uid="{00000000-0005-0000-0000-0000795A0000}"/>
    <cellStyle name="Tabelle Text 10" xfId="10387" xr:uid="{00000000-0005-0000-0000-00007A5A0000}"/>
    <cellStyle name="Tabelle Text 10 2" xfId="19802" xr:uid="{00000000-0005-0000-0000-00007B5A0000}"/>
    <cellStyle name="Tabelle Text 10 Z" xfId="10388" xr:uid="{00000000-0005-0000-0000-00007C5A0000}"/>
    <cellStyle name="Tabelle Text 10 Z 2" xfId="19803" xr:uid="{00000000-0005-0000-0000-00007D5A0000}"/>
    <cellStyle name="Tabelle Text 10 Z_est. MEAT" xfId="25727" xr:uid="{00000000-0005-0000-0000-00007E5A0000}"/>
    <cellStyle name="Tabelle Text 10_2012-2019" xfId="13354" xr:uid="{00000000-0005-0000-0000-00007F5A0000}"/>
    <cellStyle name="Tabelle Text 11" xfId="10389" xr:uid="{00000000-0005-0000-0000-0000805A0000}"/>
    <cellStyle name="Tabelle Text 11 2" xfId="19804" xr:uid="{00000000-0005-0000-0000-0000815A0000}"/>
    <cellStyle name="Tabelle Text 11 Z" xfId="10390" xr:uid="{00000000-0005-0000-0000-0000825A0000}"/>
    <cellStyle name="Tabelle Text 11 Z 2" xfId="19805" xr:uid="{00000000-0005-0000-0000-0000835A0000}"/>
    <cellStyle name="Tabelle Text 11 Z_est. MEAT" xfId="25728" xr:uid="{00000000-0005-0000-0000-0000845A0000}"/>
    <cellStyle name="Tabelle Text 11_2012-2019" xfId="13355" xr:uid="{00000000-0005-0000-0000-0000855A0000}"/>
    <cellStyle name="Tabelle Text 12" xfId="10391" xr:uid="{00000000-0005-0000-0000-0000865A0000}"/>
    <cellStyle name="Tabelle Text 12 2" xfId="19806" xr:uid="{00000000-0005-0000-0000-0000875A0000}"/>
    <cellStyle name="Tabelle Text 12 Z" xfId="10392" xr:uid="{00000000-0005-0000-0000-0000885A0000}"/>
    <cellStyle name="Tabelle Text 12 Z 2" xfId="19807" xr:uid="{00000000-0005-0000-0000-0000895A0000}"/>
    <cellStyle name="Tabelle Text 12 Z_est. MEAT" xfId="25729" xr:uid="{00000000-0005-0000-0000-00008A5A0000}"/>
    <cellStyle name="Tabelle Text 12_2012-2019" xfId="13356" xr:uid="{00000000-0005-0000-0000-00008B5A0000}"/>
    <cellStyle name="Tabelle Text 8" xfId="10393" xr:uid="{00000000-0005-0000-0000-00008C5A0000}"/>
    <cellStyle name="Tabelle Text 8 2" xfId="19808" xr:uid="{00000000-0005-0000-0000-00008D5A0000}"/>
    <cellStyle name="Tabelle Text 8 Z" xfId="10394" xr:uid="{00000000-0005-0000-0000-00008E5A0000}"/>
    <cellStyle name="Tabelle Text 8 Z 2" xfId="19809" xr:uid="{00000000-0005-0000-0000-00008F5A0000}"/>
    <cellStyle name="Tabelle Text 8 Z_est. MEAT" xfId="25730" xr:uid="{00000000-0005-0000-0000-0000905A0000}"/>
    <cellStyle name="Tabelle Text 8_2012-2019" xfId="13357" xr:uid="{00000000-0005-0000-0000-0000915A0000}"/>
    <cellStyle name="Tabelle Text 9" xfId="10395" xr:uid="{00000000-0005-0000-0000-0000925A0000}"/>
    <cellStyle name="Tabelle Text 9 2" xfId="19810" xr:uid="{00000000-0005-0000-0000-0000935A0000}"/>
    <cellStyle name="Tabelle Text 9 Z" xfId="10396" xr:uid="{00000000-0005-0000-0000-0000945A0000}"/>
    <cellStyle name="Tabelle Text 9 Z 2" xfId="19811" xr:uid="{00000000-0005-0000-0000-0000955A0000}"/>
    <cellStyle name="Tabelle Text 9 Z_est. MEAT" xfId="25731" xr:uid="{00000000-0005-0000-0000-0000965A0000}"/>
    <cellStyle name="Tabelle Text 9_2012-2019" xfId="13358" xr:uid="{00000000-0005-0000-0000-0000975A0000}"/>
    <cellStyle name="Tabelle Überschrift 10" xfId="10397" xr:uid="{00000000-0005-0000-0000-0000985A0000}"/>
    <cellStyle name="Tabelle Überschrift 10 2" xfId="19812" xr:uid="{00000000-0005-0000-0000-0000995A0000}"/>
    <cellStyle name="Tabelle Überschrift 10_est. MEAT" xfId="25732" xr:uid="{00000000-0005-0000-0000-00009A5A0000}"/>
    <cellStyle name="Tabelle Überschrift 11" xfId="10398" xr:uid="{00000000-0005-0000-0000-00009B5A0000}"/>
    <cellStyle name="Tabelle Überschrift 11 2" xfId="19813" xr:uid="{00000000-0005-0000-0000-00009C5A0000}"/>
    <cellStyle name="Tabelle Überschrift 11_est. MEAT" xfId="25733" xr:uid="{00000000-0005-0000-0000-00009D5A0000}"/>
    <cellStyle name="Tabelle Überschrift 12" xfId="10399" xr:uid="{00000000-0005-0000-0000-00009E5A0000}"/>
    <cellStyle name="Tabelle Überschrift 12 2" xfId="19814" xr:uid="{00000000-0005-0000-0000-00009F5A0000}"/>
    <cellStyle name="Tabelle Überschrift 12_est. MEAT" xfId="25734" xr:uid="{00000000-0005-0000-0000-0000A05A0000}"/>
    <cellStyle name="Tabelle Überschrift 8" xfId="10400" xr:uid="{00000000-0005-0000-0000-0000A15A0000}"/>
    <cellStyle name="Tabelle Überschrift 8 2" xfId="19815" xr:uid="{00000000-0005-0000-0000-0000A25A0000}"/>
    <cellStyle name="Tabelle Überschrift 8_est. MEAT" xfId="25735" xr:uid="{00000000-0005-0000-0000-0000A35A0000}"/>
    <cellStyle name="Tabelle Überschrift 9" xfId="10401" xr:uid="{00000000-0005-0000-0000-0000A45A0000}"/>
    <cellStyle name="Tabelle Überschrift 9 2" xfId="19816" xr:uid="{00000000-0005-0000-0000-0000A55A0000}"/>
    <cellStyle name="Tabelle Überschrift 9_est. MEAT" xfId="25736" xr:uid="{00000000-0005-0000-0000-0000A65A0000}"/>
    <cellStyle name="Tabelle Zahl 0 10" xfId="10402" xr:uid="{00000000-0005-0000-0000-0000A75A0000}"/>
    <cellStyle name="Tabelle Zahl 0 10 2" xfId="19817" xr:uid="{00000000-0005-0000-0000-0000A85A0000}"/>
    <cellStyle name="Tabelle Zahl 0 10_est. MEAT" xfId="25737" xr:uid="{00000000-0005-0000-0000-0000A95A0000}"/>
    <cellStyle name="Tabelle Zahl 0 11" xfId="10403" xr:uid="{00000000-0005-0000-0000-0000AA5A0000}"/>
    <cellStyle name="Tabelle Zahl 0 11 2" xfId="19818" xr:uid="{00000000-0005-0000-0000-0000AB5A0000}"/>
    <cellStyle name="Tabelle Zahl 0 11_est. MEAT" xfId="25738" xr:uid="{00000000-0005-0000-0000-0000AC5A0000}"/>
    <cellStyle name="Tabelle Zahl 0 12" xfId="10404" xr:uid="{00000000-0005-0000-0000-0000AD5A0000}"/>
    <cellStyle name="Tabelle Zahl 0 12 2" xfId="19819" xr:uid="{00000000-0005-0000-0000-0000AE5A0000}"/>
    <cellStyle name="Tabelle Zahl 0 12_est. MEAT" xfId="25739" xr:uid="{00000000-0005-0000-0000-0000AF5A0000}"/>
    <cellStyle name="Tabelle Zahl 0 8" xfId="10405" xr:uid="{00000000-0005-0000-0000-0000B05A0000}"/>
    <cellStyle name="Tabelle Zahl 0 8 2" xfId="19820" xr:uid="{00000000-0005-0000-0000-0000B15A0000}"/>
    <cellStyle name="Tabelle Zahl 0 8_est. MEAT" xfId="25740" xr:uid="{00000000-0005-0000-0000-0000B25A0000}"/>
    <cellStyle name="Tabelle Zahl 0 9" xfId="10406" xr:uid="{00000000-0005-0000-0000-0000B35A0000}"/>
    <cellStyle name="Tabelle Zahl 0 9 2" xfId="19821" xr:uid="{00000000-0005-0000-0000-0000B45A0000}"/>
    <cellStyle name="Tabelle Zahl 0 9_est. MEAT" xfId="25741" xr:uid="{00000000-0005-0000-0000-0000B55A0000}"/>
    <cellStyle name="Tabelle Zahl 1 10" xfId="10407" xr:uid="{00000000-0005-0000-0000-0000B65A0000}"/>
    <cellStyle name="Tabelle Zahl 1 10 2" xfId="19822" xr:uid="{00000000-0005-0000-0000-0000B75A0000}"/>
    <cellStyle name="Tabelle Zahl 1 10_est. MEAT" xfId="25742" xr:uid="{00000000-0005-0000-0000-0000B85A0000}"/>
    <cellStyle name="Tabelle Zahl 1 11" xfId="10408" xr:uid="{00000000-0005-0000-0000-0000B95A0000}"/>
    <cellStyle name="Tabelle Zahl 1 11 2" xfId="19823" xr:uid="{00000000-0005-0000-0000-0000BA5A0000}"/>
    <cellStyle name="Tabelle Zahl 1 11_est. MEAT" xfId="25743" xr:uid="{00000000-0005-0000-0000-0000BB5A0000}"/>
    <cellStyle name="Tabelle Zahl 1 12" xfId="10409" xr:uid="{00000000-0005-0000-0000-0000BC5A0000}"/>
    <cellStyle name="Tabelle Zahl 1 12 2" xfId="19824" xr:uid="{00000000-0005-0000-0000-0000BD5A0000}"/>
    <cellStyle name="Tabelle Zahl 1 12_est. MEAT" xfId="25744" xr:uid="{00000000-0005-0000-0000-0000BE5A0000}"/>
    <cellStyle name="Tabelle Zahl 1 8" xfId="10410" xr:uid="{00000000-0005-0000-0000-0000BF5A0000}"/>
    <cellStyle name="Tabelle Zahl 1 8 2" xfId="19825" xr:uid="{00000000-0005-0000-0000-0000C05A0000}"/>
    <cellStyle name="Tabelle Zahl 1 8_est. MEAT" xfId="25745" xr:uid="{00000000-0005-0000-0000-0000C15A0000}"/>
    <cellStyle name="Tabelle Zahl 1 9" xfId="10411" xr:uid="{00000000-0005-0000-0000-0000C25A0000}"/>
    <cellStyle name="Tabelle Zahl 1 9 2" xfId="19826" xr:uid="{00000000-0005-0000-0000-0000C35A0000}"/>
    <cellStyle name="Tabelle Zahl 1 9_est. MEAT" xfId="25746" xr:uid="{00000000-0005-0000-0000-0000C45A0000}"/>
    <cellStyle name="Tabelle Zahl 2 10" xfId="10412" xr:uid="{00000000-0005-0000-0000-0000C55A0000}"/>
    <cellStyle name="Tabelle Zahl 2 10 2" xfId="10413" xr:uid="{00000000-0005-0000-0000-0000C65A0000}"/>
    <cellStyle name="Tabelle Zahl 2 10 2 2" xfId="19828" xr:uid="{00000000-0005-0000-0000-0000C75A0000}"/>
    <cellStyle name="Tabelle Zahl 2 10 2_est. MEAT" xfId="25747" xr:uid="{00000000-0005-0000-0000-0000C85A0000}"/>
    <cellStyle name="Tabelle Zahl 2 10 3" xfId="19827" xr:uid="{00000000-0005-0000-0000-0000C95A0000}"/>
    <cellStyle name="Tabelle Zahl 2 10_2012-2019" xfId="13359" xr:uid="{00000000-0005-0000-0000-0000CA5A0000}"/>
    <cellStyle name="Tabelle Zahl 2 11" xfId="10414" xr:uid="{00000000-0005-0000-0000-0000CB5A0000}"/>
    <cellStyle name="Tabelle Zahl 2 11 2" xfId="19829" xr:uid="{00000000-0005-0000-0000-0000CC5A0000}"/>
    <cellStyle name="Tabelle Zahl 2 11_est. MEAT" xfId="25748" xr:uid="{00000000-0005-0000-0000-0000CD5A0000}"/>
    <cellStyle name="Tabelle Zahl 2 12" xfId="10415" xr:uid="{00000000-0005-0000-0000-0000CE5A0000}"/>
    <cellStyle name="Tabelle Zahl 2 12 2" xfId="19830" xr:uid="{00000000-0005-0000-0000-0000CF5A0000}"/>
    <cellStyle name="Tabelle Zahl 2 12_est. MEAT" xfId="25749" xr:uid="{00000000-0005-0000-0000-0000D05A0000}"/>
    <cellStyle name="Tabelle Zahl 2 8" xfId="10416" xr:uid="{00000000-0005-0000-0000-0000D15A0000}"/>
    <cellStyle name="Tabelle Zahl 2 8 2" xfId="19831" xr:uid="{00000000-0005-0000-0000-0000D25A0000}"/>
    <cellStyle name="Tabelle Zahl 2 8_est. MEAT" xfId="25750" xr:uid="{00000000-0005-0000-0000-0000D35A0000}"/>
    <cellStyle name="Tabelle Zahl 2 9" xfId="10417" xr:uid="{00000000-0005-0000-0000-0000D45A0000}"/>
    <cellStyle name="Tabelle Zahl 2 9 2" xfId="19832" xr:uid="{00000000-0005-0000-0000-0000D55A0000}"/>
    <cellStyle name="Tabelle Zahl 2 9_est. MEAT" xfId="25751" xr:uid="{00000000-0005-0000-0000-0000D65A0000}"/>
    <cellStyle name="Title" xfId="25752" xr:uid="{00000000-0005-0000-0000-0000D75A0000}"/>
    <cellStyle name="Tonne (0)" xfId="10418" xr:uid="{00000000-0005-0000-0000-0000D85A0000}"/>
    <cellStyle name="Tonne (0) 2" xfId="19833" xr:uid="{00000000-0005-0000-0000-0000D95A0000}"/>
    <cellStyle name="Tonne (0)_est. MEAT" xfId="25753" xr:uid="{00000000-0005-0000-0000-0000DA5A0000}"/>
    <cellStyle name="Tonne (0,00)" xfId="10419" xr:uid="{00000000-0005-0000-0000-0000DB5A0000}"/>
    <cellStyle name="Tonne (0,00) 2" xfId="19834" xr:uid="{00000000-0005-0000-0000-0000DC5A0000}"/>
    <cellStyle name="Tonne (0,00)_est. MEAT" xfId="25754" xr:uid="{00000000-0005-0000-0000-0000DD5A0000}"/>
    <cellStyle name="Total 2" xfId="10420" xr:uid="{00000000-0005-0000-0000-0000DE5A0000}"/>
    <cellStyle name="Total 2 2" xfId="19835" xr:uid="{00000000-0005-0000-0000-0000DF5A0000}"/>
    <cellStyle name="Total 2_est. MEAT" xfId="25755" xr:uid="{00000000-0005-0000-0000-0000E05A0000}"/>
    <cellStyle name="Überschr.12f" xfId="10421" xr:uid="{00000000-0005-0000-0000-0000E15A0000}"/>
    <cellStyle name="Überschr.12f 2" xfId="19836" xr:uid="{00000000-0005-0000-0000-0000E25A0000}"/>
    <cellStyle name="Überschr.12f_est. MEAT" xfId="25756" xr:uid="{00000000-0005-0000-0000-0000E35A0000}"/>
    <cellStyle name="Überschr.14f" xfId="10422" xr:uid="{00000000-0005-0000-0000-0000E45A0000}"/>
    <cellStyle name="Überschr.14f 2" xfId="19837" xr:uid="{00000000-0005-0000-0000-0000E55A0000}"/>
    <cellStyle name="Überschr.14f_est. MEAT" xfId="25757" xr:uid="{00000000-0005-0000-0000-0000E65A0000}"/>
    <cellStyle name="Überschrift" xfId="10423" xr:uid="{00000000-0005-0000-0000-0000E75A0000}"/>
    <cellStyle name="Überschrift 1" xfId="10424" xr:uid="{00000000-0005-0000-0000-0000E85A0000}"/>
    <cellStyle name="Überschrift 1 10" xfId="10425" xr:uid="{00000000-0005-0000-0000-0000E95A0000}"/>
    <cellStyle name="Überschrift 1 10 2" xfId="10426" xr:uid="{00000000-0005-0000-0000-0000EA5A0000}"/>
    <cellStyle name="Überschrift 1 10 2 2" xfId="19841" xr:uid="{00000000-0005-0000-0000-0000EB5A0000}"/>
    <cellStyle name="Überschrift 1 10 2_est. MEAT" xfId="25758" xr:uid="{00000000-0005-0000-0000-0000EC5A0000}"/>
    <cellStyle name="Überschrift 1 10 3" xfId="19840" xr:uid="{00000000-0005-0000-0000-0000ED5A0000}"/>
    <cellStyle name="Überschrift 1 10_2012-2019" xfId="13362" xr:uid="{00000000-0005-0000-0000-0000EE5A0000}"/>
    <cellStyle name="Überschrift 1 100" xfId="10427" xr:uid="{00000000-0005-0000-0000-0000EF5A0000}"/>
    <cellStyle name="Überschrift 1 100 2" xfId="19842" xr:uid="{00000000-0005-0000-0000-0000F05A0000}"/>
    <cellStyle name="Überschrift 1 100_est. MEAT" xfId="25759" xr:uid="{00000000-0005-0000-0000-0000F15A0000}"/>
    <cellStyle name="Überschrift 1 101" xfId="10428" xr:uid="{00000000-0005-0000-0000-0000F25A0000}"/>
    <cellStyle name="Überschrift 1 101 2" xfId="19843" xr:uid="{00000000-0005-0000-0000-0000F35A0000}"/>
    <cellStyle name="Überschrift 1 101_est. MEAT" xfId="25760" xr:uid="{00000000-0005-0000-0000-0000F45A0000}"/>
    <cellStyle name="Überschrift 1 102" xfId="10429" xr:uid="{00000000-0005-0000-0000-0000F55A0000}"/>
    <cellStyle name="Überschrift 1 102 2" xfId="19844" xr:uid="{00000000-0005-0000-0000-0000F65A0000}"/>
    <cellStyle name="Überschrift 1 102_est. MEAT" xfId="25761" xr:uid="{00000000-0005-0000-0000-0000F75A0000}"/>
    <cellStyle name="Überschrift 1 103" xfId="10430" xr:uid="{00000000-0005-0000-0000-0000F85A0000}"/>
    <cellStyle name="Überschrift 1 103 2" xfId="19845" xr:uid="{00000000-0005-0000-0000-0000F95A0000}"/>
    <cellStyle name="Überschrift 1 103_est. MEAT" xfId="25762" xr:uid="{00000000-0005-0000-0000-0000FA5A0000}"/>
    <cellStyle name="Überschrift 1 104" xfId="10431" xr:uid="{00000000-0005-0000-0000-0000FB5A0000}"/>
    <cellStyle name="Überschrift 1 104 2" xfId="19846" xr:uid="{00000000-0005-0000-0000-0000FC5A0000}"/>
    <cellStyle name="Überschrift 1 104_est. MEAT" xfId="25763" xr:uid="{00000000-0005-0000-0000-0000FD5A0000}"/>
    <cellStyle name="Überschrift 1 105" xfId="10432" xr:uid="{00000000-0005-0000-0000-0000FE5A0000}"/>
    <cellStyle name="Überschrift 1 105 2" xfId="19847" xr:uid="{00000000-0005-0000-0000-0000FF5A0000}"/>
    <cellStyle name="Überschrift 1 105_est. MEAT" xfId="25764" xr:uid="{00000000-0005-0000-0000-0000005B0000}"/>
    <cellStyle name="Überschrift 1 106" xfId="10433" xr:uid="{00000000-0005-0000-0000-0000015B0000}"/>
    <cellStyle name="Überschrift 1 106 2" xfId="19848" xr:uid="{00000000-0005-0000-0000-0000025B0000}"/>
    <cellStyle name="Überschrift 1 106_est. MEAT" xfId="25765" xr:uid="{00000000-0005-0000-0000-0000035B0000}"/>
    <cellStyle name="Überschrift 1 107" xfId="10434" xr:uid="{00000000-0005-0000-0000-0000045B0000}"/>
    <cellStyle name="Überschrift 1 107 2" xfId="19849" xr:uid="{00000000-0005-0000-0000-0000055B0000}"/>
    <cellStyle name="Überschrift 1 107_est. MEAT" xfId="25766" xr:uid="{00000000-0005-0000-0000-0000065B0000}"/>
    <cellStyle name="Überschrift 1 108" xfId="10435" xr:uid="{00000000-0005-0000-0000-0000075B0000}"/>
    <cellStyle name="Überschrift 1 108 2" xfId="19850" xr:uid="{00000000-0005-0000-0000-0000085B0000}"/>
    <cellStyle name="Überschrift 1 108_est. MEAT" xfId="25767" xr:uid="{00000000-0005-0000-0000-0000095B0000}"/>
    <cellStyle name="Überschrift 1 109" xfId="10436" xr:uid="{00000000-0005-0000-0000-00000A5B0000}"/>
    <cellStyle name="Überschrift 1 109 2" xfId="19851" xr:uid="{00000000-0005-0000-0000-00000B5B0000}"/>
    <cellStyle name="Überschrift 1 109_est. MEAT" xfId="25768" xr:uid="{00000000-0005-0000-0000-00000C5B0000}"/>
    <cellStyle name="Überschrift 1 11" xfId="10437" xr:uid="{00000000-0005-0000-0000-00000D5B0000}"/>
    <cellStyle name="Überschrift 1 11 2" xfId="10438" xr:uid="{00000000-0005-0000-0000-00000E5B0000}"/>
    <cellStyle name="Überschrift 1 11 2 2" xfId="19853" xr:uid="{00000000-0005-0000-0000-00000F5B0000}"/>
    <cellStyle name="Überschrift 1 11 2_est. MEAT" xfId="25769" xr:uid="{00000000-0005-0000-0000-0000105B0000}"/>
    <cellStyle name="Überschrift 1 11 3" xfId="19852" xr:uid="{00000000-0005-0000-0000-0000115B0000}"/>
    <cellStyle name="Überschrift 1 11_2012-2019" xfId="13363" xr:uid="{00000000-0005-0000-0000-0000125B0000}"/>
    <cellStyle name="Überschrift 1 110" xfId="10439" xr:uid="{00000000-0005-0000-0000-0000135B0000}"/>
    <cellStyle name="Überschrift 1 110 2" xfId="19854" xr:uid="{00000000-0005-0000-0000-0000145B0000}"/>
    <cellStyle name="Überschrift 1 110_est. MEAT" xfId="25770" xr:uid="{00000000-0005-0000-0000-0000155B0000}"/>
    <cellStyle name="Überschrift 1 111" xfId="10440" xr:uid="{00000000-0005-0000-0000-0000165B0000}"/>
    <cellStyle name="Überschrift 1 111 2" xfId="19855" xr:uid="{00000000-0005-0000-0000-0000175B0000}"/>
    <cellStyle name="Überschrift 1 111_est. MEAT" xfId="25771" xr:uid="{00000000-0005-0000-0000-0000185B0000}"/>
    <cellStyle name="Überschrift 1 112" xfId="10441" xr:uid="{00000000-0005-0000-0000-0000195B0000}"/>
    <cellStyle name="Überschrift 1 112 2" xfId="19856" xr:uid="{00000000-0005-0000-0000-00001A5B0000}"/>
    <cellStyle name="Überschrift 1 112_est. MEAT" xfId="25772" xr:uid="{00000000-0005-0000-0000-00001B5B0000}"/>
    <cellStyle name="Überschrift 1 113" xfId="10442" xr:uid="{00000000-0005-0000-0000-00001C5B0000}"/>
    <cellStyle name="Überschrift 1 113 2" xfId="19857" xr:uid="{00000000-0005-0000-0000-00001D5B0000}"/>
    <cellStyle name="Überschrift 1 113_est. MEAT" xfId="25773" xr:uid="{00000000-0005-0000-0000-00001E5B0000}"/>
    <cellStyle name="Überschrift 1 114" xfId="10443" xr:uid="{00000000-0005-0000-0000-00001F5B0000}"/>
    <cellStyle name="Überschrift 1 114 2" xfId="19858" xr:uid="{00000000-0005-0000-0000-0000205B0000}"/>
    <cellStyle name="Überschrift 1 114_est. MEAT" xfId="25774" xr:uid="{00000000-0005-0000-0000-0000215B0000}"/>
    <cellStyle name="Überschrift 1 115" xfId="10444" xr:uid="{00000000-0005-0000-0000-0000225B0000}"/>
    <cellStyle name="Überschrift 1 115 2" xfId="19859" xr:uid="{00000000-0005-0000-0000-0000235B0000}"/>
    <cellStyle name="Überschrift 1 115_est. MEAT" xfId="25775" xr:uid="{00000000-0005-0000-0000-0000245B0000}"/>
    <cellStyle name="Überschrift 1 116" xfId="10445" xr:uid="{00000000-0005-0000-0000-0000255B0000}"/>
    <cellStyle name="Überschrift 1 116 2" xfId="19860" xr:uid="{00000000-0005-0000-0000-0000265B0000}"/>
    <cellStyle name="Überschrift 1 116_est. MEAT" xfId="25776" xr:uid="{00000000-0005-0000-0000-0000275B0000}"/>
    <cellStyle name="Überschrift 1 117" xfId="10446" xr:uid="{00000000-0005-0000-0000-0000285B0000}"/>
    <cellStyle name="Überschrift 1 117 2" xfId="19861" xr:uid="{00000000-0005-0000-0000-0000295B0000}"/>
    <cellStyle name="Überschrift 1 117_est. MEAT" xfId="25777" xr:uid="{00000000-0005-0000-0000-00002A5B0000}"/>
    <cellStyle name="Überschrift 1 118" xfId="10447" xr:uid="{00000000-0005-0000-0000-00002B5B0000}"/>
    <cellStyle name="Überschrift 1 118 2" xfId="19862" xr:uid="{00000000-0005-0000-0000-00002C5B0000}"/>
    <cellStyle name="Überschrift 1 118_est. MEAT" xfId="25778" xr:uid="{00000000-0005-0000-0000-00002D5B0000}"/>
    <cellStyle name="Überschrift 1 119" xfId="10448" xr:uid="{00000000-0005-0000-0000-00002E5B0000}"/>
    <cellStyle name="Überschrift 1 119 2" xfId="19863" xr:uid="{00000000-0005-0000-0000-00002F5B0000}"/>
    <cellStyle name="Überschrift 1 119_est. MEAT" xfId="25779" xr:uid="{00000000-0005-0000-0000-0000305B0000}"/>
    <cellStyle name="Überschrift 1 12" xfId="10449" xr:uid="{00000000-0005-0000-0000-0000315B0000}"/>
    <cellStyle name="Überschrift 1 12 2" xfId="10450" xr:uid="{00000000-0005-0000-0000-0000325B0000}"/>
    <cellStyle name="Überschrift 1 12 2 2" xfId="19865" xr:uid="{00000000-0005-0000-0000-0000335B0000}"/>
    <cellStyle name="Überschrift 1 12 2_est. MEAT" xfId="25780" xr:uid="{00000000-0005-0000-0000-0000345B0000}"/>
    <cellStyle name="Überschrift 1 12 3" xfId="19864" xr:uid="{00000000-0005-0000-0000-0000355B0000}"/>
    <cellStyle name="Überschrift 1 12_2012-2019" xfId="13364" xr:uid="{00000000-0005-0000-0000-0000365B0000}"/>
    <cellStyle name="Überschrift 1 120" xfId="10451" xr:uid="{00000000-0005-0000-0000-0000375B0000}"/>
    <cellStyle name="Überschrift 1 120 2" xfId="19866" xr:uid="{00000000-0005-0000-0000-0000385B0000}"/>
    <cellStyle name="Überschrift 1 120_est. MEAT" xfId="25781" xr:uid="{00000000-0005-0000-0000-0000395B0000}"/>
    <cellStyle name="Überschrift 1 121" xfId="10452" xr:uid="{00000000-0005-0000-0000-00003A5B0000}"/>
    <cellStyle name="Überschrift 1 121 2" xfId="19867" xr:uid="{00000000-0005-0000-0000-00003B5B0000}"/>
    <cellStyle name="Überschrift 1 121_est. MEAT" xfId="25782" xr:uid="{00000000-0005-0000-0000-00003C5B0000}"/>
    <cellStyle name="Überschrift 1 122" xfId="10453" xr:uid="{00000000-0005-0000-0000-00003D5B0000}"/>
    <cellStyle name="Überschrift 1 122 2" xfId="19868" xr:uid="{00000000-0005-0000-0000-00003E5B0000}"/>
    <cellStyle name="Überschrift 1 122_est. MEAT" xfId="25783" xr:uid="{00000000-0005-0000-0000-00003F5B0000}"/>
    <cellStyle name="Überschrift 1 123" xfId="10454" xr:uid="{00000000-0005-0000-0000-0000405B0000}"/>
    <cellStyle name="Überschrift 1 123 2" xfId="19869" xr:uid="{00000000-0005-0000-0000-0000415B0000}"/>
    <cellStyle name="Überschrift 1 123_est. MEAT" xfId="25784" xr:uid="{00000000-0005-0000-0000-0000425B0000}"/>
    <cellStyle name="Überschrift 1 124" xfId="10455" xr:uid="{00000000-0005-0000-0000-0000435B0000}"/>
    <cellStyle name="Überschrift 1 124 2" xfId="19870" xr:uid="{00000000-0005-0000-0000-0000445B0000}"/>
    <cellStyle name="Überschrift 1 124_est. MEAT" xfId="25785" xr:uid="{00000000-0005-0000-0000-0000455B0000}"/>
    <cellStyle name="Überschrift 1 125" xfId="10456" xr:uid="{00000000-0005-0000-0000-0000465B0000}"/>
    <cellStyle name="Überschrift 1 125 2" xfId="19871" xr:uid="{00000000-0005-0000-0000-0000475B0000}"/>
    <cellStyle name="Überschrift 1 125_est. MEAT" xfId="25786" xr:uid="{00000000-0005-0000-0000-0000485B0000}"/>
    <cellStyle name="Überschrift 1 126" xfId="10457" xr:uid="{00000000-0005-0000-0000-0000495B0000}"/>
    <cellStyle name="Überschrift 1 126 2" xfId="19872" xr:uid="{00000000-0005-0000-0000-00004A5B0000}"/>
    <cellStyle name="Überschrift 1 126_est. MEAT" xfId="25787" xr:uid="{00000000-0005-0000-0000-00004B5B0000}"/>
    <cellStyle name="Überschrift 1 127" xfId="10458" xr:uid="{00000000-0005-0000-0000-00004C5B0000}"/>
    <cellStyle name="Überschrift 1 127 2" xfId="19873" xr:uid="{00000000-0005-0000-0000-00004D5B0000}"/>
    <cellStyle name="Überschrift 1 127_est. MEAT" xfId="25788" xr:uid="{00000000-0005-0000-0000-00004E5B0000}"/>
    <cellStyle name="Überschrift 1 128" xfId="10459" xr:uid="{00000000-0005-0000-0000-00004F5B0000}"/>
    <cellStyle name="Überschrift 1 128 2" xfId="19874" xr:uid="{00000000-0005-0000-0000-0000505B0000}"/>
    <cellStyle name="Überschrift 1 128_est. MEAT" xfId="25789" xr:uid="{00000000-0005-0000-0000-0000515B0000}"/>
    <cellStyle name="Überschrift 1 129" xfId="10460" xr:uid="{00000000-0005-0000-0000-0000525B0000}"/>
    <cellStyle name="Überschrift 1 129 2" xfId="19875" xr:uid="{00000000-0005-0000-0000-0000535B0000}"/>
    <cellStyle name="Überschrift 1 129_est. MEAT" xfId="25790" xr:uid="{00000000-0005-0000-0000-0000545B0000}"/>
    <cellStyle name="Überschrift 1 13" xfId="10461" xr:uid="{00000000-0005-0000-0000-0000555B0000}"/>
    <cellStyle name="Überschrift 1 13 2" xfId="10462" xr:uid="{00000000-0005-0000-0000-0000565B0000}"/>
    <cellStyle name="Überschrift 1 13 2 2" xfId="19877" xr:uid="{00000000-0005-0000-0000-0000575B0000}"/>
    <cellStyle name="Überschrift 1 13 2_est. MEAT" xfId="25791" xr:uid="{00000000-0005-0000-0000-0000585B0000}"/>
    <cellStyle name="Überschrift 1 13 3" xfId="19876" xr:uid="{00000000-0005-0000-0000-0000595B0000}"/>
    <cellStyle name="Überschrift 1 13_2012-2019" xfId="13365" xr:uid="{00000000-0005-0000-0000-00005A5B0000}"/>
    <cellStyle name="Überschrift 1 130" xfId="10463" xr:uid="{00000000-0005-0000-0000-00005B5B0000}"/>
    <cellStyle name="Überschrift 1 130 2" xfId="19878" xr:uid="{00000000-0005-0000-0000-00005C5B0000}"/>
    <cellStyle name="Überschrift 1 130_est. MEAT" xfId="25792" xr:uid="{00000000-0005-0000-0000-00005D5B0000}"/>
    <cellStyle name="Überschrift 1 131" xfId="10464" xr:uid="{00000000-0005-0000-0000-00005E5B0000}"/>
    <cellStyle name="Überschrift 1 131 2" xfId="19879" xr:uid="{00000000-0005-0000-0000-00005F5B0000}"/>
    <cellStyle name="Überschrift 1 131_est. MEAT" xfId="25793" xr:uid="{00000000-0005-0000-0000-0000605B0000}"/>
    <cellStyle name="Überschrift 1 132" xfId="10465" xr:uid="{00000000-0005-0000-0000-0000615B0000}"/>
    <cellStyle name="Überschrift 1 132 2" xfId="19880" xr:uid="{00000000-0005-0000-0000-0000625B0000}"/>
    <cellStyle name="Überschrift 1 132_est. MEAT" xfId="25794" xr:uid="{00000000-0005-0000-0000-0000635B0000}"/>
    <cellStyle name="Überschrift 1 133" xfId="10466" xr:uid="{00000000-0005-0000-0000-0000645B0000}"/>
    <cellStyle name="Überschrift 1 133 2" xfId="19881" xr:uid="{00000000-0005-0000-0000-0000655B0000}"/>
    <cellStyle name="Überschrift 1 133_est. MEAT" xfId="25795" xr:uid="{00000000-0005-0000-0000-0000665B0000}"/>
    <cellStyle name="Überschrift 1 134" xfId="10467" xr:uid="{00000000-0005-0000-0000-0000675B0000}"/>
    <cellStyle name="Überschrift 1 134 2" xfId="19882" xr:uid="{00000000-0005-0000-0000-0000685B0000}"/>
    <cellStyle name="Überschrift 1 134_est. MEAT" xfId="25796" xr:uid="{00000000-0005-0000-0000-0000695B0000}"/>
    <cellStyle name="Überschrift 1 135" xfId="10468" xr:uid="{00000000-0005-0000-0000-00006A5B0000}"/>
    <cellStyle name="Überschrift 1 135 2" xfId="19883" xr:uid="{00000000-0005-0000-0000-00006B5B0000}"/>
    <cellStyle name="Überschrift 1 135_est. MEAT" xfId="25797" xr:uid="{00000000-0005-0000-0000-00006C5B0000}"/>
    <cellStyle name="Überschrift 1 136" xfId="10469" xr:uid="{00000000-0005-0000-0000-00006D5B0000}"/>
    <cellStyle name="Überschrift 1 136 2" xfId="19884" xr:uid="{00000000-0005-0000-0000-00006E5B0000}"/>
    <cellStyle name="Überschrift 1 136_est. MEAT" xfId="25798" xr:uid="{00000000-0005-0000-0000-00006F5B0000}"/>
    <cellStyle name="Überschrift 1 137" xfId="10470" xr:uid="{00000000-0005-0000-0000-0000705B0000}"/>
    <cellStyle name="Überschrift 1 137 2" xfId="19885" xr:uid="{00000000-0005-0000-0000-0000715B0000}"/>
    <cellStyle name="Überschrift 1 137_est. MEAT" xfId="25799" xr:uid="{00000000-0005-0000-0000-0000725B0000}"/>
    <cellStyle name="Überschrift 1 138" xfId="10471" xr:uid="{00000000-0005-0000-0000-0000735B0000}"/>
    <cellStyle name="Überschrift 1 138 2" xfId="19886" xr:uid="{00000000-0005-0000-0000-0000745B0000}"/>
    <cellStyle name="Überschrift 1 138_est. MEAT" xfId="25800" xr:uid="{00000000-0005-0000-0000-0000755B0000}"/>
    <cellStyle name="Überschrift 1 139" xfId="10472" xr:uid="{00000000-0005-0000-0000-0000765B0000}"/>
    <cellStyle name="Überschrift 1 139 2" xfId="19887" xr:uid="{00000000-0005-0000-0000-0000775B0000}"/>
    <cellStyle name="Überschrift 1 139_est. MEAT" xfId="25801" xr:uid="{00000000-0005-0000-0000-0000785B0000}"/>
    <cellStyle name="Überschrift 1 14" xfId="10473" xr:uid="{00000000-0005-0000-0000-0000795B0000}"/>
    <cellStyle name="Überschrift 1 14 2" xfId="10474" xr:uid="{00000000-0005-0000-0000-00007A5B0000}"/>
    <cellStyle name="Überschrift 1 14 2 2" xfId="19889" xr:uid="{00000000-0005-0000-0000-00007B5B0000}"/>
    <cellStyle name="Überschrift 1 14 2_est. MEAT" xfId="25802" xr:uid="{00000000-0005-0000-0000-00007C5B0000}"/>
    <cellStyle name="Überschrift 1 14 3" xfId="19888" xr:uid="{00000000-0005-0000-0000-00007D5B0000}"/>
    <cellStyle name="Überschrift 1 14_2012-2019" xfId="13366" xr:uid="{00000000-0005-0000-0000-00007E5B0000}"/>
    <cellStyle name="Überschrift 1 140" xfId="10475" xr:uid="{00000000-0005-0000-0000-00007F5B0000}"/>
    <cellStyle name="Überschrift 1 140 2" xfId="19890" xr:uid="{00000000-0005-0000-0000-0000805B0000}"/>
    <cellStyle name="Überschrift 1 140_est. MEAT" xfId="25803" xr:uid="{00000000-0005-0000-0000-0000815B0000}"/>
    <cellStyle name="Überschrift 1 141" xfId="10476" xr:uid="{00000000-0005-0000-0000-0000825B0000}"/>
    <cellStyle name="Überschrift 1 141 2" xfId="19891" xr:uid="{00000000-0005-0000-0000-0000835B0000}"/>
    <cellStyle name="Überschrift 1 141_est. MEAT" xfId="25804" xr:uid="{00000000-0005-0000-0000-0000845B0000}"/>
    <cellStyle name="Überschrift 1 142" xfId="10477" xr:uid="{00000000-0005-0000-0000-0000855B0000}"/>
    <cellStyle name="Überschrift 1 142 2" xfId="19892" xr:uid="{00000000-0005-0000-0000-0000865B0000}"/>
    <cellStyle name="Überschrift 1 142_est. MEAT" xfId="25805" xr:uid="{00000000-0005-0000-0000-0000875B0000}"/>
    <cellStyle name="Überschrift 1 143" xfId="10478" xr:uid="{00000000-0005-0000-0000-0000885B0000}"/>
    <cellStyle name="Überschrift 1 143 2" xfId="19893" xr:uid="{00000000-0005-0000-0000-0000895B0000}"/>
    <cellStyle name="Überschrift 1 143_est. MEAT" xfId="25806" xr:uid="{00000000-0005-0000-0000-00008A5B0000}"/>
    <cellStyle name="Überschrift 1 144" xfId="10479" xr:uid="{00000000-0005-0000-0000-00008B5B0000}"/>
    <cellStyle name="Überschrift 1 144 2" xfId="19894" xr:uid="{00000000-0005-0000-0000-00008C5B0000}"/>
    <cellStyle name="Überschrift 1 144_est. MEAT" xfId="25807" xr:uid="{00000000-0005-0000-0000-00008D5B0000}"/>
    <cellStyle name="Überschrift 1 145" xfId="10480" xr:uid="{00000000-0005-0000-0000-00008E5B0000}"/>
    <cellStyle name="Überschrift 1 145 2" xfId="19895" xr:uid="{00000000-0005-0000-0000-00008F5B0000}"/>
    <cellStyle name="Überschrift 1 145_est. MEAT" xfId="25808" xr:uid="{00000000-0005-0000-0000-0000905B0000}"/>
    <cellStyle name="Überschrift 1 146" xfId="10481" xr:uid="{00000000-0005-0000-0000-0000915B0000}"/>
    <cellStyle name="Überschrift 1 146 2" xfId="19896" xr:uid="{00000000-0005-0000-0000-0000925B0000}"/>
    <cellStyle name="Überschrift 1 146_est. MEAT" xfId="25809" xr:uid="{00000000-0005-0000-0000-0000935B0000}"/>
    <cellStyle name="Überschrift 1 147" xfId="10482" xr:uid="{00000000-0005-0000-0000-0000945B0000}"/>
    <cellStyle name="Überschrift 1 147 2" xfId="19897" xr:uid="{00000000-0005-0000-0000-0000955B0000}"/>
    <cellStyle name="Überschrift 1 147_est. MEAT" xfId="25810" xr:uid="{00000000-0005-0000-0000-0000965B0000}"/>
    <cellStyle name="Überschrift 1 148" xfId="10483" xr:uid="{00000000-0005-0000-0000-0000975B0000}"/>
    <cellStyle name="Überschrift 1 148 2" xfId="19898" xr:uid="{00000000-0005-0000-0000-0000985B0000}"/>
    <cellStyle name="Überschrift 1 148_est. MEAT" xfId="25811" xr:uid="{00000000-0005-0000-0000-0000995B0000}"/>
    <cellStyle name="Überschrift 1 149" xfId="10484" xr:uid="{00000000-0005-0000-0000-00009A5B0000}"/>
    <cellStyle name="Überschrift 1 149 2" xfId="19899" xr:uid="{00000000-0005-0000-0000-00009B5B0000}"/>
    <cellStyle name="Überschrift 1 149_est. MEAT" xfId="25812" xr:uid="{00000000-0005-0000-0000-00009C5B0000}"/>
    <cellStyle name="Überschrift 1 15" xfId="10485" xr:uid="{00000000-0005-0000-0000-00009D5B0000}"/>
    <cellStyle name="Überschrift 1 15 2" xfId="19900" xr:uid="{00000000-0005-0000-0000-00009E5B0000}"/>
    <cellStyle name="Überschrift 1 15_est. MEAT" xfId="25813" xr:uid="{00000000-0005-0000-0000-00009F5B0000}"/>
    <cellStyle name="Überschrift 1 150" xfId="10486" xr:uid="{00000000-0005-0000-0000-0000A05B0000}"/>
    <cellStyle name="Überschrift 1 150 2" xfId="19901" xr:uid="{00000000-0005-0000-0000-0000A15B0000}"/>
    <cellStyle name="Überschrift 1 150_est. MEAT" xfId="25814" xr:uid="{00000000-0005-0000-0000-0000A25B0000}"/>
    <cellStyle name="Überschrift 1 151" xfId="10487" xr:uid="{00000000-0005-0000-0000-0000A35B0000}"/>
    <cellStyle name="Überschrift 1 151 2" xfId="19902" xr:uid="{00000000-0005-0000-0000-0000A45B0000}"/>
    <cellStyle name="Überschrift 1 151_est. MEAT" xfId="25815" xr:uid="{00000000-0005-0000-0000-0000A55B0000}"/>
    <cellStyle name="Überschrift 1 152" xfId="19839" xr:uid="{00000000-0005-0000-0000-0000A65B0000}"/>
    <cellStyle name="Überschrift 1 16" xfId="10488" xr:uid="{00000000-0005-0000-0000-0000A75B0000}"/>
    <cellStyle name="Überschrift 1 16 2" xfId="19903" xr:uid="{00000000-0005-0000-0000-0000A85B0000}"/>
    <cellStyle name="Überschrift 1 16_est. MEAT" xfId="25816" xr:uid="{00000000-0005-0000-0000-0000A95B0000}"/>
    <cellStyle name="Überschrift 1 17" xfId="10489" xr:uid="{00000000-0005-0000-0000-0000AA5B0000}"/>
    <cellStyle name="Überschrift 1 17 2" xfId="19904" xr:uid="{00000000-0005-0000-0000-0000AB5B0000}"/>
    <cellStyle name="Überschrift 1 17_est. MEAT" xfId="25817" xr:uid="{00000000-0005-0000-0000-0000AC5B0000}"/>
    <cellStyle name="Überschrift 1 18" xfId="10490" xr:uid="{00000000-0005-0000-0000-0000AD5B0000}"/>
    <cellStyle name="Überschrift 1 18 2" xfId="19905" xr:uid="{00000000-0005-0000-0000-0000AE5B0000}"/>
    <cellStyle name="Überschrift 1 18_est. MEAT" xfId="25818" xr:uid="{00000000-0005-0000-0000-0000AF5B0000}"/>
    <cellStyle name="Überschrift 1 19" xfId="10491" xr:uid="{00000000-0005-0000-0000-0000B05B0000}"/>
    <cellStyle name="Überschrift 1 19 2" xfId="19906" xr:uid="{00000000-0005-0000-0000-0000B15B0000}"/>
    <cellStyle name="Überschrift 1 19_est. MEAT" xfId="25819" xr:uid="{00000000-0005-0000-0000-0000B25B0000}"/>
    <cellStyle name="Überschrift 1 2" xfId="10492" xr:uid="{00000000-0005-0000-0000-0000B35B0000}"/>
    <cellStyle name="Überschrift 1 2 2" xfId="10493" xr:uid="{00000000-0005-0000-0000-0000B45B0000}"/>
    <cellStyle name="Überschrift 1 2 2 2" xfId="19908" xr:uid="{00000000-0005-0000-0000-0000B55B0000}"/>
    <cellStyle name="Überschrift 1 2 2_est. MEAT" xfId="25820" xr:uid="{00000000-0005-0000-0000-0000B65B0000}"/>
    <cellStyle name="Überschrift 1 2 3" xfId="19907" xr:uid="{00000000-0005-0000-0000-0000B75B0000}"/>
    <cellStyle name="Überschrift 1 2_2012-2019" xfId="13367" xr:uid="{00000000-0005-0000-0000-0000B85B0000}"/>
    <cellStyle name="Überschrift 1 20" xfId="10494" xr:uid="{00000000-0005-0000-0000-0000B95B0000}"/>
    <cellStyle name="Überschrift 1 20 2" xfId="19909" xr:uid="{00000000-0005-0000-0000-0000BA5B0000}"/>
    <cellStyle name="Überschrift 1 20_est. MEAT" xfId="25821" xr:uid="{00000000-0005-0000-0000-0000BB5B0000}"/>
    <cellStyle name="Überschrift 1 21" xfId="10495" xr:uid="{00000000-0005-0000-0000-0000BC5B0000}"/>
    <cellStyle name="Überschrift 1 21 2" xfId="19910" xr:uid="{00000000-0005-0000-0000-0000BD5B0000}"/>
    <cellStyle name="Überschrift 1 21_est. MEAT" xfId="25822" xr:uid="{00000000-0005-0000-0000-0000BE5B0000}"/>
    <cellStyle name="Überschrift 1 22" xfId="10496" xr:uid="{00000000-0005-0000-0000-0000BF5B0000}"/>
    <cellStyle name="Überschrift 1 22 2" xfId="19911" xr:uid="{00000000-0005-0000-0000-0000C05B0000}"/>
    <cellStyle name="Überschrift 1 22_est. MEAT" xfId="25823" xr:uid="{00000000-0005-0000-0000-0000C15B0000}"/>
    <cellStyle name="Überschrift 1 23" xfId="10497" xr:uid="{00000000-0005-0000-0000-0000C25B0000}"/>
    <cellStyle name="Überschrift 1 23 2" xfId="19912" xr:uid="{00000000-0005-0000-0000-0000C35B0000}"/>
    <cellStyle name="Überschrift 1 23_est. MEAT" xfId="25824" xr:uid="{00000000-0005-0000-0000-0000C45B0000}"/>
    <cellStyle name="Überschrift 1 24" xfId="10498" xr:uid="{00000000-0005-0000-0000-0000C55B0000}"/>
    <cellStyle name="Überschrift 1 24 2" xfId="19913" xr:uid="{00000000-0005-0000-0000-0000C65B0000}"/>
    <cellStyle name="Überschrift 1 24_est. MEAT" xfId="25825" xr:uid="{00000000-0005-0000-0000-0000C75B0000}"/>
    <cellStyle name="Überschrift 1 25" xfId="10499" xr:uid="{00000000-0005-0000-0000-0000C85B0000}"/>
    <cellStyle name="Überschrift 1 25 2" xfId="19914" xr:uid="{00000000-0005-0000-0000-0000C95B0000}"/>
    <cellStyle name="Überschrift 1 25_est. MEAT" xfId="25826" xr:uid="{00000000-0005-0000-0000-0000CA5B0000}"/>
    <cellStyle name="Überschrift 1 26" xfId="10500" xr:uid="{00000000-0005-0000-0000-0000CB5B0000}"/>
    <cellStyle name="Überschrift 1 26 2" xfId="19915" xr:uid="{00000000-0005-0000-0000-0000CC5B0000}"/>
    <cellStyle name="Überschrift 1 26_est. MEAT" xfId="25827" xr:uid="{00000000-0005-0000-0000-0000CD5B0000}"/>
    <cellStyle name="Überschrift 1 27" xfId="10501" xr:uid="{00000000-0005-0000-0000-0000CE5B0000}"/>
    <cellStyle name="Überschrift 1 27 2" xfId="19916" xr:uid="{00000000-0005-0000-0000-0000CF5B0000}"/>
    <cellStyle name="Überschrift 1 27_est. MEAT" xfId="25828" xr:uid="{00000000-0005-0000-0000-0000D05B0000}"/>
    <cellStyle name="Überschrift 1 28" xfId="10502" xr:uid="{00000000-0005-0000-0000-0000D15B0000}"/>
    <cellStyle name="Überschrift 1 28 2" xfId="19917" xr:uid="{00000000-0005-0000-0000-0000D25B0000}"/>
    <cellStyle name="Überschrift 1 28_est. MEAT" xfId="25829" xr:uid="{00000000-0005-0000-0000-0000D35B0000}"/>
    <cellStyle name="Überschrift 1 29" xfId="10503" xr:uid="{00000000-0005-0000-0000-0000D45B0000}"/>
    <cellStyle name="Überschrift 1 29 2" xfId="19918" xr:uid="{00000000-0005-0000-0000-0000D55B0000}"/>
    <cellStyle name="Überschrift 1 29_est. MEAT" xfId="25830" xr:uid="{00000000-0005-0000-0000-0000D65B0000}"/>
    <cellStyle name="Überschrift 1 3" xfId="10504" xr:uid="{00000000-0005-0000-0000-0000D75B0000}"/>
    <cellStyle name="Überschrift 1 3 2" xfId="10505" xr:uid="{00000000-0005-0000-0000-0000D85B0000}"/>
    <cellStyle name="Überschrift 1 3 2 2" xfId="19920" xr:uid="{00000000-0005-0000-0000-0000D95B0000}"/>
    <cellStyle name="Überschrift 1 3 2_est. MEAT" xfId="25831" xr:uid="{00000000-0005-0000-0000-0000DA5B0000}"/>
    <cellStyle name="Überschrift 1 3 3" xfId="19919" xr:uid="{00000000-0005-0000-0000-0000DB5B0000}"/>
    <cellStyle name="Überschrift 1 3_2012-2019" xfId="13368" xr:uid="{00000000-0005-0000-0000-0000DC5B0000}"/>
    <cellStyle name="Überschrift 1 30" xfId="10506" xr:uid="{00000000-0005-0000-0000-0000DD5B0000}"/>
    <cellStyle name="Überschrift 1 30 2" xfId="19921" xr:uid="{00000000-0005-0000-0000-0000DE5B0000}"/>
    <cellStyle name="Überschrift 1 30_est. MEAT" xfId="25832" xr:uid="{00000000-0005-0000-0000-0000DF5B0000}"/>
    <cellStyle name="Überschrift 1 31" xfId="10507" xr:uid="{00000000-0005-0000-0000-0000E05B0000}"/>
    <cellStyle name="Überschrift 1 31 2" xfId="19922" xr:uid="{00000000-0005-0000-0000-0000E15B0000}"/>
    <cellStyle name="Überschrift 1 31_est. MEAT" xfId="25833" xr:uid="{00000000-0005-0000-0000-0000E25B0000}"/>
    <cellStyle name="Überschrift 1 32" xfId="10508" xr:uid="{00000000-0005-0000-0000-0000E35B0000}"/>
    <cellStyle name="Überschrift 1 32 2" xfId="19923" xr:uid="{00000000-0005-0000-0000-0000E45B0000}"/>
    <cellStyle name="Überschrift 1 32_est. MEAT" xfId="25834" xr:uid="{00000000-0005-0000-0000-0000E55B0000}"/>
    <cellStyle name="Überschrift 1 33" xfId="10509" xr:uid="{00000000-0005-0000-0000-0000E65B0000}"/>
    <cellStyle name="Überschrift 1 33 2" xfId="19924" xr:uid="{00000000-0005-0000-0000-0000E75B0000}"/>
    <cellStyle name="Überschrift 1 33_est. MEAT" xfId="25835" xr:uid="{00000000-0005-0000-0000-0000E85B0000}"/>
    <cellStyle name="Überschrift 1 34" xfId="10510" xr:uid="{00000000-0005-0000-0000-0000E95B0000}"/>
    <cellStyle name="Überschrift 1 34 2" xfId="19925" xr:uid="{00000000-0005-0000-0000-0000EA5B0000}"/>
    <cellStyle name="Überschrift 1 34_est. MEAT" xfId="25836" xr:uid="{00000000-0005-0000-0000-0000EB5B0000}"/>
    <cellStyle name="Überschrift 1 35" xfId="10511" xr:uid="{00000000-0005-0000-0000-0000EC5B0000}"/>
    <cellStyle name="Überschrift 1 35 2" xfId="19926" xr:uid="{00000000-0005-0000-0000-0000ED5B0000}"/>
    <cellStyle name="Überschrift 1 35_est. MEAT" xfId="25837" xr:uid="{00000000-0005-0000-0000-0000EE5B0000}"/>
    <cellStyle name="Überschrift 1 36" xfId="10512" xr:uid="{00000000-0005-0000-0000-0000EF5B0000}"/>
    <cellStyle name="Überschrift 1 36 2" xfId="19927" xr:uid="{00000000-0005-0000-0000-0000F05B0000}"/>
    <cellStyle name="Überschrift 1 36_est. MEAT" xfId="25838" xr:uid="{00000000-0005-0000-0000-0000F15B0000}"/>
    <cellStyle name="Überschrift 1 37" xfId="10513" xr:uid="{00000000-0005-0000-0000-0000F25B0000}"/>
    <cellStyle name="Überschrift 1 37 2" xfId="19928" xr:uid="{00000000-0005-0000-0000-0000F35B0000}"/>
    <cellStyle name="Überschrift 1 37_est. MEAT" xfId="25839" xr:uid="{00000000-0005-0000-0000-0000F45B0000}"/>
    <cellStyle name="Überschrift 1 38" xfId="10514" xr:uid="{00000000-0005-0000-0000-0000F55B0000}"/>
    <cellStyle name="Überschrift 1 38 2" xfId="19929" xr:uid="{00000000-0005-0000-0000-0000F65B0000}"/>
    <cellStyle name="Überschrift 1 38_est. MEAT" xfId="25840" xr:uid="{00000000-0005-0000-0000-0000F75B0000}"/>
    <cellStyle name="Überschrift 1 39" xfId="10515" xr:uid="{00000000-0005-0000-0000-0000F85B0000}"/>
    <cellStyle name="Überschrift 1 39 2" xfId="19930" xr:uid="{00000000-0005-0000-0000-0000F95B0000}"/>
    <cellStyle name="Überschrift 1 39_est. MEAT" xfId="25841" xr:uid="{00000000-0005-0000-0000-0000FA5B0000}"/>
    <cellStyle name="Überschrift 1 4" xfId="10516" xr:uid="{00000000-0005-0000-0000-0000FB5B0000}"/>
    <cellStyle name="Überschrift 1 4 2" xfId="10517" xr:uid="{00000000-0005-0000-0000-0000FC5B0000}"/>
    <cellStyle name="Überschrift 1 4 2 2" xfId="19932" xr:uid="{00000000-0005-0000-0000-0000FD5B0000}"/>
    <cellStyle name="Überschrift 1 4 2_est. MEAT" xfId="25842" xr:uid="{00000000-0005-0000-0000-0000FE5B0000}"/>
    <cellStyle name="Überschrift 1 4 3" xfId="19931" xr:uid="{00000000-0005-0000-0000-0000FF5B0000}"/>
    <cellStyle name="Überschrift 1 4_2012-2019" xfId="13369" xr:uid="{00000000-0005-0000-0000-0000005C0000}"/>
    <cellStyle name="Überschrift 1 40" xfId="10518" xr:uid="{00000000-0005-0000-0000-0000015C0000}"/>
    <cellStyle name="Überschrift 1 40 2" xfId="19933" xr:uid="{00000000-0005-0000-0000-0000025C0000}"/>
    <cellStyle name="Überschrift 1 40_est. MEAT" xfId="25843" xr:uid="{00000000-0005-0000-0000-0000035C0000}"/>
    <cellStyle name="Überschrift 1 41" xfId="10519" xr:uid="{00000000-0005-0000-0000-0000045C0000}"/>
    <cellStyle name="Überschrift 1 41 2" xfId="19934" xr:uid="{00000000-0005-0000-0000-0000055C0000}"/>
    <cellStyle name="Überschrift 1 41_est. MEAT" xfId="25844" xr:uid="{00000000-0005-0000-0000-0000065C0000}"/>
    <cellStyle name="Überschrift 1 42" xfId="10520" xr:uid="{00000000-0005-0000-0000-0000075C0000}"/>
    <cellStyle name="Überschrift 1 42 2" xfId="19935" xr:uid="{00000000-0005-0000-0000-0000085C0000}"/>
    <cellStyle name="Überschrift 1 42_est. MEAT" xfId="25845" xr:uid="{00000000-0005-0000-0000-0000095C0000}"/>
    <cellStyle name="Überschrift 1 43" xfId="10521" xr:uid="{00000000-0005-0000-0000-00000A5C0000}"/>
    <cellStyle name="Überschrift 1 43 2" xfId="19936" xr:uid="{00000000-0005-0000-0000-00000B5C0000}"/>
    <cellStyle name="Überschrift 1 43_est. MEAT" xfId="25846" xr:uid="{00000000-0005-0000-0000-00000C5C0000}"/>
    <cellStyle name="Überschrift 1 44" xfId="10522" xr:uid="{00000000-0005-0000-0000-00000D5C0000}"/>
    <cellStyle name="Überschrift 1 44 2" xfId="19937" xr:uid="{00000000-0005-0000-0000-00000E5C0000}"/>
    <cellStyle name="Überschrift 1 44_est. MEAT" xfId="25847" xr:uid="{00000000-0005-0000-0000-00000F5C0000}"/>
    <cellStyle name="Überschrift 1 45" xfId="10523" xr:uid="{00000000-0005-0000-0000-0000105C0000}"/>
    <cellStyle name="Überschrift 1 45 2" xfId="19938" xr:uid="{00000000-0005-0000-0000-0000115C0000}"/>
    <cellStyle name="Überschrift 1 45_est. MEAT" xfId="25848" xr:uid="{00000000-0005-0000-0000-0000125C0000}"/>
    <cellStyle name="Überschrift 1 46" xfId="10524" xr:uid="{00000000-0005-0000-0000-0000135C0000}"/>
    <cellStyle name="Überschrift 1 46 2" xfId="19939" xr:uid="{00000000-0005-0000-0000-0000145C0000}"/>
    <cellStyle name="Überschrift 1 46_est. MEAT" xfId="25849" xr:uid="{00000000-0005-0000-0000-0000155C0000}"/>
    <cellStyle name="Überschrift 1 47" xfId="10525" xr:uid="{00000000-0005-0000-0000-0000165C0000}"/>
    <cellStyle name="Überschrift 1 47 2" xfId="19940" xr:uid="{00000000-0005-0000-0000-0000175C0000}"/>
    <cellStyle name="Überschrift 1 47_est. MEAT" xfId="25850" xr:uid="{00000000-0005-0000-0000-0000185C0000}"/>
    <cellStyle name="Überschrift 1 48" xfId="10526" xr:uid="{00000000-0005-0000-0000-0000195C0000}"/>
    <cellStyle name="Überschrift 1 48 2" xfId="19941" xr:uid="{00000000-0005-0000-0000-00001A5C0000}"/>
    <cellStyle name="Überschrift 1 48_est. MEAT" xfId="25851" xr:uid="{00000000-0005-0000-0000-00001B5C0000}"/>
    <cellStyle name="Überschrift 1 49" xfId="10527" xr:uid="{00000000-0005-0000-0000-00001C5C0000}"/>
    <cellStyle name="Überschrift 1 49 2" xfId="19942" xr:uid="{00000000-0005-0000-0000-00001D5C0000}"/>
    <cellStyle name="Überschrift 1 49_est. MEAT" xfId="25852" xr:uid="{00000000-0005-0000-0000-00001E5C0000}"/>
    <cellStyle name="Überschrift 1 5" xfId="10528" xr:uid="{00000000-0005-0000-0000-00001F5C0000}"/>
    <cellStyle name="Überschrift 1 5 2" xfId="10529" xr:uid="{00000000-0005-0000-0000-0000205C0000}"/>
    <cellStyle name="Überschrift 1 5 2 2" xfId="19944" xr:uid="{00000000-0005-0000-0000-0000215C0000}"/>
    <cellStyle name="Überschrift 1 5 2_est. MEAT" xfId="25853" xr:uid="{00000000-0005-0000-0000-0000225C0000}"/>
    <cellStyle name="Überschrift 1 5 3" xfId="19943" xr:uid="{00000000-0005-0000-0000-0000235C0000}"/>
    <cellStyle name="Überschrift 1 5_2012-2019" xfId="13370" xr:uid="{00000000-0005-0000-0000-0000245C0000}"/>
    <cellStyle name="Überschrift 1 50" xfId="10530" xr:uid="{00000000-0005-0000-0000-0000255C0000}"/>
    <cellStyle name="Überschrift 1 50 2" xfId="19945" xr:uid="{00000000-0005-0000-0000-0000265C0000}"/>
    <cellStyle name="Überschrift 1 50_est. MEAT" xfId="25854" xr:uid="{00000000-0005-0000-0000-0000275C0000}"/>
    <cellStyle name="Überschrift 1 51" xfId="10531" xr:uid="{00000000-0005-0000-0000-0000285C0000}"/>
    <cellStyle name="Überschrift 1 51 2" xfId="19946" xr:uid="{00000000-0005-0000-0000-0000295C0000}"/>
    <cellStyle name="Überschrift 1 51_est. MEAT" xfId="25855" xr:uid="{00000000-0005-0000-0000-00002A5C0000}"/>
    <cellStyle name="Überschrift 1 52" xfId="10532" xr:uid="{00000000-0005-0000-0000-00002B5C0000}"/>
    <cellStyle name="Überschrift 1 52 2" xfId="19947" xr:uid="{00000000-0005-0000-0000-00002C5C0000}"/>
    <cellStyle name="Überschrift 1 52_est. MEAT" xfId="25856" xr:uid="{00000000-0005-0000-0000-00002D5C0000}"/>
    <cellStyle name="Überschrift 1 53" xfId="10533" xr:uid="{00000000-0005-0000-0000-00002E5C0000}"/>
    <cellStyle name="Überschrift 1 53 2" xfId="19948" xr:uid="{00000000-0005-0000-0000-00002F5C0000}"/>
    <cellStyle name="Überschrift 1 53_est. MEAT" xfId="25857" xr:uid="{00000000-0005-0000-0000-0000305C0000}"/>
    <cellStyle name="Überschrift 1 54" xfId="10534" xr:uid="{00000000-0005-0000-0000-0000315C0000}"/>
    <cellStyle name="Überschrift 1 54 2" xfId="19949" xr:uid="{00000000-0005-0000-0000-0000325C0000}"/>
    <cellStyle name="Überschrift 1 54_est. MEAT" xfId="25858" xr:uid="{00000000-0005-0000-0000-0000335C0000}"/>
    <cellStyle name="Überschrift 1 55" xfId="10535" xr:uid="{00000000-0005-0000-0000-0000345C0000}"/>
    <cellStyle name="Überschrift 1 55 2" xfId="19950" xr:uid="{00000000-0005-0000-0000-0000355C0000}"/>
    <cellStyle name="Überschrift 1 55_est. MEAT" xfId="25859" xr:uid="{00000000-0005-0000-0000-0000365C0000}"/>
    <cellStyle name="Überschrift 1 56" xfId="10536" xr:uid="{00000000-0005-0000-0000-0000375C0000}"/>
    <cellStyle name="Überschrift 1 56 2" xfId="19951" xr:uid="{00000000-0005-0000-0000-0000385C0000}"/>
    <cellStyle name="Überschrift 1 56_est. MEAT" xfId="25860" xr:uid="{00000000-0005-0000-0000-0000395C0000}"/>
    <cellStyle name="Überschrift 1 57" xfId="10537" xr:uid="{00000000-0005-0000-0000-00003A5C0000}"/>
    <cellStyle name="Überschrift 1 57 2" xfId="19952" xr:uid="{00000000-0005-0000-0000-00003B5C0000}"/>
    <cellStyle name="Überschrift 1 57_est. MEAT" xfId="25861" xr:uid="{00000000-0005-0000-0000-00003C5C0000}"/>
    <cellStyle name="Überschrift 1 58" xfId="10538" xr:uid="{00000000-0005-0000-0000-00003D5C0000}"/>
    <cellStyle name="Überschrift 1 58 2" xfId="19953" xr:uid="{00000000-0005-0000-0000-00003E5C0000}"/>
    <cellStyle name="Überschrift 1 58_est. MEAT" xfId="25862" xr:uid="{00000000-0005-0000-0000-00003F5C0000}"/>
    <cellStyle name="Überschrift 1 59" xfId="10539" xr:uid="{00000000-0005-0000-0000-0000405C0000}"/>
    <cellStyle name="Überschrift 1 59 2" xfId="19954" xr:uid="{00000000-0005-0000-0000-0000415C0000}"/>
    <cellStyle name="Überschrift 1 59_est. MEAT" xfId="25863" xr:uid="{00000000-0005-0000-0000-0000425C0000}"/>
    <cellStyle name="Überschrift 1 6" xfId="10540" xr:uid="{00000000-0005-0000-0000-0000435C0000}"/>
    <cellStyle name="Überschrift 1 6 2" xfId="10541" xr:uid="{00000000-0005-0000-0000-0000445C0000}"/>
    <cellStyle name="Überschrift 1 6 2 2" xfId="19956" xr:uid="{00000000-0005-0000-0000-0000455C0000}"/>
    <cellStyle name="Überschrift 1 6 2_est. MEAT" xfId="25864" xr:uid="{00000000-0005-0000-0000-0000465C0000}"/>
    <cellStyle name="Überschrift 1 6 3" xfId="19955" xr:uid="{00000000-0005-0000-0000-0000475C0000}"/>
    <cellStyle name="Überschrift 1 6_2012-2019" xfId="13371" xr:uid="{00000000-0005-0000-0000-0000485C0000}"/>
    <cellStyle name="Überschrift 1 60" xfId="10542" xr:uid="{00000000-0005-0000-0000-0000495C0000}"/>
    <cellStyle name="Überschrift 1 60 2" xfId="19957" xr:uid="{00000000-0005-0000-0000-00004A5C0000}"/>
    <cellStyle name="Überschrift 1 60_est. MEAT" xfId="25865" xr:uid="{00000000-0005-0000-0000-00004B5C0000}"/>
    <cellStyle name="Überschrift 1 61" xfId="10543" xr:uid="{00000000-0005-0000-0000-00004C5C0000}"/>
    <cellStyle name="Überschrift 1 61 2" xfId="19958" xr:uid="{00000000-0005-0000-0000-00004D5C0000}"/>
    <cellStyle name="Überschrift 1 61_est. MEAT" xfId="25866" xr:uid="{00000000-0005-0000-0000-00004E5C0000}"/>
    <cellStyle name="Überschrift 1 62" xfId="10544" xr:uid="{00000000-0005-0000-0000-00004F5C0000}"/>
    <cellStyle name="Überschrift 1 62 2" xfId="19959" xr:uid="{00000000-0005-0000-0000-0000505C0000}"/>
    <cellStyle name="Überschrift 1 62_est. MEAT" xfId="25867" xr:uid="{00000000-0005-0000-0000-0000515C0000}"/>
    <cellStyle name="Überschrift 1 63" xfId="10545" xr:uid="{00000000-0005-0000-0000-0000525C0000}"/>
    <cellStyle name="Überschrift 1 63 2" xfId="19960" xr:uid="{00000000-0005-0000-0000-0000535C0000}"/>
    <cellStyle name="Überschrift 1 63_est. MEAT" xfId="25868" xr:uid="{00000000-0005-0000-0000-0000545C0000}"/>
    <cellStyle name="Überschrift 1 64" xfId="10546" xr:uid="{00000000-0005-0000-0000-0000555C0000}"/>
    <cellStyle name="Überschrift 1 64 2" xfId="19961" xr:uid="{00000000-0005-0000-0000-0000565C0000}"/>
    <cellStyle name="Überschrift 1 64_est. MEAT" xfId="25869" xr:uid="{00000000-0005-0000-0000-0000575C0000}"/>
    <cellStyle name="Überschrift 1 65" xfId="10547" xr:uid="{00000000-0005-0000-0000-0000585C0000}"/>
    <cellStyle name="Überschrift 1 65 2" xfId="19962" xr:uid="{00000000-0005-0000-0000-0000595C0000}"/>
    <cellStyle name="Überschrift 1 65_est. MEAT" xfId="25870" xr:uid="{00000000-0005-0000-0000-00005A5C0000}"/>
    <cellStyle name="Überschrift 1 66" xfId="10548" xr:uid="{00000000-0005-0000-0000-00005B5C0000}"/>
    <cellStyle name="Überschrift 1 66 2" xfId="19963" xr:uid="{00000000-0005-0000-0000-00005C5C0000}"/>
    <cellStyle name="Überschrift 1 66_est. MEAT" xfId="25871" xr:uid="{00000000-0005-0000-0000-00005D5C0000}"/>
    <cellStyle name="Überschrift 1 67" xfId="10549" xr:uid="{00000000-0005-0000-0000-00005E5C0000}"/>
    <cellStyle name="Überschrift 1 67 2" xfId="19964" xr:uid="{00000000-0005-0000-0000-00005F5C0000}"/>
    <cellStyle name="Überschrift 1 67_est. MEAT" xfId="25872" xr:uid="{00000000-0005-0000-0000-0000605C0000}"/>
    <cellStyle name="Überschrift 1 68" xfId="10550" xr:uid="{00000000-0005-0000-0000-0000615C0000}"/>
    <cellStyle name="Überschrift 1 68 2" xfId="19965" xr:uid="{00000000-0005-0000-0000-0000625C0000}"/>
    <cellStyle name="Überschrift 1 68_est. MEAT" xfId="25873" xr:uid="{00000000-0005-0000-0000-0000635C0000}"/>
    <cellStyle name="Überschrift 1 69" xfId="10551" xr:uid="{00000000-0005-0000-0000-0000645C0000}"/>
    <cellStyle name="Überschrift 1 69 2" xfId="19966" xr:uid="{00000000-0005-0000-0000-0000655C0000}"/>
    <cellStyle name="Überschrift 1 69_est. MEAT" xfId="25874" xr:uid="{00000000-0005-0000-0000-0000665C0000}"/>
    <cellStyle name="Überschrift 1 7" xfId="10552" xr:uid="{00000000-0005-0000-0000-0000675C0000}"/>
    <cellStyle name="Überschrift 1 7 2" xfId="10553" xr:uid="{00000000-0005-0000-0000-0000685C0000}"/>
    <cellStyle name="Überschrift 1 7 2 2" xfId="19968" xr:uid="{00000000-0005-0000-0000-0000695C0000}"/>
    <cellStyle name="Überschrift 1 7 2_est. MEAT" xfId="25875" xr:uid="{00000000-0005-0000-0000-00006A5C0000}"/>
    <cellStyle name="Überschrift 1 7 3" xfId="19967" xr:uid="{00000000-0005-0000-0000-00006B5C0000}"/>
    <cellStyle name="Überschrift 1 7_2012-2019" xfId="13372" xr:uid="{00000000-0005-0000-0000-00006C5C0000}"/>
    <cellStyle name="Überschrift 1 70" xfId="10554" xr:uid="{00000000-0005-0000-0000-00006D5C0000}"/>
    <cellStyle name="Überschrift 1 70 2" xfId="19969" xr:uid="{00000000-0005-0000-0000-00006E5C0000}"/>
    <cellStyle name="Überschrift 1 70_est. MEAT" xfId="25876" xr:uid="{00000000-0005-0000-0000-00006F5C0000}"/>
    <cellStyle name="Überschrift 1 71" xfId="10555" xr:uid="{00000000-0005-0000-0000-0000705C0000}"/>
    <cellStyle name="Überschrift 1 71 2" xfId="19970" xr:uid="{00000000-0005-0000-0000-0000715C0000}"/>
    <cellStyle name="Überschrift 1 71_est. MEAT" xfId="25877" xr:uid="{00000000-0005-0000-0000-0000725C0000}"/>
    <cellStyle name="Überschrift 1 72" xfId="10556" xr:uid="{00000000-0005-0000-0000-0000735C0000}"/>
    <cellStyle name="Überschrift 1 72 2" xfId="19971" xr:uid="{00000000-0005-0000-0000-0000745C0000}"/>
    <cellStyle name="Überschrift 1 72_est. MEAT" xfId="25878" xr:uid="{00000000-0005-0000-0000-0000755C0000}"/>
    <cellStyle name="Überschrift 1 73" xfId="10557" xr:uid="{00000000-0005-0000-0000-0000765C0000}"/>
    <cellStyle name="Überschrift 1 73 2" xfId="19972" xr:uid="{00000000-0005-0000-0000-0000775C0000}"/>
    <cellStyle name="Überschrift 1 73_est. MEAT" xfId="25879" xr:uid="{00000000-0005-0000-0000-0000785C0000}"/>
    <cellStyle name="Überschrift 1 74" xfId="10558" xr:uid="{00000000-0005-0000-0000-0000795C0000}"/>
    <cellStyle name="Überschrift 1 74 2" xfId="19973" xr:uid="{00000000-0005-0000-0000-00007A5C0000}"/>
    <cellStyle name="Überschrift 1 74_est. MEAT" xfId="25880" xr:uid="{00000000-0005-0000-0000-00007B5C0000}"/>
    <cellStyle name="Überschrift 1 75" xfId="10559" xr:uid="{00000000-0005-0000-0000-00007C5C0000}"/>
    <cellStyle name="Überschrift 1 75 2" xfId="19974" xr:uid="{00000000-0005-0000-0000-00007D5C0000}"/>
    <cellStyle name="Überschrift 1 75_est. MEAT" xfId="25881" xr:uid="{00000000-0005-0000-0000-00007E5C0000}"/>
    <cellStyle name="Überschrift 1 76" xfId="10560" xr:uid="{00000000-0005-0000-0000-00007F5C0000}"/>
    <cellStyle name="Überschrift 1 76 2" xfId="19975" xr:uid="{00000000-0005-0000-0000-0000805C0000}"/>
    <cellStyle name="Überschrift 1 76_est. MEAT" xfId="25882" xr:uid="{00000000-0005-0000-0000-0000815C0000}"/>
    <cellStyle name="Überschrift 1 77" xfId="10561" xr:uid="{00000000-0005-0000-0000-0000825C0000}"/>
    <cellStyle name="Überschrift 1 77 2" xfId="19976" xr:uid="{00000000-0005-0000-0000-0000835C0000}"/>
    <cellStyle name="Überschrift 1 77_est. MEAT" xfId="25883" xr:uid="{00000000-0005-0000-0000-0000845C0000}"/>
    <cellStyle name="Überschrift 1 78" xfId="10562" xr:uid="{00000000-0005-0000-0000-0000855C0000}"/>
    <cellStyle name="Überschrift 1 78 2" xfId="19977" xr:uid="{00000000-0005-0000-0000-0000865C0000}"/>
    <cellStyle name="Überschrift 1 78_est. MEAT" xfId="25884" xr:uid="{00000000-0005-0000-0000-0000875C0000}"/>
    <cellStyle name="Überschrift 1 79" xfId="10563" xr:uid="{00000000-0005-0000-0000-0000885C0000}"/>
    <cellStyle name="Überschrift 1 79 2" xfId="19978" xr:uid="{00000000-0005-0000-0000-0000895C0000}"/>
    <cellStyle name="Überschrift 1 79_est. MEAT" xfId="25885" xr:uid="{00000000-0005-0000-0000-00008A5C0000}"/>
    <cellStyle name="Überschrift 1 8" xfId="10564" xr:uid="{00000000-0005-0000-0000-00008B5C0000}"/>
    <cellStyle name="Überschrift 1 8 2" xfId="10565" xr:uid="{00000000-0005-0000-0000-00008C5C0000}"/>
    <cellStyle name="Überschrift 1 8 2 2" xfId="19980" xr:uid="{00000000-0005-0000-0000-00008D5C0000}"/>
    <cellStyle name="Überschrift 1 8 2_est. MEAT" xfId="25886" xr:uid="{00000000-0005-0000-0000-00008E5C0000}"/>
    <cellStyle name="Überschrift 1 8 3" xfId="19979" xr:uid="{00000000-0005-0000-0000-00008F5C0000}"/>
    <cellStyle name="Überschrift 1 8_2012-2019" xfId="13373" xr:uid="{00000000-0005-0000-0000-0000905C0000}"/>
    <cellStyle name="Überschrift 1 80" xfId="10566" xr:uid="{00000000-0005-0000-0000-0000915C0000}"/>
    <cellStyle name="Überschrift 1 80 2" xfId="19981" xr:uid="{00000000-0005-0000-0000-0000925C0000}"/>
    <cellStyle name="Überschrift 1 80_est. MEAT" xfId="25887" xr:uid="{00000000-0005-0000-0000-0000935C0000}"/>
    <cellStyle name="Überschrift 1 81" xfId="10567" xr:uid="{00000000-0005-0000-0000-0000945C0000}"/>
    <cellStyle name="Überschrift 1 81 2" xfId="19982" xr:uid="{00000000-0005-0000-0000-0000955C0000}"/>
    <cellStyle name="Überschrift 1 81_est. MEAT" xfId="25888" xr:uid="{00000000-0005-0000-0000-0000965C0000}"/>
    <cellStyle name="Überschrift 1 82" xfId="10568" xr:uid="{00000000-0005-0000-0000-0000975C0000}"/>
    <cellStyle name="Überschrift 1 82 2" xfId="19983" xr:uid="{00000000-0005-0000-0000-0000985C0000}"/>
    <cellStyle name="Überschrift 1 82_est. MEAT" xfId="25889" xr:uid="{00000000-0005-0000-0000-0000995C0000}"/>
    <cellStyle name="Überschrift 1 83" xfId="10569" xr:uid="{00000000-0005-0000-0000-00009A5C0000}"/>
    <cellStyle name="Überschrift 1 83 2" xfId="19984" xr:uid="{00000000-0005-0000-0000-00009B5C0000}"/>
    <cellStyle name="Überschrift 1 83_est. MEAT" xfId="25890" xr:uid="{00000000-0005-0000-0000-00009C5C0000}"/>
    <cellStyle name="Überschrift 1 84" xfId="10570" xr:uid="{00000000-0005-0000-0000-00009D5C0000}"/>
    <cellStyle name="Überschrift 1 84 2" xfId="19985" xr:uid="{00000000-0005-0000-0000-00009E5C0000}"/>
    <cellStyle name="Überschrift 1 84_est. MEAT" xfId="25891" xr:uid="{00000000-0005-0000-0000-00009F5C0000}"/>
    <cellStyle name="Überschrift 1 85" xfId="10571" xr:uid="{00000000-0005-0000-0000-0000A05C0000}"/>
    <cellStyle name="Überschrift 1 85 2" xfId="19986" xr:uid="{00000000-0005-0000-0000-0000A15C0000}"/>
    <cellStyle name="Überschrift 1 85_est. MEAT" xfId="25892" xr:uid="{00000000-0005-0000-0000-0000A25C0000}"/>
    <cellStyle name="Überschrift 1 86" xfId="10572" xr:uid="{00000000-0005-0000-0000-0000A35C0000}"/>
    <cellStyle name="Überschrift 1 86 2" xfId="19987" xr:uid="{00000000-0005-0000-0000-0000A45C0000}"/>
    <cellStyle name="Überschrift 1 86_est. MEAT" xfId="25893" xr:uid="{00000000-0005-0000-0000-0000A55C0000}"/>
    <cellStyle name="Überschrift 1 87" xfId="10573" xr:uid="{00000000-0005-0000-0000-0000A65C0000}"/>
    <cellStyle name="Überschrift 1 87 2" xfId="19988" xr:uid="{00000000-0005-0000-0000-0000A75C0000}"/>
    <cellStyle name="Überschrift 1 87_est. MEAT" xfId="25894" xr:uid="{00000000-0005-0000-0000-0000A85C0000}"/>
    <cellStyle name="Überschrift 1 88" xfId="10574" xr:uid="{00000000-0005-0000-0000-0000A95C0000}"/>
    <cellStyle name="Überschrift 1 88 2" xfId="19989" xr:uid="{00000000-0005-0000-0000-0000AA5C0000}"/>
    <cellStyle name="Überschrift 1 88_est. MEAT" xfId="25895" xr:uid="{00000000-0005-0000-0000-0000AB5C0000}"/>
    <cellStyle name="Überschrift 1 89" xfId="10575" xr:uid="{00000000-0005-0000-0000-0000AC5C0000}"/>
    <cellStyle name="Überschrift 1 89 2" xfId="19990" xr:uid="{00000000-0005-0000-0000-0000AD5C0000}"/>
    <cellStyle name="Überschrift 1 89_est. MEAT" xfId="25896" xr:uid="{00000000-0005-0000-0000-0000AE5C0000}"/>
    <cellStyle name="Überschrift 1 9" xfId="10576" xr:uid="{00000000-0005-0000-0000-0000AF5C0000}"/>
    <cellStyle name="Überschrift 1 9 2" xfId="10577" xr:uid="{00000000-0005-0000-0000-0000B05C0000}"/>
    <cellStyle name="Überschrift 1 9 2 2" xfId="19992" xr:uid="{00000000-0005-0000-0000-0000B15C0000}"/>
    <cellStyle name="Überschrift 1 9 2_est. MEAT" xfId="25897" xr:uid="{00000000-0005-0000-0000-0000B25C0000}"/>
    <cellStyle name="Überschrift 1 9 3" xfId="19991" xr:uid="{00000000-0005-0000-0000-0000B35C0000}"/>
    <cellStyle name="Überschrift 1 9_2012-2019" xfId="13374" xr:uid="{00000000-0005-0000-0000-0000B45C0000}"/>
    <cellStyle name="Überschrift 1 90" xfId="10578" xr:uid="{00000000-0005-0000-0000-0000B55C0000}"/>
    <cellStyle name="Überschrift 1 90 2" xfId="19993" xr:uid="{00000000-0005-0000-0000-0000B65C0000}"/>
    <cellStyle name="Überschrift 1 90_est. MEAT" xfId="25898" xr:uid="{00000000-0005-0000-0000-0000B75C0000}"/>
    <cellStyle name="Überschrift 1 91" xfId="10579" xr:uid="{00000000-0005-0000-0000-0000B85C0000}"/>
    <cellStyle name="Überschrift 1 91 2" xfId="19994" xr:uid="{00000000-0005-0000-0000-0000B95C0000}"/>
    <cellStyle name="Überschrift 1 91_est. MEAT" xfId="25899" xr:uid="{00000000-0005-0000-0000-0000BA5C0000}"/>
    <cellStyle name="Überschrift 1 92" xfId="10580" xr:uid="{00000000-0005-0000-0000-0000BB5C0000}"/>
    <cellStyle name="Überschrift 1 92 2" xfId="19995" xr:uid="{00000000-0005-0000-0000-0000BC5C0000}"/>
    <cellStyle name="Überschrift 1 92_est. MEAT" xfId="25900" xr:uid="{00000000-0005-0000-0000-0000BD5C0000}"/>
    <cellStyle name="Überschrift 1 93" xfId="10581" xr:uid="{00000000-0005-0000-0000-0000BE5C0000}"/>
    <cellStyle name="Überschrift 1 93 2" xfId="19996" xr:uid="{00000000-0005-0000-0000-0000BF5C0000}"/>
    <cellStyle name="Überschrift 1 93_est. MEAT" xfId="25901" xr:uid="{00000000-0005-0000-0000-0000C05C0000}"/>
    <cellStyle name="Überschrift 1 94" xfId="10582" xr:uid="{00000000-0005-0000-0000-0000C15C0000}"/>
    <cellStyle name="Überschrift 1 94 2" xfId="19997" xr:uid="{00000000-0005-0000-0000-0000C25C0000}"/>
    <cellStyle name="Überschrift 1 94_est. MEAT" xfId="25902" xr:uid="{00000000-0005-0000-0000-0000C35C0000}"/>
    <cellStyle name="Überschrift 1 95" xfId="10583" xr:uid="{00000000-0005-0000-0000-0000C45C0000}"/>
    <cellStyle name="Überschrift 1 95 2" xfId="19998" xr:uid="{00000000-0005-0000-0000-0000C55C0000}"/>
    <cellStyle name="Überschrift 1 95_est. MEAT" xfId="25903" xr:uid="{00000000-0005-0000-0000-0000C65C0000}"/>
    <cellStyle name="Überschrift 1 96" xfId="10584" xr:uid="{00000000-0005-0000-0000-0000C75C0000}"/>
    <cellStyle name="Überschrift 1 96 2" xfId="19999" xr:uid="{00000000-0005-0000-0000-0000C85C0000}"/>
    <cellStyle name="Überschrift 1 96_est. MEAT" xfId="25904" xr:uid="{00000000-0005-0000-0000-0000C95C0000}"/>
    <cellStyle name="Überschrift 1 97" xfId="10585" xr:uid="{00000000-0005-0000-0000-0000CA5C0000}"/>
    <cellStyle name="Überschrift 1 97 2" xfId="20000" xr:uid="{00000000-0005-0000-0000-0000CB5C0000}"/>
    <cellStyle name="Überschrift 1 97_est. MEAT" xfId="25905" xr:uid="{00000000-0005-0000-0000-0000CC5C0000}"/>
    <cellStyle name="Überschrift 1 98" xfId="10586" xr:uid="{00000000-0005-0000-0000-0000CD5C0000}"/>
    <cellStyle name="Überschrift 1 98 2" xfId="20001" xr:uid="{00000000-0005-0000-0000-0000CE5C0000}"/>
    <cellStyle name="Überschrift 1 98_est. MEAT" xfId="25906" xr:uid="{00000000-0005-0000-0000-0000CF5C0000}"/>
    <cellStyle name="Überschrift 1 99" xfId="10587" xr:uid="{00000000-0005-0000-0000-0000D05C0000}"/>
    <cellStyle name="Überschrift 1 99 2" xfId="20002" xr:uid="{00000000-0005-0000-0000-0000D15C0000}"/>
    <cellStyle name="Überschrift 1 99_est. MEAT" xfId="25907" xr:uid="{00000000-0005-0000-0000-0000D25C0000}"/>
    <cellStyle name="Überschrift 1_2012-2019" xfId="13361" xr:uid="{00000000-0005-0000-0000-0000D35C0000}"/>
    <cellStyle name="Überschrift 10" xfId="10588" xr:uid="{00000000-0005-0000-0000-0000D45C0000}"/>
    <cellStyle name="Überschrift 10 2" xfId="10589" xr:uid="{00000000-0005-0000-0000-0000D55C0000}"/>
    <cellStyle name="Überschrift 10 2 2" xfId="20004" xr:uid="{00000000-0005-0000-0000-0000D65C0000}"/>
    <cellStyle name="Überschrift 10 2_est. MEAT" xfId="25908" xr:uid="{00000000-0005-0000-0000-0000D75C0000}"/>
    <cellStyle name="Überschrift 10 3" xfId="20003" xr:uid="{00000000-0005-0000-0000-0000D85C0000}"/>
    <cellStyle name="Überschrift 10_2012-2019" xfId="13375" xr:uid="{00000000-0005-0000-0000-0000D95C0000}"/>
    <cellStyle name="Überschrift 100" xfId="10590" xr:uid="{00000000-0005-0000-0000-0000DA5C0000}"/>
    <cellStyle name="Überschrift 100 2" xfId="20005" xr:uid="{00000000-0005-0000-0000-0000DB5C0000}"/>
    <cellStyle name="Überschrift 100_est. MEAT" xfId="25909" xr:uid="{00000000-0005-0000-0000-0000DC5C0000}"/>
    <cellStyle name="Überschrift 101" xfId="10591" xr:uid="{00000000-0005-0000-0000-0000DD5C0000}"/>
    <cellStyle name="Überschrift 101 2" xfId="20006" xr:uid="{00000000-0005-0000-0000-0000DE5C0000}"/>
    <cellStyle name="Überschrift 101_est. MEAT" xfId="25910" xr:uid="{00000000-0005-0000-0000-0000DF5C0000}"/>
    <cellStyle name="Überschrift 102" xfId="10592" xr:uid="{00000000-0005-0000-0000-0000E05C0000}"/>
    <cellStyle name="Überschrift 102 2" xfId="20007" xr:uid="{00000000-0005-0000-0000-0000E15C0000}"/>
    <cellStyle name="Überschrift 102_est. MEAT" xfId="25911" xr:uid="{00000000-0005-0000-0000-0000E25C0000}"/>
    <cellStyle name="Überschrift 103" xfId="10593" xr:uid="{00000000-0005-0000-0000-0000E35C0000}"/>
    <cellStyle name="Überschrift 103 2" xfId="20008" xr:uid="{00000000-0005-0000-0000-0000E45C0000}"/>
    <cellStyle name="Überschrift 103_est. MEAT" xfId="25912" xr:uid="{00000000-0005-0000-0000-0000E55C0000}"/>
    <cellStyle name="Überschrift 104" xfId="10594" xr:uid="{00000000-0005-0000-0000-0000E65C0000}"/>
    <cellStyle name="Überschrift 104 2" xfId="20009" xr:uid="{00000000-0005-0000-0000-0000E75C0000}"/>
    <cellStyle name="Überschrift 104_est. MEAT" xfId="25913" xr:uid="{00000000-0005-0000-0000-0000E85C0000}"/>
    <cellStyle name="Überschrift 105" xfId="10595" xr:uid="{00000000-0005-0000-0000-0000E95C0000}"/>
    <cellStyle name="Überschrift 105 2" xfId="20010" xr:uid="{00000000-0005-0000-0000-0000EA5C0000}"/>
    <cellStyle name="Überschrift 105_est. MEAT" xfId="25914" xr:uid="{00000000-0005-0000-0000-0000EB5C0000}"/>
    <cellStyle name="Überschrift 106" xfId="10596" xr:uid="{00000000-0005-0000-0000-0000EC5C0000}"/>
    <cellStyle name="Überschrift 106 2" xfId="20011" xr:uid="{00000000-0005-0000-0000-0000ED5C0000}"/>
    <cellStyle name="Überschrift 106_est. MEAT" xfId="25915" xr:uid="{00000000-0005-0000-0000-0000EE5C0000}"/>
    <cellStyle name="Überschrift 107" xfId="10597" xr:uid="{00000000-0005-0000-0000-0000EF5C0000}"/>
    <cellStyle name="Überschrift 107 2" xfId="20012" xr:uid="{00000000-0005-0000-0000-0000F05C0000}"/>
    <cellStyle name="Überschrift 107_est. MEAT" xfId="25916" xr:uid="{00000000-0005-0000-0000-0000F15C0000}"/>
    <cellStyle name="Überschrift 108" xfId="10598" xr:uid="{00000000-0005-0000-0000-0000F25C0000}"/>
    <cellStyle name="Überschrift 108 2" xfId="20013" xr:uid="{00000000-0005-0000-0000-0000F35C0000}"/>
    <cellStyle name="Überschrift 108_est. MEAT" xfId="25917" xr:uid="{00000000-0005-0000-0000-0000F45C0000}"/>
    <cellStyle name="Überschrift 109" xfId="10599" xr:uid="{00000000-0005-0000-0000-0000F55C0000}"/>
    <cellStyle name="Überschrift 109 2" xfId="20014" xr:uid="{00000000-0005-0000-0000-0000F65C0000}"/>
    <cellStyle name="Überschrift 109_est. MEAT" xfId="25918" xr:uid="{00000000-0005-0000-0000-0000F75C0000}"/>
    <cellStyle name="Überschrift 11" xfId="10600" xr:uid="{00000000-0005-0000-0000-0000F85C0000}"/>
    <cellStyle name="Überschrift 11 2" xfId="10601" xr:uid="{00000000-0005-0000-0000-0000F95C0000}"/>
    <cellStyle name="Überschrift 11 2 2" xfId="20016" xr:uid="{00000000-0005-0000-0000-0000FA5C0000}"/>
    <cellStyle name="Überschrift 11 2_est. MEAT" xfId="25919" xr:uid="{00000000-0005-0000-0000-0000FB5C0000}"/>
    <cellStyle name="Überschrift 11 3" xfId="20015" xr:uid="{00000000-0005-0000-0000-0000FC5C0000}"/>
    <cellStyle name="Überschrift 11_2012-2019" xfId="13376" xr:uid="{00000000-0005-0000-0000-0000FD5C0000}"/>
    <cellStyle name="Überschrift 110" xfId="10602" xr:uid="{00000000-0005-0000-0000-0000FE5C0000}"/>
    <cellStyle name="Überschrift 110 2" xfId="20017" xr:uid="{00000000-0005-0000-0000-0000FF5C0000}"/>
    <cellStyle name="Überschrift 110_est. MEAT" xfId="25920" xr:uid="{00000000-0005-0000-0000-0000005D0000}"/>
    <cellStyle name="Überschrift 111" xfId="10603" xr:uid="{00000000-0005-0000-0000-0000015D0000}"/>
    <cellStyle name="Überschrift 111 2" xfId="20018" xr:uid="{00000000-0005-0000-0000-0000025D0000}"/>
    <cellStyle name="Überschrift 111_est. MEAT" xfId="25921" xr:uid="{00000000-0005-0000-0000-0000035D0000}"/>
    <cellStyle name="Überschrift 112" xfId="10604" xr:uid="{00000000-0005-0000-0000-0000045D0000}"/>
    <cellStyle name="Überschrift 112 2" xfId="20019" xr:uid="{00000000-0005-0000-0000-0000055D0000}"/>
    <cellStyle name="Überschrift 112_est. MEAT" xfId="25922" xr:uid="{00000000-0005-0000-0000-0000065D0000}"/>
    <cellStyle name="Überschrift 113" xfId="10605" xr:uid="{00000000-0005-0000-0000-0000075D0000}"/>
    <cellStyle name="Überschrift 113 2" xfId="20020" xr:uid="{00000000-0005-0000-0000-0000085D0000}"/>
    <cellStyle name="Überschrift 113_est. MEAT" xfId="25923" xr:uid="{00000000-0005-0000-0000-0000095D0000}"/>
    <cellStyle name="Überschrift 114" xfId="10606" xr:uid="{00000000-0005-0000-0000-00000A5D0000}"/>
    <cellStyle name="Überschrift 114 2" xfId="20021" xr:uid="{00000000-0005-0000-0000-00000B5D0000}"/>
    <cellStyle name="Überschrift 114_est. MEAT" xfId="25924" xr:uid="{00000000-0005-0000-0000-00000C5D0000}"/>
    <cellStyle name="Überschrift 115" xfId="10607" xr:uid="{00000000-0005-0000-0000-00000D5D0000}"/>
    <cellStyle name="Überschrift 115 2" xfId="20022" xr:uid="{00000000-0005-0000-0000-00000E5D0000}"/>
    <cellStyle name="Überschrift 115_est. MEAT" xfId="25925" xr:uid="{00000000-0005-0000-0000-00000F5D0000}"/>
    <cellStyle name="Überschrift 116" xfId="10608" xr:uid="{00000000-0005-0000-0000-0000105D0000}"/>
    <cellStyle name="Überschrift 116 2" xfId="20023" xr:uid="{00000000-0005-0000-0000-0000115D0000}"/>
    <cellStyle name="Überschrift 116_est. MEAT" xfId="25926" xr:uid="{00000000-0005-0000-0000-0000125D0000}"/>
    <cellStyle name="Überschrift 117" xfId="10609" xr:uid="{00000000-0005-0000-0000-0000135D0000}"/>
    <cellStyle name="Überschrift 117 2" xfId="20024" xr:uid="{00000000-0005-0000-0000-0000145D0000}"/>
    <cellStyle name="Überschrift 117_est. MEAT" xfId="25927" xr:uid="{00000000-0005-0000-0000-0000155D0000}"/>
    <cellStyle name="Überschrift 118" xfId="10610" xr:uid="{00000000-0005-0000-0000-0000165D0000}"/>
    <cellStyle name="Überschrift 118 2" xfId="20025" xr:uid="{00000000-0005-0000-0000-0000175D0000}"/>
    <cellStyle name="Überschrift 118_est. MEAT" xfId="25928" xr:uid="{00000000-0005-0000-0000-0000185D0000}"/>
    <cellStyle name="Überschrift 119" xfId="10611" xr:uid="{00000000-0005-0000-0000-0000195D0000}"/>
    <cellStyle name="Überschrift 119 2" xfId="20026" xr:uid="{00000000-0005-0000-0000-00001A5D0000}"/>
    <cellStyle name="Überschrift 119_est. MEAT" xfId="25929" xr:uid="{00000000-0005-0000-0000-00001B5D0000}"/>
    <cellStyle name="Überschrift 12" xfId="10612" xr:uid="{00000000-0005-0000-0000-00001C5D0000}"/>
    <cellStyle name="Überschrift 12 2" xfId="10613" xr:uid="{00000000-0005-0000-0000-00001D5D0000}"/>
    <cellStyle name="Überschrift 12 2 2" xfId="20028" xr:uid="{00000000-0005-0000-0000-00001E5D0000}"/>
    <cellStyle name="Überschrift 12 2_est. MEAT" xfId="25930" xr:uid="{00000000-0005-0000-0000-00001F5D0000}"/>
    <cellStyle name="Überschrift 12 3" xfId="20027" xr:uid="{00000000-0005-0000-0000-0000205D0000}"/>
    <cellStyle name="Überschrift 12_2012-2019" xfId="13377" xr:uid="{00000000-0005-0000-0000-0000215D0000}"/>
    <cellStyle name="Überschrift 120" xfId="10614" xr:uid="{00000000-0005-0000-0000-0000225D0000}"/>
    <cellStyle name="Überschrift 120 2" xfId="20029" xr:uid="{00000000-0005-0000-0000-0000235D0000}"/>
    <cellStyle name="Überschrift 120_est. MEAT" xfId="25931" xr:uid="{00000000-0005-0000-0000-0000245D0000}"/>
    <cellStyle name="Überschrift 121" xfId="10615" xr:uid="{00000000-0005-0000-0000-0000255D0000}"/>
    <cellStyle name="Überschrift 121 2" xfId="20030" xr:uid="{00000000-0005-0000-0000-0000265D0000}"/>
    <cellStyle name="Überschrift 121_est. MEAT" xfId="25932" xr:uid="{00000000-0005-0000-0000-0000275D0000}"/>
    <cellStyle name="Überschrift 122" xfId="10616" xr:uid="{00000000-0005-0000-0000-0000285D0000}"/>
    <cellStyle name="Überschrift 122 2" xfId="20031" xr:uid="{00000000-0005-0000-0000-0000295D0000}"/>
    <cellStyle name="Überschrift 122_est. MEAT" xfId="25933" xr:uid="{00000000-0005-0000-0000-00002A5D0000}"/>
    <cellStyle name="Überschrift 123" xfId="10617" xr:uid="{00000000-0005-0000-0000-00002B5D0000}"/>
    <cellStyle name="Überschrift 123 2" xfId="20032" xr:uid="{00000000-0005-0000-0000-00002C5D0000}"/>
    <cellStyle name="Überschrift 123_est. MEAT" xfId="25934" xr:uid="{00000000-0005-0000-0000-00002D5D0000}"/>
    <cellStyle name="Überschrift 124" xfId="10618" xr:uid="{00000000-0005-0000-0000-00002E5D0000}"/>
    <cellStyle name="Überschrift 124 2" xfId="20033" xr:uid="{00000000-0005-0000-0000-00002F5D0000}"/>
    <cellStyle name="Überschrift 124_est. MEAT" xfId="25935" xr:uid="{00000000-0005-0000-0000-0000305D0000}"/>
    <cellStyle name="Überschrift 125" xfId="10619" xr:uid="{00000000-0005-0000-0000-0000315D0000}"/>
    <cellStyle name="Überschrift 125 2" xfId="20034" xr:uid="{00000000-0005-0000-0000-0000325D0000}"/>
    <cellStyle name="Überschrift 125_est. MEAT" xfId="25936" xr:uid="{00000000-0005-0000-0000-0000335D0000}"/>
    <cellStyle name="Überschrift 126" xfId="10620" xr:uid="{00000000-0005-0000-0000-0000345D0000}"/>
    <cellStyle name="Überschrift 126 2" xfId="20035" xr:uid="{00000000-0005-0000-0000-0000355D0000}"/>
    <cellStyle name="Überschrift 126_est. MEAT" xfId="25937" xr:uid="{00000000-0005-0000-0000-0000365D0000}"/>
    <cellStyle name="Überschrift 127" xfId="10621" xr:uid="{00000000-0005-0000-0000-0000375D0000}"/>
    <cellStyle name="Überschrift 127 2" xfId="20036" xr:uid="{00000000-0005-0000-0000-0000385D0000}"/>
    <cellStyle name="Überschrift 127_est. MEAT" xfId="25938" xr:uid="{00000000-0005-0000-0000-0000395D0000}"/>
    <cellStyle name="Überschrift 128" xfId="10622" xr:uid="{00000000-0005-0000-0000-00003A5D0000}"/>
    <cellStyle name="Überschrift 128 2" xfId="20037" xr:uid="{00000000-0005-0000-0000-00003B5D0000}"/>
    <cellStyle name="Überschrift 128_est. MEAT" xfId="25939" xr:uid="{00000000-0005-0000-0000-00003C5D0000}"/>
    <cellStyle name="Überschrift 129" xfId="10623" xr:uid="{00000000-0005-0000-0000-00003D5D0000}"/>
    <cellStyle name="Überschrift 129 2" xfId="20038" xr:uid="{00000000-0005-0000-0000-00003E5D0000}"/>
    <cellStyle name="Überschrift 129_est. MEAT" xfId="25940" xr:uid="{00000000-0005-0000-0000-00003F5D0000}"/>
    <cellStyle name="Überschrift 13" xfId="10624" xr:uid="{00000000-0005-0000-0000-0000405D0000}"/>
    <cellStyle name="Überschrift 13 2" xfId="10625" xr:uid="{00000000-0005-0000-0000-0000415D0000}"/>
    <cellStyle name="Überschrift 13 2 2" xfId="20040" xr:uid="{00000000-0005-0000-0000-0000425D0000}"/>
    <cellStyle name="Überschrift 13 2_est. MEAT" xfId="25941" xr:uid="{00000000-0005-0000-0000-0000435D0000}"/>
    <cellStyle name="Überschrift 13 3" xfId="20039" xr:uid="{00000000-0005-0000-0000-0000445D0000}"/>
    <cellStyle name="Überschrift 13_2012-2019" xfId="13378" xr:uid="{00000000-0005-0000-0000-0000455D0000}"/>
    <cellStyle name="Überschrift 130" xfId="10626" xr:uid="{00000000-0005-0000-0000-0000465D0000}"/>
    <cellStyle name="Überschrift 130 2" xfId="20041" xr:uid="{00000000-0005-0000-0000-0000475D0000}"/>
    <cellStyle name="Überschrift 130_est. MEAT" xfId="25942" xr:uid="{00000000-0005-0000-0000-0000485D0000}"/>
    <cellStyle name="Überschrift 131" xfId="10627" xr:uid="{00000000-0005-0000-0000-0000495D0000}"/>
    <cellStyle name="Überschrift 131 2" xfId="20042" xr:uid="{00000000-0005-0000-0000-00004A5D0000}"/>
    <cellStyle name="Überschrift 131_est. MEAT" xfId="25943" xr:uid="{00000000-0005-0000-0000-00004B5D0000}"/>
    <cellStyle name="Überschrift 132" xfId="10628" xr:uid="{00000000-0005-0000-0000-00004C5D0000}"/>
    <cellStyle name="Überschrift 132 2" xfId="20043" xr:uid="{00000000-0005-0000-0000-00004D5D0000}"/>
    <cellStyle name="Überschrift 132_est. MEAT" xfId="25944" xr:uid="{00000000-0005-0000-0000-00004E5D0000}"/>
    <cellStyle name="Überschrift 133" xfId="10629" xr:uid="{00000000-0005-0000-0000-00004F5D0000}"/>
    <cellStyle name="Überschrift 133 2" xfId="20044" xr:uid="{00000000-0005-0000-0000-0000505D0000}"/>
    <cellStyle name="Überschrift 133_est. MEAT" xfId="25945" xr:uid="{00000000-0005-0000-0000-0000515D0000}"/>
    <cellStyle name="Überschrift 134" xfId="10630" xr:uid="{00000000-0005-0000-0000-0000525D0000}"/>
    <cellStyle name="Überschrift 134 2" xfId="20045" xr:uid="{00000000-0005-0000-0000-0000535D0000}"/>
    <cellStyle name="Überschrift 134_est. MEAT" xfId="25946" xr:uid="{00000000-0005-0000-0000-0000545D0000}"/>
    <cellStyle name="Überschrift 135" xfId="10631" xr:uid="{00000000-0005-0000-0000-0000555D0000}"/>
    <cellStyle name="Überschrift 135 2" xfId="20046" xr:uid="{00000000-0005-0000-0000-0000565D0000}"/>
    <cellStyle name="Überschrift 135_est. MEAT" xfId="25947" xr:uid="{00000000-0005-0000-0000-0000575D0000}"/>
    <cellStyle name="Überschrift 136" xfId="10632" xr:uid="{00000000-0005-0000-0000-0000585D0000}"/>
    <cellStyle name="Überschrift 136 2" xfId="20047" xr:uid="{00000000-0005-0000-0000-0000595D0000}"/>
    <cellStyle name="Überschrift 136_est. MEAT" xfId="25948" xr:uid="{00000000-0005-0000-0000-00005A5D0000}"/>
    <cellStyle name="Überschrift 137" xfId="10633" xr:uid="{00000000-0005-0000-0000-00005B5D0000}"/>
    <cellStyle name="Überschrift 137 2" xfId="20048" xr:uid="{00000000-0005-0000-0000-00005C5D0000}"/>
    <cellStyle name="Überschrift 137_est. MEAT" xfId="25949" xr:uid="{00000000-0005-0000-0000-00005D5D0000}"/>
    <cellStyle name="Überschrift 138" xfId="10634" xr:uid="{00000000-0005-0000-0000-00005E5D0000}"/>
    <cellStyle name="Überschrift 138 2" xfId="20049" xr:uid="{00000000-0005-0000-0000-00005F5D0000}"/>
    <cellStyle name="Überschrift 138_est. MEAT" xfId="25950" xr:uid="{00000000-0005-0000-0000-0000605D0000}"/>
    <cellStyle name="Überschrift 139" xfId="10635" xr:uid="{00000000-0005-0000-0000-0000615D0000}"/>
    <cellStyle name="Überschrift 139 2" xfId="20050" xr:uid="{00000000-0005-0000-0000-0000625D0000}"/>
    <cellStyle name="Überschrift 139_est. MEAT" xfId="25951" xr:uid="{00000000-0005-0000-0000-0000635D0000}"/>
    <cellStyle name="Überschrift 14" xfId="10636" xr:uid="{00000000-0005-0000-0000-0000645D0000}"/>
    <cellStyle name="Überschrift 14 2" xfId="10637" xr:uid="{00000000-0005-0000-0000-0000655D0000}"/>
    <cellStyle name="Überschrift 14 2 2" xfId="20052" xr:uid="{00000000-0005-0000-0000-0000665D0000}"/>
    <cellStyle name="Überschrift 14 2_est. MEAT" xfId="25952" xr:uid="{00000000-0005-0000-0000-0000675D0000}"/>
    <cellStyle name="Überschrift 14 3" xfId="20051" xr:uid="{00000000-0005-0000-0000-0000685D0000}"/>
    <cellStyle name="Überschrift 14_2012-2019" xfId="13379" xr:uid="{00000000-0005-0000-0000-0000695D0000}"/>
    <cellStyle name="Überschrift 140" xfId="10638" xr:uid="{00000000-0005-0000-0000-00006A5D0000}"/>
    <cellStyle name="Überschrift 140 2" xfId="20053" xr:uid="{00000000-0005-0000-0000-00006B5D0000}"/>
    <cellStyle name="Überschrift 140_est. MEAT" xfId="25953" xr:uid="{00000000-0005-0000-0000-00006C5D0000}"/>
    <cellStyle name="Überschrift 141" xfId="10639" xr:uid="{00000000-0005-0000-0000-00006D5D0000}"/>
    <cellStyle name="Überschrift 141 2" xfId="20054" xr:uid="{00000000-0005-0000-0000-00006E5D0000}"/>
    <cellStyle name="Überschrift 141_est. MEAT" xfId="25954" xr:uid="{00000000-0005-0000-0000-00006F5D0000}"/>
    <cellStyle name="Überschrift 142" xfId="10640" xr:uid="{00000000-0005-0000-0000-0000705D0000}"/>
    <cellStyle name="Überschrift 142 2" xfId="20055" xr:uid="{00000000-0005-0000-0000-0000715D0000}"/>
    <cellStyle name="Überschrift 142_est. MEAT" xfId="25955" xr:uid="{00000000-0005-0000-0000-0000725D0000}"/>
    <cellStyle name="Überschrift 143" xfId="10641" xr:uid="{00000000-0005-0000-0000-0000735D0000}"/>
    <cellStyle name="Überschrift 143 2" xfId="20056" xr:uid="{00000000-0005-0000-0000-0000745D0000}"/>
    <cellStyle name="Überschrift 143_est. MEAT" xfId="25956" xr:uid="{00000000-0005-0000-0000-0000755D0000}"/>
    <cellStyle name="Überschrift 144" xfId="10642" xr:uid="{00000000-0005-0000-0000-0000765D0000}"/>
    <cellStyle name="Überschrift 144 2" xfId="20057" xr:uid="{00000000-0005-0000-0000-0000775D0000}"/>
    <cellStyle name="Überschrift 144_est. MEAT" xfId="25957" xr:uid="{00000000-0005-0000-0000-0000785D0000}"/>
    <cellStyle name="Überschrift 145" xfId="10643" xr:uid="{00000000-0005-0000-0000-0000795D0000}"/>
    <cellStyle name="Überschrift 145 2" xfId="20058" xr:uid="{00000000-0005-0000-0000-00007A5D0000}"/>
    <cellStyle name="Überschrift 145_est. MEAT" xfId="25958" xr:uid="{00000000-0005-0000-0000-00007B5D0000}"/>
    <cellStyle name="Überschrift 146" xfId="10644" xr:uid="{00000000-0005-0000-0000-00007C5D0000}"/>
    <cellStyle name="Überschrift 146 2" xfId="20059" xr:uid="{00000000-0005-0000-0000-00007D5D0000}"/>
    <cellStyle name="Überschrift 146_est. MEAT" xfId="25959" xr:uid="{00000000-0005-0000-0000-00007E5D0000}"/>
    <cellStyle name="Überschrift 147" xfId="10645" xr:uid="{00000000-0005-0000-0000-00007F5D0000}"/>
    <cellStyle name="Überschrift 147 2" xfId="20060" xr:uid="{00000000-0005-0000-0000-0000805D0000}"/>
    <cellStyle name="Überschrift 147_est. MEAT" xfId="25960" xr:uid="{00000000-0005-0000-0000-0000815D0000}"/>
    <cellStyle name="Überschrift 148" xfId="10646" xr:uid="{00000000-0005-0000-0000-0000825D0000}"/>
    <cellStyle name="Überschrift 148 2" xfId="20061" xr:uid="{00000000-0005-0000-0000-0000835D0000}"/>
    <cellStyle name="Überschrift 148_est. MEAT" xfId="25961" xr:uid="{00000000-0005-0000-0000-0000845D0000}"/>
    <cellStyle name="Überschrift 149" xfId="10647" xr:uid="{00000000-0005-0000-0000-0000855D0000}"/>
    <cellStyle name="Überschrift 149 2" xfId="20062" xr:uid="{00000000-0005-0000-0000-0000865D0000}"/>
    <cellStyle name="Überschrift 149_est. MEAT" xfId="25962" xr:uid="{00000000-0005-0000-0000-0000875D0000}"/>
    <cellStyle name="Überschrift 15" xfId="10648" xr:uid="{00000000-0005-0000-0000-0000885D0000}"/>
    <cellStyle name="Überschrift 15 2" xfId="10649" xr:uid="{00000000-0005-0000-0000-0000895D0000}"/>
    <cellStyle name="Überschrift 15 2 2" xfId="20064" xr:uid="{00000000-0005-0000-0000-00008A5D0000}"/>
    <cellStyle name="Überschrift 15 2_est. MEAT" xfId="25963" xr:uid="{00000000-0005-0000-0000-00008B5D0000}"/>
    <cellStyle name="Überschrift 15 3" xfId="20063" xr:uid="{00000000-0005-0000-0000-00008C5D0000}"/>
    <cellStyle name="Überschrift 15_2012-2019" xfId="13380" xr:uid="{00000000-0005-0000-0000-00008D5D0000}"/>
    <cellStyle name="Überschrift 150" xfId="10650" xr:uid="{00000000-0005-0000-0000-00008E5D0000}"/>
    <cellStyle name="Überschrift 150 2" xfId="20065" xr:uid="{00000000-0005-0000-0000-00008F5D0000}"/>
    <cellStyle name="Überschrift 150_est. MEAT" xfId="25964" xr:uid="{00000000-0005-0000-0000-0000905D0000}"/>
    <cellStyle name="Überschrift 151" xfId="10651" xr:uid="{00000000-0005-0000-0000-0000915D0000}"/>
    <cellStyle name="Überschrift 151 2" xfId="20066" xr:uid="{00000000-0005-0000-0000-0000925D0000}"/>
    <cellStyle name="Überschrift 151_est. MEAT" xfId="25965" xr:uid="{00000000-0005-0000-0000-0000935D0000}"/>
    <cellStyle name="Überschrift 152" xfId="10652" xr:uid="{00000000-0005-0000-0000-0000945D0000}"/>
    <cellStyle name="Überschrift 152 2" xfId="20067" xr:uid="{00000000-0005-0000-0000-0000955D0000}"/>
    <cellStyle name="Überschrift 152_est. MEAT" xfId="25966" xr:uid="{00000000-0005-0000-0000-0000965D0000}"/>
    <cellStyle name="Überschrift 153" xfId="10653" xr:uid="{00000000-0005-0000-0000-0000975D0000}"/>
    <cellStyle name="Überschrift 153 2" xfId="20068" xr:uid="{00000000-0005-0000-0000-0000985D0000}"/>
    <cellStyle name="Überschrift 153_est. MEAT" xfId="25967" xr:uid="{00000000-0005-0000-0000-0000995D0000}"/>
    <cellStyle name="Überschrift 154" xfId="10654" xr:uid="{00000000-0005-0000-0000-00009A5D0000}"/>
    <cellStyle name="Überschrift 154 2" xfId="20069" xr:uid="{00000000-0005-0000-0000-00009B5D0000}"/>
    <cellStyle name="Überschrift 154_est. MEAT" xfId="25968" xr:uid="{00000000-0005-0000-0000-00009C5D0000}"/>
    <cellStyle name="Überschrift 155" xfId="19838" xr:uid="{00000000-0005-0000-0000-00009D5D0000}"/>
    <cellStyle name="Überschrift 16" xfId="10655" xr:uid="{00000000-0005-0000-0000-00009E5D0000}"/>
    <cellStyle name="Überschrift 16 2" xfId="10656" xr:uid="{00000000-0005-0000-0000-00009F5D0000}"/>
    <cellStyle name="Überschrift 16 2 2" xfId="20071" xr:uid="{00000000-0005-0000-0000-0000A05D0000}"/>
    <cellStyle name="Überschrift 16 2_est. MEAT" xfId="25969" xr:uid="{00000000-0005-0000-0000-0000A15D0000}"/>
    <cellStyle name="Überschrift 16 3" xfId="20070" xr:uid="{00000000-0005-0000-0000-0000A25D0000}"/>
    <cellStyle name="Überschrift 16_2012-2019" xfId="13381" xr:uid="{00000000-0005-0000-0000-0000A35D0000}"/>
    <cellStyle name="Überschrift 17" xfId="10657" xr:uid="{00000000-0005-0000-0000-0000A45D0000}"/>
    <cellStyle name="Überschrift 17 2" xfId="10658" xr:uid="{00000000-0005-0000-0000-0000A55D0000}"/>
    <cellStyle name="Überschrift 17 2 2" xfId="20073" xr:uid="{00000000-0005-0000-0000-0000A65D0000}"/>
    <cellStyle name="Überschrift 17 2_est. MEAT" xfId="25970" xr:uid="{00000000-0005-0000-0000-0000A75D0000}"/>
    <cellStyle name="Überschrift 17 3" xfId="20072" xr:uid="{00000000-0005-0000-0000-0000A85D0000}"/>
    <cellStyle name="Überschrift 17_2012-2019" xfId="13382" xr:uid="{00000000-0005-0000-0000-0000A95D0000}"/>
    <cellStyle name="Überschrift 18" xfId="10659" xr:uid="{00000000-0005-0000-0000-0000AA5D0000}"/>
    <cellStyle name="Überschrift 18 2" xfId="20074" xr:uid="{00000000-0005-0000-0000-0000AB5D0000}"/>
    <cellStyle name="Überschrift 18_est. MEAT" xfId="25971" xr:uid="{00000000-0005-0000-0000-0000AC5D0000}"/>
    <cellStyle name="Überschrift 19" xfId="10660" xr:uid="{00000000-0005-0000-0000-0000AD5D0000}"/>
    <cellStyle name="Überschrift 19 2" xfId="20075" xr:uid="{00000000-0005-0000-0000-0000AE5D0000}"/>
    <cellStyle name="Überschrift 19_est. MEAT" xfId="25972" xr:uid="{00000000-0005-0000-0000-0000AF5D0000}"/>
    <cellStyle name="Überschrift 2" xfId="10661" xr:uid="{00000000-0005-0000-0000-0000B05D0000}"/>
    <cellStyle name="Überschrift 2 10" xfId="10662" xr:uid="{00000000-0005-0000-0000-0000B15D0000}"/>
    <cellStyle name="Überschrift 2 10 2" xfId="10663" xr:uid="{00000000-0005-0000-0000-0000B25D0000}"/>
    <cellStyle name="Überschrift 2 10 2 2" xfId="20078" xr:uid="{00000000-0005-0000-0000-0000B35D0000}"/>
    <cellStyle name="Überschrift 2 10 2_est. MEAT" xfId="25973" xr:uid="{00000000-0005-0000-0000-0000B45D0000}"/>
    <cellStyle name="Überschrift 2 10 3" xfId="20077" xr:uid="{00000000-0005-0000-0000-0000B55D0000}"/>
    <cellStyle name="Überschrift 2 10_2012-2019" xfId="13384" xr:uid="{00000000-0005-0000-0000-0000B65D0000}"/>
    <cellStyle name="Überschrift 2 100" xfId="10664" xr:uid="{00000000-0005-0000-0000-0000B75D0000}"/>
    <cellStyle name="Überschrift 2 100 2" xfId="20079" xr:uid="{00000000-0005-0000-0000-0000B85D0000}"/>
    <cellStyle name="Überschrift 2 100_est. MEAT" xfId="25974" xr:uid="{00000000-0005-0000-0000-0000B95D0000}"/>
    <cellStyle name="Überschrift 2 101" xfId="10665" xr:uid="{00000000-0005-0000-0000-0000BA5D0000}"/>
    <cellStyle name="Überschrift 2 101 2" xfId="20080" xr:uid="{00000000-0005-0000-0000-0000BB5D0000}"/>
    <cellStyle name="Überschrift 2 101_est. MEAT" xfId="25975" xr:uid="{00000000-0005-0000-0000-0000BC5D0000}"/>
    <cellStyle name="Überschrift 2 102" xfId="10666" xr:uid="{00000000-0005-0000-0000-0000BD5D0000}"/>
    <cellStyle name="Überschrift 2 102 2" xfId="20081" xr:uid="{00000000-0005-0000-0000-0000BE5D0000}"/>
    <cellStyle name="Überschrift 2 102_est. MEAT" xfId="25976" xr:uid="{00000000-0005-0000-0000-0000BF5D0000}"/>
    <cellStyle name="Überschrift 2 103" xfId="10667" xr:uid="{00000000-0005-0000-0000-0000C05D0000}"/>
    <cellStyle name="Überschrift 2 103 2" xfId="20082" xr:uid="{00000000-0005-0000-0000-0000C15D0000}"/>
    <cellStyle name="Überschrift 2 103_est. MEAT" xfId="25977" xr:uid="{00000000-0005-0000-0000-0000C25D0000}"/>
    <cellStyle name="Überschrift 2 104" xfId="10668" xr:uid="{00000000-0005-0000-0000-0000C35D0000}"/>
    <cellStyle name="Überschrift 2 104 2" xfId="20083" xr:uid="{00000000-0005-0000-0000-0000C45D0000}"/>
    <cellStyle name="Überschrift 2 104_est. MEAT" xfId="25978" xr:uid="{00000000-0005-0000-0000-0000C55D0000}"/>
    <cellStyle name="Überschrift 2 105" xfId="10669" xr:uid="{00000000-0005-0000-0000-0000C65D0000}"/>
    <cellStyle name="Überschrift 2 105 2" xfId="20084" xr:uid="{00000000-0005-0000-0000-0000C75D0000}"/>
    <cellStyle name="Überschrift 2 105_est. MEAT" xfId="25979" xr:uid="{00000000-0005-0000-0000-0000C85D0000}"/>
    <cellStyle name="Überschrift 2 106" xfId="10670" xr:uid="{00000000-0005-0000-0000-0000C95D0000}"/>
    <cellStyle name="Überschrift 2 106 2" xfId="20085" xr:uid="{00000000-0005-0000-0000-0000CA5D0000}"/>
    <cellStyle name="Überschrift 2 106_est. MEAT" xfId="25980" xr:uid="{00000000-0005-0000-0000-0000CB5D0000}"/>
    <cellStyle name="Überschrift 2 107" xfId="10671" xr:uid="{00000000-0005-0000-0000-0000CC5D0000}"/>
    <cellStyle name="Überschrift 2 107 2" xfId="20086" xr:uid="{00000000-0005-0000-0000-0000CD5D0000}"/>
    <cellStyle name="Überschrift 2 107_est. MEAT" xfId="25981" xr:uid="{00000000-0005-0000-0000-0000CE5D0000}"/>
    <cellStyle name="Überschrift 2 108" xfId="10672" xr:uid="{00000000-0005-0000-0000-0000CF5D0000}"/>
    <cellStyle name="Überschrift 2 108 2" xfId="20087" xr:uid="{00000000-0005-0000-0000-0000D05D0000}"/>
    <cellStyle name="Überschrift 2 108_est. MEAT" xfId="25982" xr:uid="{00000000-0005-0000-0000-0000D15D0000}"/>
    <cellStyle name="Überschrift 2 109" xfId="10673" xr:uid="{00000000-0005-0000-0000-0000D25D0000}"/>
    <cellStyle name="Überschrift 2 109 2" xfId="20088" xr:uid="{00000000-0005-0000-0000-0000D35D0000}"/>
    <cellStyle name="Überschrift 2 109_est. MEAT" xfId="25983" xr:uid="{00000000-0005-0000-0000-0000D45D0000}"/>
    <cellStyle name="Überschrift 2 11" xfId="10674" xr:uid="{00000000-0005-0000-0000-0000D55D0000}"/>
    <cellStyle name="Überschrift 2 11 2" xfId="10675" xr:uid="{00000000-0005-0000-0000-0000D65D0000}"/>
    <cellStyle name="Überschrift 2 11 2 2" xfId="20090" xr:uid="{00000000-0005-0000-0000-0000D75D0000}"/>
    <cellStyle name="Überschrift 2 11 2_est. MEAT" xfId="25984" xr:uid="{00000000-0005-0000-0000-0000D85D0000}"/>
    <cellStyle name="Überschrift 2 11 3" xfId="20089" xr:uid="{00000000-0005-0000-0000-0000D95D0000}"/>
    <cellStyle name="Überschrift 2 11_2012-2019" xfId="13385" xr:uid="{00000000-0005-0000-0000-0000DA5D0000}"/>
    <cellStyle name="Überschrift 2 110" xfId="10676" xr:uid="{00000000-0005-0000-0000-0000DB5D0000}"/>
    <cellStyle name="Überschrift 2 110 2" xfId="20091" xr:uid="{00000000-0005-0000-0000-0000DC5D0000}"/>
    <cellStyle name="Überschrift 2 110_est. MEAT" xfId="25985" xr:uid="{00000000-0005-0000-0000-0000DD5D0000}"/>
    <cellStyle name="Überschrift 2 111" xfId="10677" xr:uid="{00000000-0005-0000-0000-0000DE5D0000}"/>
    <cellStyle name="Überschrift 2 111 2" xfId="20092" xr:uid="{00000000-0005-0000-0000-0000DF5D0000}"/>
    <cellStyle name="Überschrift 2 111_est. MEAT" xfId="25986" xr:uid="{00000000-0005-0000-0000-0000E05D0000}"/>
    <cellStyle name="Überschrift 2 112" xfId="10678" xr:uid="{00000000-0005-0000-0000-0000E15D0000}"/>
    <cellStyle name="Überschrift 2 112 2" xfId="20093" xr:uid="{00000000-0005-0000-0000-0000E25D0000}"/>
    <cellStyle name="Überschrift 2 112_est. MEAT" xfId="25987" xr:uid="{00000000-0005-0000-0000-0000E35D0000}"/>
    <cellStyle name="Überschrift 2 113" xfId="10679" xr:uid="{00000000-0005-0000-0000-0000E45D0000}"/>
    <cellStyle name="Überschrift 2 113 2" xfId="20094" xr:uid="{00000000-0005-0000-0000-0000E55D0000}"/>
    <cellStyle name="Überschrift 2 113_est. MEAT" xfId="25988" xr:uid="{00000000-0005-0000-0000-0000E65D0000}"/>
    <cellStyle name="Überschrift 2 114" xfId="10680" xr:uid="{00000000-0005-0000-0000-0000E75D0000}"/>
    <cellStyle name="Überschrift 2 114 2" xfId="20095" xr:uid="{00000000-0005-0000-0000-0000E85D0000}"/>
    <cellStyle name="Überschrift 2 114_est. MEAT" xfId="25989" xr:uid="{00000000-0005-0000-0000-0000E95D0000}"/>
    <cellStyle name="Überschrift 2 115" xfId="10681" xr:uid="{00000000-0005-0000-0000-0000EA5D0000}"/>
    <cellStyle name="Überschrift 2 115 2" xfId="20096" xr:uid="{00000000-0005-0000-0000-0000EB5D0000}"/>
    <cellStyle name="Überschrift 2 115_est. MEAT" xfId="25990" xr:uid="{00000000-0005-0000-0000-0000EC5D0000}"/>
    <cellStyle name="Überschrift 2 116" xfId="10682" xr:uid="{00000000-0005-0000-0000-0000ED5D0000}"/>
    <cellStyle name="Überschrift 2 116 2" xfId="20097" xr:uid="{00000000-0005-0000-0000-0000EE5D0000}"/>
    <cellStyle name="Überschrift 2 116_est. MEAT" xfId="25991" xr:uid="{00000000-0005-0000-0000-0000EF5D0000}"/>
    <cellStyle name="Überschrift 2 117" xfId="10683" xr:uid="{00000000-0005-0000-0000-0000F05D0000}"/>
    <cellStyle name="Überschrift 2 117 2" xfId="20098" xr:uid="{00000000-0005-0000-0000-0000F15D0000}"/>
    <cellStyle name="Überschrift 2 117_est. MEAT" xfId="25992" xr:uid="{00000000-0005-0000-0000-0000F25D0000}"/>
    <cellStyle name="Überschrift 2 118" xfId="10684" xr:uid="{00000000-0005-0000-0000-0000F35D0000}"/>
    <cellStyle name="Überschrift 2 118 2" xfId="20099" xr:uid="{00000000-0005-0000-0000-0000F45D0000}"/>
    <cellStyle name="Überschrift 2 118_est. MEAT" xfId="25993" xr:uid="{00000000-0005-0000-0000-0000F55D0000}"/>
    <cellStyle name="Überschrift 2 119" xfId="10685" xr:uid="{00000000-0005-0000-0000-0000F65D0000}"/>
    <cellStyle name="Überschrift 2 119 2" xfId="20100" xr:uid="{00000000-0005-0000-0000-0000F75D0000}"/>
    <cellStyle name="Überschrift 2 119_est. MEAT" xfId="25994" xr:uid="{00000000-0005-0000-0000-0000F85D0000}"/>
    <cellStyle name="Überschrift 2 12" xfId="10686" xr:uid="{00000000-0005-0000-0000-0000F95D0000}"/>
    <cellStyle name="Überschrift 2 12 2" xfId="10687" xr:uid="{00000000-0005-0000-0000-0000FA5D0000}"/>
    <cellStyle name="Überschrift 2 12 2 2" xfId="20102" xr:uid="{00000000-0005-0000-0000-0000FB5D0000}"/>
    <cellStyle name="Überschrift 2 12 2_est. MEAT" xfId="25995" xr:uid="{00000000-0005-0000-0000-0000FC5D0000}"/>
    <cellStyle name="Überschrift 2 12 3" xfId="20101" xr:uid="{00000000-0005-0000-0000-0000FD5D0000}"/>
    <cellStyle name="Überschrift 2 12_2012-2019" xfId="13386" xr:uid="{00000000-0005-0000-0000-0000FE5D0000}"/>
    <cellStyle name="Überschrift 2 120" xfId="10688" xr:uid="{00000000-0005-0000-0000-0000FF5D0000}"/>
    <cellStyle name="Überschrift 2 120 2" xfId="20103" xr:uid="{00000000-0005-0000-0000-0000005E0000}"/>
    <cellStyle name="Überschrift 2 120_est. MEAT" xfId="25996" xr:uid="{00000000-0005-0000-0000-0000015E0000}"/>
    <cellStyle name="Überschrift 2 121" xfId="10689" xr:uid="{00000000-0005-0000-0000-0000025E0000}"/>
    <cellStyle name="Überschrift 2 121 2" xfId="20104" xr:uid="{00000000-0005-0000-0000-0000035E0000}"/>
    <cellStyle name="Überschrift 2 121_est. MEAT" xfId="25997" xr:uid="{00000000-0005-0000-0000-0000045E0000}"/>
    <cellStyle name="Überschrift 2 122" xfId="10690" xr:uid="{00000000-0005-0000-0000-0000055E0000}"/>
    <cellStyle name="Überschrift 2 122 2" xfId="20105" xr:uid="{00000000-0005-0000-0000-0000065E0000}"/>
    <cellStyle name="Überschrift 2 122_est. MEAT" xfId="25998" xr:uid="{00000000-0005-0000-0000-0000075E0000}"/>
    <cellStyle name="Überschrift 2 123" xfId="10691" xr:uid="{00000000-0005-0000-0000-0000085E0000}"/>
    <cellStyle name="Überschrift 2 123 2" xfId="20106" xr:uid="{00000000-0005-0000-0000-0000095E0000}"/>
    <cellStyle name="Überschrift 2 123_est. MEAT" xfId="25999" xr:uid="{00000000-0005-0000-0000-00000A5E0000}"/>
    <cellStyle name="Überschrift 2 124" xfId="10692" xr:uid="{00000000-0005-0000-0000-00000B5E0000}"/>
    <cellStyle name="Überschrift 2 124 2" xfId="20107" xr:uid="{00000000-0005-0000-0000-00000C5E0000}"/>
    <cellStyle name="Überschrift 2 124_est. MEAT" xfId="26000" xr:uid="{00000000-0005-0000-0000-00000D5E0000}"/>
    <cellStyle name="Überschrift 2 125" xfId="10693" xr:uid="{00000000-0005-0000-0000-00000E5E0000}"/>
    <cellStyle name="Überschrift 2 125 2" xfId="20108" xr:uid="{00000000-0005-0000-0000-00000F5E0000}"/>
    <cellStyle name="Überschrift 2 125_est. MEAT" xfId="26001" xr:uid="{00000000-0005-0000-0000-0000105E0000}"/>
    <cellStyle name="Überschrift 2 126" xfId="10694" xr:uid="{00000000-0005-0000-0000-0000115E0000}"/>
    <cellStyle name="Überschrift 2 126 2" xfId="20109" xr:uid="{00000000-0005-0000-0000-0000125E0000}"/>
    <cellStyle name="Überschrift 2 126_est. MEAT" xfId="26002" xr:uid="{00000000-0005-0000-0000-0000135E0000}"/>
    <cellStyle name="Überschrift 2 127" xfId="10695" xr:uid="{00000000-0005-0000-0000-0000145E0000}"/>
    <cellStyle name="Überschrift 2 127 2" xfId="20110" xr:uid="{00000000-0005-0000-0000-0000155E0000}"/>
    <cellStyle name="Überschrift 2 127_est. MEAT" xfId="26003" xr:uid="{00000000-0005-0000-0000-0000165E0000}"/>
    <cellStyle name="Überschrift 2 128" xfId="10696" xr:uid="{00000000-0005-0000-0000-0000175E0000}"/>
    <cellStyle name="Überschrift 2 128 2" xfId="20111" xr:uid="{00000000-0005-0000-0000-0000185E0000}"/>
    <cellStyle name="Überschrift 2 128_est. MEAT" xfId="26004" xr:uid="{00000000-0005-0000-0000-0000195E0000}"/>
    <cellStyle name="Überschrift 2 129" xfId="10697" xr:uid="{00000000-0005-0000-0000-00001A5E0000}"/>
    <cellStyle name="Überschrift 2 129 2" xfId="20112" xr:uid="{00000000-0005-0000-0000-00001B5E0000}"/>
    <cellStyle name="Überschrift 2 129_est. MEAT" xfId="26005" xr:uid="{00000000-0005-0000-0000-00001C5E0000}"/>
    <cellStyle name="Überschrift 2 13" xfId="10698" xr:uid="{00000000-0005-0000-0000-00001D5E0000}"/>
    <cellStyle name="Überschrift 2 13 2" xfId="10699" xr:uid="{00000000-0005-0000-0000-00001E5E0000}"/>
    <cellStyle name="Überschrift 2 13 2 2" xfId="20114" xr:uid="{00000000-0005-0000-0000-00001F5E0000}"/>
    <cellStyle name="Überschrift 2 13 2_est. MEAT" xfId="26006" xr:uid="{00000000-0005-0000-0000-0000205E0000}"/>
    <cellStyle name="Überschrift 2 13 3" xfId="20113" xr:uid="{00000000-0005-0000-0000-0000215E0000}"/>
    <cellStyle name="Überschrift 2 13_2012-2019" xfId="13387" xr:uid="{00000000-0005-0000-0000-0000225E0000}"/>
    <cellStyle name="Überschrift 2 130" xfId="10700" xr:uid="{00000000-0005-0000-0000-0000235E0000}"/>
    <cellStyle name="Überschrift 2 130 2" xfId="20115" xr:uid="{00000000-0005-0000-0000-0000245E0000}"/>
    <cellStyle name="Überschrift 2 130_est. MEAT" xfId="26007" xr:uid="{00000000-0005-0000-0000-0000255E0000}"/>
    <cellStyle name="Überschrift 2 131" xfId="10701" xr:uid="{00000000-0005-0000-0000-0000265E0000}"/>
    <cellStyle name="Überschrift 2 131 2" xfId="20116" xr:uid="{00000000-0005-0000-0000-0000275E0000}"/>
    <cellStyle name="Überschrift 2 131_est. MEAT" xfId="26008" xr:uid="{00000000-0005-0000-0000-0000285E0000}"/>
    <cellStyle name="Überschrift 2 132" xfId="10702" xr:uid="{00000000-0005-0000-0000-0000295E0000}"/>
    <cellStyle name="Überschrift 2 132 2" xfId="20117" xr:uid="{00000000-0005-0000-0000-00002A5E0000}"/>
    <cellStyle name="Überschrift 2 132_est. MEAT" xfId="26009" xr:uid="{00000000-0005-0000-0000-00002B5E0000}"/>
    <cellStyle name="Überschrift 2 133" xfId="10703" xr:uid="{00000000-0005-0000-0000-00002C5E0000}"/>
    <cellStyle name="Überschrift 2 133 2" xfId="20118" xr:uid="{00000000-0005-0000-0000-00002D5E0000}"/>
    <cellStyle name="Überschrift 2 133_est. MEAT" xfId="26010" xr:uid="{00000000-0005-0000-0000-00002E5E0000}"/>
    <cellStyle name="Überschrift 2 134" xfId="10704" xr:uid="{00000000-0005-0000-0000-00002F5E0000}"/>
    <cellStyle name="Überschrift 2 134 2" xfId="20119" xr:uid="{00000000-0005-0000-0000-0000305E0000}"/>
    <cellStyle name="Überschrift 2 134_est. MEAT" xfId="26011" xr:uid="{00000000-0005-0000-0000-0000315E0000}"/>
    <cellStyle name="Überschrift 2 135" xfId="10705" xr:uid="{00000000-0005-0000-0000-0000325E0000}"/>
    <cellStyle name="Überschrift 2 135 2" xfId="20120" xr:uid="{00000000-0005-0000-0000-0000335E0000}"/>
    <cellStyle name="Überschrift 2 135_est. MEAT" xfId="26012" xr:uid="{00000000-0005-0000-0000-0000345E0000}"/>
    <cellStyle name="Überschrift 2 136" xfId="10706" xr:uid="{00000000-0005-0000-0000-0000355E0000}"/>
    <cellStyle name="Überschrift 2 136 2" xfId="20121" xr:uid="{00000000-0005-0000-0000-0000365E0000}"/>
    <cellStyle name="Überschrift 2 136_est. MEAT" xfId="26013" xr:uid="{00000000-0005-0000-0000-0000375E0000}"/>
    <cellStyle name="Überschrift 2 137" xfId="10707" xr:uid="{00000000-0005-0000-0000-0000385E0000}"/>
    <cellStyle name="Überschrift 2 137 2" xfId="20122" xr:uid="{00000000-0005-0000-0000-0000395E0000}"/>
    <cellStyle name="Überschrift 2 137_est. MEAT" xfId="26014" xr:uid="{00000000-0005-0000-0000-00003A5E0000}"/>
    <cellStyle name="Überschrift 2 138" xfId="10708" xr:uid="{00000000-0005-0000-0000-00003B5E0000}"/>
    <cellStyle name="Überschrift 2 138 2" xfId="20123" xr:uid="{00000000-0005-0000-0000-00003C5E0000}"/>
    <cellStyle name="Überschrift 2 138_est. MEAT" xfId="26015" xr:uid="{00000000-0005-0000-0000-00003D5E0000}"/>
    <cellStyle name="Überschrift 2 139" xfId="10709" xr:uid="{00000000-0005-0000-0000-00003E5E0000}"/>
    <cellStyle name="Überschrift 2 139 2" xfId="20124" xr:uid="{00000000-0005-0000-0000-00003F5E0000}"/>
    <cellStyle name="Überschrift 2 139_est. MEAT" xfId="26016" xr:uid="{00000000-0005-0000-0000-0000405E0000}"/>
    <cellStyle name="Überschrift 2 14" xfId="10710" xr:uid="{00000000-0005-0000-0000-0000415E0000}"/>
    <cellStyle name="Überschrift 2 14 2" xfId="10711" xr:uid="{00000000-0005-0000-0000-0000425E0000}"/>
    <cellStyle name="Überschrift 2 14 2 2" xfId="20126" xr:uid="{00000000-0005-0000-0000-0000435E0000}"/>
    <cellStyle name="Überschrift 2 14 2_est. MEAT" xfId="26017" xr:uid="{00000000-0005-0000-0000-0000445E0000}"/>
    <cellStyle name="Überschrift 2 14 3" xfId="20125" xr:uid="{00000000-0005-0000-0000-0000455E0000}"/>
    <cellStyle name="Überschrift 2 14_2012-2019" xfId="13388" xr:uid="{00000000-0005-0000-0000-0000465E0000}"/>
    <cellStyle name="Überschrift 2 140" xfId="10712" xr:uid="{00000000-0005-0000-0000-0000475E0000}"/>
    <cellStyle name="Überschrift 2 140 2" xfId="20127" xr:uid="{00000000-0005-0000-0000-0000485E0000}"/>
    <cellStyle name="Überschrift 2 140_est. MEAT" xfId="26018" xr:uid="{00000000-0005-0000-0000-0000495E0000}"/>
    <cellStyle name="Überschrift 2 141" xfId="10713" xr:uid="{00000000-0005-0000-0000-00004A5E0000}"/>
    <cellStyle name="Überschrift 2 141 2" xfId="20128" xr:uid="{00000000-0005-0000-0000-00004B5E0000}"/>
    <cellStyle name="Überschrift 2 141_est. MEAT" xfId="26019" xr:uid="{00000000-0005-0000-0000-00004C5E0000}"/>
    <cellStyle name="Überschrift 2 142" xfId="10714" xr:uid="{00000000-0005-0000-0000-00004D5E0000}"/>
    <cellStyle name="Überschrift 2 142 2" xfId="20129" xr:uid="{00000000-0005-0000-0000-00004E5E0000}"/>
    <cellStyle name="Überschrift 2 142_est. MEAT" xfId="26020" xr:uid="{00000000-0005-0000-0000-00004F5E0000}"/>
    <cellStyle name="Überschrift 2 143" xfId="10715" xr:uid="{00000000-0005-0000-0000-0000505E0000}"/>
    <cellStyle name="Überschrift 2 143 2" xfId="20130" xr:uid="{00000000-0005-0000-0000-0000515E0000}"/>
    <cellStyle name="Überschrift 2 143_est. MEAT" xfId="26021" xr:uid="{00000000-0005-0000-0000-0000525E0000}"/>
    <cellStyle name="Überschrift 2 144" xfId="10716" xr:uid="{00000000-0005-0000-0000-0000535E0000}"/>
    <cellStyle name="Überschrift 2 144 2" xfId="20131" xr:uid="{00000000-0005-0000-0000-0000545E0000}"/>
    <cellStyle name="Überschrift 2 144_est. MEAT" xfId="26022" xr:uid="{00000000-0005-0000-0000-0000555E0000}"/>
    <cellStyle name="Überschrift 2 145" xfId="10717" xr:uid="{00000000-0005-0000-0000-0000565E0000}"/>
    <cellStyle name="Überschrift 2 145 2" xfId="20132" xr:uid="{00000000-0005-0000-0000-0000575E0000}"/>
    <cellStyle name="Überschrift 2 145_est. MEAT" xfId="26023" xr:uid="{00000000-0005-0000-0000-0000585E0000}"/>
    <cellStyle name="Überschrift 2 146" xfId="10718" xr:uid="{00000000-0005-0000-0000-0000595E0000}"/>
    <cellStyle name="Überschrift 2 146 2" xfId="20133" xr:uid="{00000000-0005-0000-0000-00005A5E0000}"/>
    <cellStyle name="Überschrift 2 146_est. MEAT" xfId="26024" xr:uid="{00000000-0005-0000-0000-00005B5E0000}"/>
    <cellStyle name="Überschrift 2 147" xfId="10719" xr:uid="{00000000-0005-0000-0000-00005C5E0000}"/>
    <cellStyle name="Überschrift 2 147 2" xfId="20134" xr:uid="{00000000-0005-0000-0000-00005D5E0000}"/>
    <cellStyle name="Überschrift 2 147_est. MEAT" xfId="26025" xr:uid="{00000000-0005-0000-0000-00005E5E0000}"/>
    <cellStyle name="Überschrift 2 148" xfId="10720" xr:uid="{00000000-0005-0000-0000-00005F5E0000}"/>
    <cellStyle name="Überschrift 2 148 2" xfId="20135" xr:uid="{00000000-0005-0000-0000-0000605E0000}"/>
    <cellStyle name="Überschrift 2 148_est. MEAT" xfId="26026" xr:uid="{00000000-0005-0000-0000-0000615E0000}"/>
    <cellStyle name="Überschrift 2 149" xfId="10721" xr:uid="{00000000-0005-0000-0000-0000625E0000}"/>
    <cellStyle name="Überschrift 2 149 2" xfId="20136" xr:uid="{00000000-0005-0000-0000-0000635E0000}"/>
    <cellStyle name="Überschrift 2 149_est. MEAT" xfId="26027" xr:uid="{00000000-0005-0000-0000-0000645E0000}"/>
    <cellStyle name="Überschrift 2 15" xfId="10722" xr:uid="{00000000-0005-0000-0000-0000655E0000}"/>
    <cellStyle name="Überschrift 2 15 2" xfId="20137" xr:uid="{00000000-0005-0000-0000-0000665E0000}"/>
    <cellStyle name="Überschrift 2 15_est. MEAT" xfId="26028" xr:uid="{00000000-0005-0000-0000-0000675E0000}"/>
    <cellStyle name="Überschrift 2 150" xfId="10723" xr:uid="{00000000-0005-0000-0000-0000685E0000}"/>
    <cellStyle name="Überschrift 2 150 2" xfId="20138" xr:uid="{00000000-0005-0000-0000-0000695E0000}"/>
    <cellStyle name="Überschrift 2 150_est. MEAT" xfId="26029" xr:uid="{00000000-0005-0000-0000-00006A5E0000}"/>
    <cellStyle name="Überschrift 2 151" xfId="10724" xr:uid="{00000000-0005-0000-0000-00006B5E0000}"/>
    <cellStyle name="Überschrift 2 151 2" xfId="20139" xr:uid="{00000000-0005-0000-0000-00006C5E0000}"/>
    <cellStyle name="Überschrift 2 151_est. MEAT" xfId="26030" xr:uid="{00000000-0005-0000-0000-00006D5E0000}"/>
    <cellStyle name="Überschrift 2 152" xfId="20076" xr:uid="{00000000-0005-0000-0000-00006E5E0000}"/>
    <cellStyle name="Überschrift 2 16" xfId="10725" xr:uid="{00000000-0005-0000-0000-00006F5E0000}"/>
    <cellStyle name="Überschrift 2 16 2" xfId="20140" xr:uid="{00000000-0005-0000-0000-0000705E0000}"/>
    <cellStyle name="Überschrift 2 16_est. MEAT" xfId="26031" xr:uid="{00000000-0005-0000-0000-0000715E0000}"/>
    <cellStyle name="Überschrift 2 17" xfId="10726" xr:uid="{00000000-0005-0000-0000-0000725E0000}"/>
    <cellStyle name="Überschrift 2 17 2" xfId="20141" xr:uid="{00000000-0005-0000-0000-0000735E0000}"/>
    <cellStyle name="Überschrift 2 17_est. MEAT" xfId="26032" xr:uid="{00000000-0005-0000-0000-0000745E0000}"/>
    <cellStyle name="Überschrift 2 18" xfId="10727" xr:uid="{00000000-0005-0000-0000-0000755E0000}"/>
    <cellStyle name="Überschrift 2 18 2" xfId="20142" xr:uid="{00000000-0005-0000-0000-0000765E0000}"/>
    <cellStyle name="Überschrift 2 18_est. MEAT" xfId="26033" xr:uid="{00000000-0005-0000-0000-0000775E0000}"/>
    <cellStyle name="Überschrift 2 19" xfId="10728" xr:uid="{00000000-0005-0000-0000-0000785E0000}"/>
    <cellStyle name="Überschrift 2 19 2" xfId="20143" xr:uid="{00000000-0005-0000-0000-0000795E0000}"/>
    <cellStyle name="Überschrift 2 19_est. MEAT" xfId="26034" xr:uid="{00000000-0005-0000-0000-00007A5E0000}"/>
    <cellStyle name="Überschrift 2 2" xfId="10729" xr:uid="{00000000-0005-0000-0000-00007B5E0000}"/>
    <cellStyle name="Überschrift 2 2 2" xfId="10730" xr:uid="{00000000-0005-0000-0000-00007C5E0000}"/>
    <cellStyle name="Überschrift 2 2 2 2" xfId="20145" xr:uid="{00000000-0005-0000-0000-00007D5E0000}"/>
    <cellStyle name="Überschrift 2 2 2_est. MEAT" xfId="26035" xr:uid="{00000000-0005-0000-0000-00007E5E0000}"/>
    <cellStyle name="Überschrift 2 2 3" xfId="20144" xr:uid="{00000000-0005-0000-0000-00007F5E0000}"/>
    <cellStyle name="Überschrift 2 2_2012-2019" xfId="13389" xr:uid="{00000000-0005-0000-0000-0000805E0000}"/>
    <cellStyle name="Überschrift 2 20" xfId="10731" xr:uid="{00000000-0005-0000-0000-0000815E0000}"/>
    <cellStyle name="Überschrift 2 20 2" xfId="20146" xr:uid="{00000000-0005-0000-0000-0000825E0000}"/>
    <cellStyle name="Überschrift 2 20_est. MEAT" xfId="26036" xr:uid="{00000000-0005-0000-0000-0000835E0000}"/>
    <cellStyle name="Überschrift 2 21" xfId="10732" xr:uid="{00000000-0005-0000-0000-0000845E0000}"/>
    <cellStyle name="Überschrift 2 21 2" xfId="20147" xr:uid="{00000000-0005-0000-0000-0000855E0000}"/>
    <cellStyle name="Überschrift 2 21_est. MEAT" xfId="26037" xr:uid="{00000000-0005-0000-0000-0000865E0000}"/>
    <cellStyle name="Überschrift 2 22" xfId="10733" xr:uid="{00000000-0005-0000-0000-0000875E0000}"/>
    <cellStyle name="Überschrift 2 22 2" xfId="20148" xr:uid="{00000000-0005-0000-0000-0000885E0000}"/>
    <cellStyle name="Überschrift 2 22_est. MEAT" xfId="26038" xr:uid="{00000000-0005-0000-0000-0000895E0000}"/>
    <cellStyle name="Überschrift 2 23" xfId="10734" xr:uid="{00000000-0005-0000-0000-00008A5E0000}"/>
    <cellStyle name="Überschrift 2 23 2" xfId="20149" xr:uid="{00000000-0005-0000-0000-00008B5E0000}"/>
    <cellStyle name="Überschrift 2 23_est. MEAT" xfId="26039" xr:uid="{00000000-0005-0000-0000-00008C5E0000}"/>
    <cellStyle name="Überschrift 2 24" xfId="10735" xr:uid="{00000000-0005-0000-0000-00008D5E0000}"/>
    <cellStyle name="Überschrift 2 24 2" xfId="20150" xr:uid="{00000000-0005-0000-0000-00008E5E0000}"/>
    <cellStyle name="Überschrift 2 24_est. MEAT" xfId="26040" xr:uid="{00000000-0005-0000-0000-00008F5E0000}"/>
    <cellStyle name="Überschrift 2 25" xfId="10736" xr:uid="{00000000-0005-0000-0000-0000905E0000}"/>
    <cellStyle name="Überschrift 2 25 2" xfId="20151" xr:uid="{00000000-0005-0000-0000-0000915E0000}"/>
    <cellStyle name="Überschrift 2 25_est. MEAT" xfId="26041" xr:uid="{00000000-0005-0000-0000-0000925E0000}"/>
    <cellStyle name="Überschrift 2 26" xfId="10737" xr:uid="{00000000-0005-0000-0000-0000935E0000}"/>
    <cellStyle name="Überschrift 2 26 2" xfId="20152" xr:uid="{00000000-0005-0000-0000-0000945E0000}"/>
    <cellStyle name="Überschrift 2 26_est. MEAT" xfId="26042" xr:uid="{00000000-0005-0000-0000-0000955E0000}"/>
    <cellStyle name="Überschrift 2 27" xfId="10738" xr:uid="{00000000-0005-0000-0000-0000965E0000}"/>
    <cellStyle name="Überschrift 2 27 2" xfId="20153" xr:uid="{00000000-0005-0000-0000-0000975E0000}"/>
    <cellStyle name="Überschrift 2 27_est. MEAT" xfId="26043" xr:uid="{00000000-0005-0000-0000-0000985E0000}"/>
    <cellStyle name="Überschrift 2 28" xfId="10739" xr:uid="{00000000-0005-0000-0000-0000995E0000}"/>
    <cellStyle name="Überschrift 2 28 2" xfId="20154" xr:uid="{00000000-0005-0000-0000-00009A5E0000}"/>
    <cellStyle name="Überschrift 2 28_est. MEAT" xfId="26044" xr:uid="{00000000-0005-0000-0000-00009B5E0000}"/>
    <cellStyle name="Überschrift 2 29" xfId="10740" xr:uid="{00000000-0005-0000-0000-00009C5E0000}"/>
    <cellStyle name="Überschrift 2 29 2" xfId="20155" xr:uid="{00000000-0005-0000-0000-00009D5E0000}"/>
    <cellStyle name="Überschrift 2 29_est. MEAT" xfId="26045" xr:uid="{00000000-0005-0000-0000-00009E5E0000}"/>
    <cellStyle name="Überschrift 2 3" xfId="10741" xr:uid="{00000000-0005-0000-0000-00009F5E0000}"/>
    <cellStyle name="Überschrift 2 3 2" xfId="10742" xr:uid="{00000000-0005-0000-0000-0000A05E0000}"/>
    <cellStyle name="Überschrift 2 3 2 2" xfId="20157" xr:uid="{00000000-0005-0000-0000-0000A15E0000}"/>
    <cellStyle name="Überschrift 2 3 2_est. MEAT" xfId="26046" xr:uid="{00000000-0005-0000-0000-0000A25E0000}"/>
    <cellStyle name="Überschrift 2 3 3" xfId="20156" xr:uid="{00000000-0005-0000-0000-0000A35E0000}"/>
    <cellStyle name="Überschrift 2 3_2012-2019" xfId="13390" xr:uid="{00000000-0005-0000-0000-0000A45E0000}"/>
    <cellStyle name="Überschrift 2 30" xfId="10743" xr:uid="{00000000-0005-0000-0000-0000A55E0000}"/>
    <cellStyle name="Überschrift 2 30 2" xfId="20158" xr:uid="{00000000-0005-0000-0000-0000A65E0000}"/>
    <cellStyle name="Überschrift 2 30_est. MEAT" xfId="26047" xr:uid="{00000000-0005-0000-0000-0000A75E0000}"/>
    <cellStyle name="Überschrift 2 31" xfId="10744" xr:uid="{00000000-0005-0000-0000-0000A85E0000}"/>
    <cellStyle name="Überschrift 2 31 2" xfId="20159" xr:uid="{00000000-0005-0000-0000-0000A95E0000}"/>
    <cellStyle name="Überschrift 2 31_est. MEAT" xfId="26048" xr:uid="{00000000-0005-0000-0000-0000AA5E0000}"/>
    <cellStyle name="Überschrift 2 32" xfId="10745" xr:uid="{00000000-0005-0000-0000-0000AB5E0000}"/>
    <cellStyle name="Überschrift 2 32 2" xfId="20160" xr:uid="{00000000-0005-0000-0000-0000AC5E0000}"/>
    <cellStyle name="Überschrift 2 32_est. MEAT" xfId="26049" xr:uid="{00000000-0005-0000-0000-0000AD5E0000}"/>
    <cellStyle name="Überschrift 2 33" xfId="10746" xr:uid="{00000000-0005-0000-0000-0000AE5E0000}"/>
    <cellStyle name="Überschrift 2 33 2" xfId="20161" xr:uid="{00000000-0005-0000-0000-0000AF5E0000}"/>
    <cellStyle name="Überschrift 2 33_est. MEAT" xfId="26050" xr:uid="{00000000-0005-0000-0000-0000B05E0000}"/>
    <cellStyle name="Überschrift 2 34" xfId="10747" xr:uid="{00000000-0005-0000-0000-0000B15E0000}"/>
    <cellStyle name="Überschrift 2 34 2" xfId="20162" xr:uid="{00000000-0005-0000-0000-0000B25E0000}"/>
    <cellStyle name="Überschrift 2 34_est. MEAT" xfId="26051" xr:uid="{00000000-0005-0000-0000-0000B35E0000}"/>
    <cellStyle name="Überschrift 2 35" xfId="10748" xr:uid="{00000000-0005-0000-0000-0000B45E0000}"/>
    <cellStyle name="Überschrift 2 35 2" xfId="20163" xr:uid="{00000000-0005-0000-0000-0000B55E0000}"/>
    <cellStyle name="Überschrift 2 35_est. MEAT" xfId="26052" xr:uid="{00000000-0005-0000-0000-0000B65E0000}"/>
    <cellStyle name="Überschrift 2 36" xfId="10749" xr:uid="{00000000-0005-0000-0000-0000B75E0000}"/>
    <cellStyle name="Überschrift 2 36 2" xfId="20164" xr:uid="{00000000-0005-0000-0000-0000B85E0000}"/>
    <cellStyle name="Überschrift 2 36_est. MEAT" xfId="26053" xr:uid="{00000000-0005-0000-0000-0000B95E0000}"/>
    <cellStyle name="Überschrift 2 37" xfId="10750" xr:uid="{00000000-0005-0000-0000-0000BA5E0000}"/>
    <cellStyle name="Überschrift 2 37 2" xfId="20165" xr:uid="{00000000-0005-0000-0000-0000BB5E0000}"/>
    <cellStyle name="Überschrift 2 37_est. MEAT" xfId="26054" xr:uid="{00000000-0005-0000-0000-0000BC5E0000}"/>
    <cellStyle name="Überschrift 2 38" xfId="10751" xr:uid="{00000000-0005-0000-0000-0000BD5E0000}"/>
    <cellStyle name="Überschrift 2 38 2" xfId="20166" xr:uid="{00000000-0005-0000-0000-0000BE5E0000}"/>
    <cellStyle name="Überschrift 2 38_est. MEAT" xfId="26055" xr:uid="{00000000-0005-0000-0000-0000BF5E0000}"/>
    <cellStyle name="Überschrift 2 39" xfId="10752" xr:uid="{00000000-0005-0000-0000-0000C05E0000}"/>
    <cellStyle name="Überschrift 2 39 2" xfId="20167" xr:uid="{00000000-0005-0000-0000-0000C15E0000}"/>
    <cellStyle name="Überschrift 2 39_est. MEAT" xfId="26056" xr:uid="{00000000-0005-0000-0000-0000C25E0000}"/>
    <cellStyle name="Überschrift 2 4" xfId="10753" xr:uid="{00000000-0005-0000-0000-0000C35E0000}"/>
    <cellStyle name="Überschrift 2 4 2" xfId="10754" xr:uid="{00000000-0005-0000-0000-0000C45E0000}"/>
    <cellStyle name="Überschrift 2 4 2 2" xfId="20169" xr:uid="{00000000-0005-0000-0000-0000C55E0000}"/>
    <cellStyle name="Überschrift 2 4 2_est. MEAT" xfId="26057" xr:uid="{00000000-0005-0000-0000-0000C65E0000}"/>
    <cellStyle name="Überschrift 2 4 3" xfId="20168" xr:uid="{00000000-0005-0000-0000-0000C75E0000}"/>
    <cellStyle name="Überschrift 2 4_2012-2019" xfId="13391" xr:uid="{00000000-0005-0000-0000-0000C85E0000}"/>
    <cellStyle name="Überschrift 2 40" xfId="10755" xr:uid="{00000000-0005-0000-0000-0000C95E0000}"/>
    <cellStyle name="Überschrift 2 40 2" xfId="20170" xr:uid="{00000000-0005-0000-0000-0000CA5E0000}"/>
    <cellStyle name="Überschrift 2 40_est. MEAT" xfId="26058" xr:uid="{00000000-0005-0000-0000-0000CB5E0000}"/>
    <cellStyle name="Überschrift 2 41" xfId="10756" xr:uid="{00000000-0005-0000-0000-0000CC5E0000}"/>
    <cellStyle name="Überschrift 2 41 2" xfId="20171" xr:uid="{00000000-0005-0000-0000-0000CD5E0000}"/>
    <cellStyle name="Überschrift 2 41_est. MEAT" xfId="26059" xr:uid="{00000000-0005-0000-0000-0000CE5E0000}"/>
    <cellStyle name="Überschrift 2 42" xfId="10757" xr:uid="{00000000-0005-0000-0000-0000CF5E0000}"/>
    <cellStyle name="Überschrift 2 42 2" xfId="20172" xr:uid="{00000000-0005-0000-0000-0000D05E0000}"/>
    <cellStyle name="Überschrift 2 42_est. MEAT" xfId="26060" xr:uid="{00000000-0005-0000-0000-0000D15E0000}"/>
    <cellStyle name="Überschrift 2 43" xfId="10758" xr:uid="{00000000-0005-0000-0000-0000D25E0000}"/>
    <cellStyle name="Überschrift 2 43 2" xfId="20173" xr:uid="{00000000-0005-0000-0000-0000D35E0000}"/>
    <cellStyle name="Überschrift 2 43_est. MEAT" xfId="26061" xr:uid="{00000000-0005-0000-0000-0000D45E0000}"/>
    <cellStyle name="Überschrift 2 44" xfId="10759" xr:uid="{00000000-0005-0000-0000-0000D55E0000}"/>
    <cellStyle name="Überschrift 2 44 2" xfId="20174" xr:uid="{00000000-0005-0000-0000-0000D65E0000}"/>
    <cellStyle name="Überschrift 2 44_est. MEAT" xfId="26062" xr:uid="{00000000-0005-0000-0000-0000D75E0000}"/>
    <cellStyle name="Überschrift 2 45" xfId="10760" xr:uid="{00000000-0005-0000-0000-0000D85E0000}"/>
    <cellStyle name="Überschrift 2 45 2" xfId="20175" xr:uid="{00000000-0005-0000-0000-0000D95E0000}"/>
    <cellStyle name="Überschrift 2 45_est. MEAT" xfId="26063" xr:uid="{00000000-0005-0000-0000-0000DA5E0000}"/>
    <cellStyle name="Überschrift 2 46" xfId="10761" xr:uid="{00000000-0005-0000-0000-0000DB5E0000}"/>
    <cellStyle name="Überschrift 2 46 2" xfId="20176" xr:uid="{00000000-0005-0000-0000-0000DC5E0000}"/>
    <cellStyle name="Überschrift 2 46_est. MEAT" xfId="26064" xr:uid="{00000000-0005-0000-0000-0000DD5E0000}"/>
    <cellStyle name="Überschrift 2 47" xfId="10762" xr:uid="{00000000-0005-0000-0000-0000DE5E0000}"/>
    <cellStyle name="Überschrift 2 47 2" xfId="20177" xr:uid="{00000000-0005-0000-0000-0000DF5E0000}"/>
    <cellStyle name="Überschrift 2 47_est. MEAT" xfId="26065" xr:uid="{00000000-0005-0000-0000-0000E05E0000}"/>
    <cellStyle name="Überschrift 2 48" xfId="10763" xr:uid="{00000000-0005-0000-0000-0000E15E0000}"/>
    <cellStyle name="Überschrift 2 48 2" xfId="20178" xr:uid="{00000000-0005-0000-0000-0000E25E0000}"/>
    <cellStyle name="Überschrift 2 48_est. MEAT" xfId="26066" xr:uid="{00000000-0005-0000-0000-0000E35E0000}"/>
    <cellStyle name="Überschrift 2 49" xfId="10764" xr:uid="{00000000-0005-0000-0000-0000E45E0000}"/>
    <cellStyle name="Überschrift 2 49 2" xfId="20179" xr:uid="{00000000-0005-0000-0000-0000E55E0000}"/>
    <cellStyle name="Überschrift 2 49_est. MEAT" xfId="26067" xr:uid="{00000000-0005-0000-0000-0000E65E0000}"/>
    <cellStyle name="Überschrift 2 5" xfId="10765" xr:uid="{00000000-0005-0000-0000-0000E75E0000}"/>
    <cellStyle name="Überschrift 2 5 2" xfId="10766" xr:uid="{00000000-0005-0000-0000-0000E85E0000}"/>
    <cellStyle name="Überschrift 2 5 2 2" xfId="20181" xr:uid="{00000000-0005-0000-0000-0000E95E0000}"/>
    <cellStyle name="Überschrift 2 5 2_est. MEAT" xfId="26068" xr:uid="{00000000-0005-0000-0000-0000EA5E0000}"/>
    <cellStyle name="Überschrift 2 5 3" xfId="20180" xr:uid="{00000000-0005-0000-0000-0000EB5E0000}"/>
    <cellStyle name="Überschrift 2 5_2012-2019" xfId="13392" xr:uid="{00000000-0005-0000-0000-0000EC5E0000}"/>
    <cellStyle name="Überschrift 2 50" xfId="10767" xr:uid="{00000000-0005-0000-0000-0000ED5E0000}"/>
    <cellStyle name="Überschrift 2 50 2" xfId="20182" xr:uid="{00000000-0005-0000-0000-0000EE5E0000}"/>
    <cellStyle name="Überschrift 2 50_est. MEAT" xfId="26069" xr:uid="{00000000-0005-0000-0000-0000EF5E0000}"/>
    <cellStyle name="Überschrift 2 51" xfId="10768" xr:uid="{00000000-0005-0000-0000-0000F05E0000}"/>
    <cellStyle name="Überschrift 2 51 2" xfId="20183" xr:uid="{00000000-0005-0000-0000-0000F15E0000}"/>
    <cellStyle name="Überschrift 2 51_est. MEAT" xfId="26070" xr:uid="{00000000-0005-0000-0000-0000F25E0000}"/>
    <cellStyle name="Überschrift 2 52" xfId="10769" xr:uid="{00000000-0005-0000-0000-0000F35E0000}"/>
    <cellStyle name="Überschrift 2 52 2" xfId="20184" xr:uid="{00000000-0005-0000-0000-0000F45E0000}"/>
    <cellStyle name="Überschrift 2 52_est. MEAT" xfId="26071" xr:uid="{00000000-0005-0000-0000-0000F55E0000}"/>
    <cellStyle name="Überschrift 2 53" xfId="10770" xr:uid="{00000000-0005-0000-0000-0000F65E0000}"/>
    <cellStyle name="Überschrift 2 53 2" xfId="20185" xr:uid="{00000000-0005-0000-0000-0000F75E0000}"/>
    <cellStyle name="Überschrift 2 53_est. MEAT" xfId="26072" xr:uid="{00000000-0005-0000-0000-0000F85E0000}"/>
    <cellStyle name="Überschrift 2 54" xfId="10771" xr:uid="{00000000-0005-0000-0000-0000F95E0000}"/>
    <cellStyle name="Überschrift 2 54 2" xfId="20186" xr:uid="{00000000-0005-0000-0000-0000FA5E0000}"/>
    <cellStyle name="Überschrift 2 54_est. MEAT" xfId="26073" xr:uid="{00000000-0005-0000-0000-0000FB5E0000}"/>
    <cellStyle name="Überschrift 2 55" xfId="10772" xr:uid="{00000000-0005-0000-0000-0000FC5E0000}"/>
    <cellStyle name="Überschrift 2 55 2" xfId="20187" xr:uid="{00000000-0005-0000-0000-0000FD5E0000}"/>
    <cellStyle name="Überschrift 2 55_est. MEAT" xfId="26074" xr:uid="{00000000-0005-0000-0000-0000FE5E0000}"/>
    <cellStyle name="Überschrift 2 56" xfId="10773" xr:uid="{00000000-0005-0000-0000-0000FF5E0000}"/>
    <cellStyle name="Überschrift 2 56 2" xfId="20188" xr:uid="{00000000-0005-0000-0000-0000005F0000}"/>
    <cellStyle name="Überschrift 2 56_est. MEAT" xfId="26075" xr:uid="{00000000-0005-0000-0000-0000015F0000}"/>
    <cellStyle name="Überschrift 2 57" xfId="10774" xr:uid="{00000000-0005-0000-0000-0000025F0000}"/>
    <cellStyle name="Überschrift 2 57 2" xfId="20189" xr:uid="{00000000-0005-0000-0000-0000035F0000}"/>
    <cellStyle name="Überschrift 2 57_est. MEAT" xfId="26076" xr:uid="{00000000-0005-0000-0000-0000045F0000}"/>
    <cellStyle name="Überschrift 2 58" xfId="10775" xr:uid="{00000000-0005-0000-0000-0000055F0000}"/>
    <cellStyle name="Überschrift 2 58 2" xfId="20190" xr:uid="{00000000-0005-0000-0000-0000065F0000}"/>
    <cellStyle name="Überschrift 2 58_est. MEAT" xfId="26077" xr:uid="{00000000-0005-0000-0000-0000075F0000}"/>
    <cellStyle name="Überschrift 2 59" xfId="10776" xr:uid="{00000000-0005-0000-0000-0000085F0000}"/>
    <cellStyle name="Überschrift 2 59 2" xfId="20191" xr:uid="{00000000-0005-0000-0000-0000095F0000}"/>
    <cellStyle name="Überschrift 2 59_est. MEAT" xfId="26078" xr:uid="{00000000-0005-0000-0000-00000A5F0000}"/>
    <cellStyle name="Überschrift 2 6" xfId="10777" xr:uid="{00000000-0005-0000-0000-00000B5F0000}"/>
    <cellStyle name="Überschrift 2 6 2" xfId="10778" xr:uid="{00000000-0005-0000-0000-00000C5F0000}"/>
    <cellStyle name="Überschrift 2 6 2 2" xfId="20193" xr:uid="{00000000-0005-0000-0000-00000D5F0000}"/>
    <cellStyle name="Überschrift 2 6 2_est. MEAT" xfId="26079" xr:uid="{00000000-0005-0000-0000-00000E5F0000}"/>
    <cellStyle name="Überschrift 2 6 3" xfId="20192" xr:uid="{00000000-0005-0000-0000-00000F5F0000}"/>
    <cellStyle name="Überschrift 2 6_2012-2019" xfId="13393" xr:uid="{00000000-0005-0000-0000-0000105F0000}"/>
    <cellStyle name="Überschrift 2 60" xfId="10779" xr:uid="{00000000-0005-0000-0000-0000115F0000}"/>
    <cellStyle name="Überschrift 2 60 2" xfId="20194" xr:uid="{00000000-0005-0000-0000-0000125F0000}"/>
    <cellStyle name="Überschrift 2 60_est. MEAT" xfId="26080" xr:uid="{00000000-0005-0000-0000-0000135F0000}"/>
    <cellStyle name="Überschrift 2 61" xfId="10780" xr:uid="{00000000-0005-0000-0000-0000145F0000}"/>
    <cellStyle name="Überschrift 2 61 2" xfId="20195" xr:uid="{00000000-0005-0000-0000-0000155F0000}"/>
    <cellStyle name="Überschrift 2 61_est. MEAT" xfId="26081" xr:uid="{00000000-0005-0000-0000-0000165F0000}"/>
    <cellStyle name="Überschrift 2 62" xfId="10781" xr:uid="{00000000-0005-0000-0000-0000175F0000}"/>
    <cellStyle name="Überschrift 2 62 2" xfId="20196" xr:uid="{00000000-0005-0000-0000-0000185F0000}"/>
    <cellStyle name="Überschrift 2 62_est. MEAT" xfId="26082" xr:uid="{00000000-0005-0000-0000-0000195F0000}"/>
    <cellStyle name="Überschrift 2 63" xfId="10782" xr:uid="{00000000-0005-0000-0000-00001A5F0000}"/>
    <cellStyle name="Überschrift 2 63 2" xfId="20197" xr:uid="{00000000-0005-0000-0000-00001B5F0000}"/>
    <cellStyle name="Überschrift 2 63_est. MEAT" xfId="26083" xr:uid="{00000000-0005-0000-0000-00001C5F0000}"/>
    <cellStyle name="Überschrift 2 64" xfId="10783" xr:uid="{00000000-0005-0000-0000-00001D5F0000}"/>
    <cellStyle name="Überschrift 2 64 2" xfId="20198" xr:uid="{00000000-0005-0000-0000-00001E5F0000}"/>
    <cellStyle name="Überschrift 2 64_est. MEAT" xfId="26084" xr:uid="{00000000-0005-0000-0000-00001F5F0000}"/>
    <cellStyle name="Überschrift 2 65" xfId="10784" xr:uid="{00000000-0005-0000-0000-0000205F0000}"/>
    <cellStyle name="Überschrift 2 65 2" xfId="20199" xr:uid="{00000000-0005-0000-0000-0000215F0000}"/>
    <cellStyle name="Überschrift 2 65_est. MEAT" xfId="26085" xr:uid="{00000000-0005-0000-0000-0000225F0000}"/>
    <cellStyle name="Überschrift 2 66" xfId="10785" xr:uid="{00000000-0005-0000-0000-0000235F0000}"/>
    <cellStyle name="Überschrift 2 66 2" xfId="20200" xr:uid="{00000000-0005-0000-0000-0000245F0000}"/>
    <cellStyle name="Überschrift 2 66_est. MEAT" xfId="26086" xr:uid="{00000000-0005-0000-0000-0000255F0000}"/>
    <cellStyle name="Überschrift 2 67" xfId="10786" xr:uid="{00000000-0005-0000-0000-0000265F0000}"/>
    <cellStyle name="Überschrift 2 67 2" xfId="20201" xr:uid="{00000000-0005-0000-0000-0000275F0000}"/>
    <cellStyle name="Überschrift 2 67_est. MEAT" xfId="26087" xr:uid="{00000000-0005-0000-0000-0000285F0000}"/>
    <cellStyle name="Überschrift 2 68" xfId="10787" xr:uid="{00000000-0005-0000-0000-0000295F0000}"/>
    <cellStyle name="Überschrift 2 68 2" xfId="20202" xr:uid="{00000000-0005-0000-0000-00002A5F0000}"/>
    <cellStyle name="Überschrift 2 68_est. MEAT" xfId="26088" xr:uid="{00000000-0005-0000-0000-00002B5F0000}"/>
    <cellStyle name="Überschrift 2 69" xfId="10788" xr:uid="{00000000-0005-0000-0000-00002C5F0000}"/>
    <cellStyle name="Überschrift 2 69 2" xfId="20203" xr:uid="{00000000-0005-0000-0000-00002D5F0000}"/>
    <cellStyle name="Überschrift 2 69_est. MEAT" xfId="26089" xr:uid="{00000000-0005-0000-0000-00002E5F0000}"/>
    <cellStyle name="Überschrift 2 7" xfId="10789" xr:uid="{00000000-0005-0000-0000-00002F5F0000}"/>
    <cellStyle name="Überschrift 2 7 2" xfId="10790" xr:uid="{00000000-0005-0000-0000-0000305F0000}"/>
    <cellStyle name="Überschrift 2 7 2 2" xfId="20205" xr:uid="{00000000-0005-0000-0000-0000315F0000}"/>
    <cellStyle name="Überschrift 2 7 2_est. MEAT" xfId="26090" xr:uid="{00000000-0005-0000-0000-0000325F0000}"/>
    <cellStyle name="Überschrift 2 7 3" xfId="20204" xr:uid="{00000000-0005-0000-0000-0000335F0000}"/>
    <cellStyle name="Überschrift 2 7_2012-2019" xfId="13394" xr:uid="{00000000-0005-0000-0000-0000345F0000}"/>
    <cellStyle name="Überschrift 2 70" xfId="10791" xr:uid="{00000000-0005-0000-0000-0000355F0000}"/>
    <cellStyle name="Überschrift 2 70 2" xfId="20206" xr:uid="{00000000-0005-0000-0000-0000365F0000}"/>
    <cellStyle name="Überschrift 2 70_est. MEAT" xfId="26091" xr:uid="{00000000-0005-0000-0000-0000375F0000}"/>
    <cellStyle name="Überschrift 2 71" xfId="10792" xr:uid="{00000000-0005-0000-0000-0000385F0000}"/>
    <cellStyle name="Überschrift 2 71 2" xfId="20207" xr:uid="{00000000-0005-0000-0000-0000395F0000}"/>
    <cellStyle name="Überschrift 2 71_est. MEAT" xfId="26092" xr:uid="{00000000-0005-0000-0000-00003A5F0000}"/>
    <cellStyle name="Überschrift 2 72" xfId="10793" xr:uid="{00000000-0005-0000-0000-00003B5F0000}"/>
    <cellStyle name="Überschrift 2 72 2" xfId="20208" xr:uid="{00000000-0005-0000-0000-00003C5F0000}"/>
    <cellStyle name="Überschrift 2 72_est. MEAT" xfId="26093" xr:uid="{00000000-0005-0000-0000-00003D5F0000}"/>
    <cellStyle name="Überschrift 2 73" xfId="10794" xr:uid="{00000000-0005-0000-0000-00003E5F0000}"/>
    <cellStyle name="Überschrift 2 73 2" xfId="20209" xr:uid="{00000000-0005-0000-0000-00003F5F0000}"/>
    <cellStyle name="Überschrift 2 73_est. MEAT" xfId="26094" xr:uid="{00000000-0005-0000-0000-0000405F0000}"/>
    <cellStyle name="Überschrift 2 74" xfId="10795" xr:uid="{00000000-0005-0000-0000-0000415F0000}"/>
    <cellStyle name="Überschrift 2 74 2" xfId="20210" xr:uid="{00000000-0005-0000-0000-0000425F0000}"/>
    <cellStyle name="Überschrift 2 74_est. MEAT" xfId="26095" xr:uid="{00000000-0005-0000-0000-0000435F0000}"/>
    <cellStyle name="Überschrift 2 75" xfId="10796" xr:uid="{00000000-0005-0000-0000-0000445F0000}"/>
    <cellStyle name="Überschrift 2 75 2" xfId="20211" xr:uid="{00000000-0005-0000-0000-0000455F0000}"/>
    <cellStyle name="Überschrift 2 75_est. MEAT" xfId="26096" xr:uid="{00000000-0005-0000-0000-0000465F0000}"/>
    <cellStyle name="Überschrift 2 76" xfId="10797" xr:uid="{00000000-0005-0000-0000-0000475F0000}"/>
    <cellStyle name="Überschrift 2 76 2" xfId="20212" xr:uid="{00000000-0005-0000-0000-0000485F0000}"/>
    <cellStyle name="Überschrift 2 76_est. MEAT" xfId="26097" xr:uid="{00000000-0005-0000-0000-0000495F0000}"/>
    <cellStyle name="Überschrift 2 77" xfId="10798" xr:uid="{00000000-0005-0000-0000-00004A5F0000}"/>
    <cellStyle name="Überschrift 2 77 2" xfId="20213" xr:uid="{00000000-0005-0000-0000-00004B5F0000}"/>
    <cellStyle name="Überschrift 2 77_est. MEAT" xfId="26098" xr:uid="{00000000-0005-0000-0000-00004C5F0000}"/>
    <cellStyle name="Überschrift 2 78" xfId="10799" xr:uid="{00000000-0005-0000-0000-00004D5F0000}"/>
    <cellStyle name="Überschrift 2 78 2" xfId="20214" xr:uid="{00000000-0005-0000-0000-00004E5F0000}"/>
    <cellStyle name="Überschrift 2 78_est. MEAT" xfId="26099" xr:uid="{00000000-0005-0000-0000-00004F5F0000}"/>
    <cellStyle name="Überschrift 2 79" xfId="10800" xr:uid="{00000000-0005-0000-0000-0000505F0000}"/>
    <cellStyle name="Überschrift 2 79 2" xfId="20215" xr:uid="{00000000-0005-0000-0000-0000515F0000}"/>
    <cellStyle name="Überschrift 2 79_est. MEAT" xfId="26100" xr:uid="{00000000-0005-0000-0000-0000525F0000}"/>
    <cellStyle name="Überschrift 2 8" xfId="10801" xr:uid="{00000000-0005-0000-0000-0000535F0000}"/>
    <cellStyle name="Überschrift 2 8 2" xfId="10802" xr:uid="{00000000-0005-0000-0000-0000545F0000}"/>
    <cellStyle name="Überschrift 2 8 2 2" xfId="20217" xr:uid="{00000000-0005-0000-0000-0000555F0000}"/>
    <cellStyle name="Überschrift 2 8 2_est. MEAT" xfId="26101" xr:uid="{00000000-0005-0000-0000-0000565F0000}"/>
    <cellStyle name="Überschrift 2 8 3" xfId="20216" xr:uid="{00000000-0005-0000-0000-0000575F0000}"/>
    <cellStyle name="Überschrift 2 8_2012-2019" xfId="13395" xr:uid="{00000000-0005-0000-0000-0000585F0000}"/>
    <cellStyle name="Überschrift 2 80" xfId="10803" xr:uid="{00000000-0005-0000-0000-0000595F0000}"/>
    <cellStyle name="Überschrift 2 80 2" xfId="20218" xr:uid="{00000000-0005-0000-0000-00005A5F0000}"/>
    <cellStyle name="Überschrift 2 80_est. MEAT" xfId="26102" xr:uid="{00000000-0005-0000-0000-00005B5F0000}"/>
    <cellStyle name="Überschrift 2 81" xfId="10804" xr:uid="{00000000-0005-0000-0000-00005C5F0000}"/>
    <cellStyle name="Überschrift 2 81 2" xfId="20219" xr:uid="{00000000-0005-0000-0000-00005D5F0000}"/>
    <cellStyle name="Überschrift 2 81_est. MEAT" xfId="26103" xr:uid="{00000000-0005-0000-0000-00005E5F0000}"/>
    <cellStyle name="Überschrift 2 82" xfId="10805" xr:uid="{00000000-0005-0000-0000-00005F5F0000}"/>
    <cellStyle name="Überschrift 2 82 2" xfId="20220" xr:uid="{00000000-0005-0000-0000-0000605F0000}"/>
    <cellStyle name="Überschrift 2 82_est. MEAT" xfId="26104" xr:uid="{00000000-0005-0000-0000-0000615F0000}"/>
    <cellStyle name="Überschrift 2 83" xfId="10806" xr:uid="{00000000-0005-0000-0000-0000625F0000}"/>
    <cellStyle name="Überschrift 2 83 2" xfId="20221" xr:uid="{00000000-0005-0000-0000-0000635F0000}"/>
    <cellStyle name="Überschrift 2 83_est. MEAT" xfId="26105" xr:uid="{00000000-0005-0000-0000-0000645F0000}"/>
    <cellStyle name="Überschrift 2 84" xfId="10807" xr:uid="{00000000-0005-0000-0000-0000655F0000}"/>
    <cellStyle name="Überschrift 2 84 2" xfId="20222" xr:uid="{00000000-0005-0000-0000-0000665F0000}"/>
    <cellStyle name="Überschrift 2 84_est. MEAT" xfId="26106" xr:uid="{00000000-0005-0000-0000-0000675F0000}"/>
    <cellStyle name="Überschrift 2 85" xfId="10808" xr:uid="{00000000-0005-0000-0000-0000685F0000}"/>
    <cellStyle name="Überschrift 2 85 2" xfId="20223" xr:uid="{00000000-0005-0000-0000-0000695F0000}"/>
    <cellStyle name="Überschrift 2 85_est. MEAT" xfId="26107" xr:uid="{00000000-0005-0000-0000-00006A5F0000}"/>
    <cellStyle name="Überschrift 2 86" xfId="10809" xr:uid="{00000000-0005-0000-0000-00006B5F0000}"/>
    <cellStyle name="Überschrift 2 86 2" xfId="20224" xr:uid="{00000000-0005-0000-0000-00006C5F0000}"/>
    <cellStyle name="Überschrift 2 86_est. MEAT" xfId="26108" xr:uid="{00000000-0005-0000-0000-00006D5F0000}"/>
    <cellStyle name="Überschrift 2 87" xfId="10810" xr:uid="{00000000-0005-0000-0000-00006E5F0000}"/>
    <cellStyle name="Überschrift 2 87 2" xfId="20225" xr:uid="{00000000-0005-0000-0000-00006F5F0000}"/>
    <cellStyle name="Überschrift 2 87_est. MEAT" xfId="26109" xr:uid="{00000000-0005-0000-0000-0000705F0000}"/>
    <cellStyle name="Überschrift 2 88" xfId="10811" xr:uid="{00000000-0005-0000-0000-0000715F0000}"/>
    <cellStyle name="Überschrift 2 88 2" xfId="20226" xr:uid="{00000000-0005-0000-0000-0000725F0000}"/>
    <cellStyle name="Überschrift 2 88_est. MEAT" xfId="26110" xr:uid="{00000000-0005-0000-0000-0000735F0000}"/>
    <cellStyle name="Überschrift 2 89" xfId="10812" xr:uid="{00000000-0005-0000-0000-0000745F0000}"/>
    <cellStyle name="Überschrift 2 89 2" xfId="20227" xr:uid="{00000000-0005-0000-0000-0000755F0000}"/>
    <cellStyle name="Überschrift 2 89_est. MEAT" xfId="26111" xr:uid="{00000000-0005-0000-0000-0000765F0000}"/>
    <cellStyle name="Überschrift 2 9" xfId="10813" xr:uid="{00000000-0005-0000-0000-0000775F0000}"/>
    <cellStyle name="Überschrift 2 9 2" xfId="10814" xr:uid="{00000000-0005-0000-0000-0000785F0000}"/>
    <cellStyle name="Überschrift 2 9 2 2" xfId="20229" xr:uid="{00000000-0005-0000-0000-0000795F0000}"/>
    <cellStyle name="Überschrift 2 9 2_est. MEAT" xfId="26112" xr:uid="{00000000-0005-0000-0000-00007A5F0000}"/>
    <cellStyle name="Überschrift 2 9 3" xfId="20228" xr:uid="{00000000-0005-0000-0000-00007B5F0000}"/>
    <cellStyle name="Überschrift 2 9_2012-2019" xfId="13396" xr:uid="{00000000-0005-0000-0000-00007C5F0000}"/>
    <cellStyle name="Überschrift 2 90" xfId="10815" xr:uid="{00000000-0005-0000-0000-00007D5F0000}"/>
    <cellStyle name="Überschrift 2 90 2" xfId="20230" xr:uid="{00000000-0005-0000-0000-00007E5F0000}"/>
    <cellStyle name="Überschrift 2 90_est. MEAT" xfId="26113" xr:uid="{00000000-0005-0000-0000-00007F5F0000}"/>
    <cellStyle name="Überschrift 2 91" xfId="10816" xr:uid="{00000000-0005-0000-0000-0000805F0000}"/>
    <cellStyle name="Überschrift 2 91 2" xfId="20231" xr:uid="{00000000-0005-0000-0000-0000815F0000}"/>
    <cellStyle name="Überschrift 2 91_est. MEAT" xfId="26114" xr:uid="{00000000-0005-0000-0000-0000825F0000}"/>
    <cellStyle name="Überschrift 2 92" xfId="10817" xr:uid="{00000000-0005-0000-0000-0000835F0000}"/>
    <cellStyle name="Überschrift 2 92 2" xfId="20232" xr:uid="{00000000-0005-0000-0000-0000845F0000}"/>
    <cellStyle name="Überschrift 2 92_est. MEAT" xfId="26115" xr:uid="{00000000-0005-0000-0000-0000855F0000}"/>
    <cellStyle name="Überschrift 2 93" xfId="10818" xr:uid="{00000000-0005-0000-0000-0000865F0000}"/>
    <cellStyle name="Überschrift 2 93 2" xfId="20233" xr:uid="{00000000-0005-0000-0000-0000875F0000}"/>
    <cellStyle name="Überschrift 2 93_est. MEAT" xfId="26116" xr:uid="{00000000-0005-0000-0000-0000885F0000}"/>
    <cellStyle name="Überschrift 2 94" xfId="10819" xr:uid="{00000000-0005-0000-0000-0000895F0000}"/>
    <cellStyle name="Überschrift 2 94 2" xfId="20234" xr:uid="{00000000-0005-0000-0000-00008A5F0000}"/>
    <cellStyle name="Überschrift 2 94_est. MEAT" xfId="26117" xr:uid="{00000000-0005-0000-0000-00008B5F0000}"/>
    <cellStyle name="Überschrift 2 95" xfId="10820" xr:uid="{00000000-0005-0000-0000-00008C5F0000}"/>
    <cellStyle name="Überschrift 2 95 2" xfId="20235" xr:uid="{00000000-0005-0000-0000-00008D5F0000}"/>
    <cellStyle name="Überschrift 2 95_est. MEAT" xfId="26118" xr:uid="{00000000-0005-0000-0000-00008E5F0000}"/>
    <cellStyle name="Überschrift 2 96" xfId="10821" xr:uid="{00000000-0005-0000-0000-00008F5F0000}"/>
    <cellStyle name="Überschrift 2 96 2" xfId="20236" xr:uid="{00000000-0005-0000-0000-0000905F0000}"/>
    <cellStyle name="Überschrift 2 96_est. MEAT" xfId="26119" xr:uid="{00000000-0005-0000-0000-0000915F0000}"/>
    <cellStyle name="Überschrift 2 97" xfId="10822" xr:uid="{00000000-0005-0000-0000-0000925F0000}"/>
    <cellStyle name="Überschrift 2 97 2" xfId="20237" xr:uid="{00000000-0005-0000-0000-0000935F0000}"/>
    <cellStyle name="Überschrift 2 97_est. MEAT" xfId="26120" xr:uid="{00000000-0005-0000-0000-0000945F0000}"/>
    <cellStyle name="Überschrift 2 98" xfId="10823" xr:uid="{00000000-0005-0000-0000-0000955F0000}"/>
    <cellStyle name="Überschrift 2 98 2" xfId="20238" xr:uid="{00000000-0005-0000-0000-0000965F0000}"/>
    <cellStyle name="Überschrift 2 98_est. MEAT" xfId="26121" xr:uid="{00000000-0005-0000-0000-0000975F0000}"/>
    <cellStyle name="Überschrift 2 99" xfId="10824" xr:uid="{00000000-0005-0000-0000-0000985F0000}"/>
    <cellStyle name="Überschrift 2 99 2" xfId="20239" xr:uid="{00000000-0005-0000-0000-0000995F0000}"/>
    <cellStyle name="Überschrift 2 99_est. MEAT" xfId="26122" xr:uid="{00000000-0005-0000-0000-00009A5F0000}"/>
    <cellStyle name="Überschrift 2_2012-2019" xfId="13383" xr:uid="{00000000-0005-0000-0000-00009B5F0000}"/>
    <cellStyle name="Überschrift 20" xfId="10825" xr:uid="{00000000-0005-0000-0000-00009C5F0000}"/>
    <cellStyle name="Überschrift 20 2" xfId="20240" xr:uid="{00000000-0005-0000-0000-00009D5F0000}"/>
    <cellStyle name="Überschrift 20_est. MEAT" xfId="26123" xr:uid="{00000000-0005-0000-0000-00009E5F0000}"/>
    <cellStyle name="Überschrift 21" xfId="10826" xr:uid="{00000000-0005-0000-0000-00009F5F0000}"/>
    <cellStyle name="Überschrift 21 2" xfId="20241" xr:uid="{00000000-0005-0000-0000-0000A05F0000}"/>
    <cellStyle name="Überschrift 21_est. MEAT" xfId="26124" xr:uid="{00000000-0005-0000-0000-0000A15F0000}"/>
    <cellStyle name="Überschrift 22" xfId="10827" xr:uid="{00000000-0005-0000-0000-0000A25F0000}"/>
    <cellStyle name="Überschrift 22 2" xfId="20242" xr:uid="{00000000-0005-0000-0000-0000A35F0000}"/>
    <cellStyle name="Überschrift 22_est. MEAT" xfId="26125" xr:uid="{00000000-0005-0000-0000-0000A45F0000}"/>
    <cellStyle name="Überschrift 23" xfId="10828" xr:uid="{00000000-0005-0000-0000-0000A55F0000}"/>
    <cellStyle name="Überschrift 23 2" xfId="20243" xr:uid="{00000000-0005-0000-0000-0000A65F0000}"/>
    <cellStyle name="Überschrift 23_est. MEAT" xfId="26126" xr:uid="{00000000-0005-0000-0000-0000A75F0000}"/>
    <cellStyle name="Überschrift 24" xfId="10829" xr:uid="{00000000-0005-0000-0000-0000A85F0000}"/>
    <cellStyle name="Überschrift 24 2" xfId="20244" xr:uid="{00000000-0005-0000-0000-0000A95F0000}"/>
    <cellStyle name="Überschrift 24_est. MEAT" xfId="26127" xr:uid="{00000000-0005-0000-0000-0000AA5F0000}"/>
    <cellStyle name="Überschrift 25" xfId="10830" xr:uid="{00000000-0005-0000-0000-0000AB5F0000}"/>
    <cellStyle name="Überschrift 25 2" xfId="20245" xr:uid="{00000000-0005-0000-0000-0000AC5F0000}"/>
    <cellStyle name="Überschrift 25_est. MEAT" xfId="26128" xr:uid="{00000000-0005-0000-0000-0000AD5F0000}"/>
    <cellStyle name="Überschrift 26" xfId="10831" xr:uid="{00000000-0005-0000-0000-0000AE5F0000}"/>
    <cellStyle name="Überschrift 26 2" xfId="20246" xr:uid="{00000000-0005-0000-0000-0000AF5F0000}"/>
    <cellStyle name="Überschrift 26_est. MEAT" xfId="26129" xr:uid="{00000000-0005-0000-0000-0000B05F0000}"/>
    <cellStyle name="Überschrift 27" xfId="10832" xr:uid="{00000000-0005-0000-0000-0000B15F0000}"/>
    <cellStyle name="Überschrift 27 2" xfId="20247" xr:uid="{00000000-0005-0000-0000-0000B25F0000}"/>
    <cellStyle name="Überschrift 27_est. MEAT" xfId="26130" xr:uid="{00000000-0005-0000-0000-0000B35F0000}"/>
    <cellStyle name="Überschrift 28" xfId="10833" xr:uid="{00000000-0005-0000-0000-0000B45F0000}"/>
    <cellStyle name="Überschrift 28 2" xfId="20248" xr:uid="{00000000-0005-0000-0000-0000B55F0000}"/>
    <cellStyle name="Überschrift 28_est. MEAT" xfId="26131" xr:uid="{00000000-0005-0000-0000-0000B65F0000}"/>
    <cellStyle name="Überschrift 29" xfId="10834" xr:uid="{00000000-0005-0000-0000-0000B75F0000}"/>
    <cellStyle name="Überschrift 29 2" xfId="20249" xr:uid="{00000000-0005-0000-0000-0000B85F0000}"/>
    <cellStyle name="Überschrift 29_est. MEAT" xfId="26132" xr:uid="{00000000-0005-0000-0000-0000B95F0000}"/>
    <cellStyle name="Überschrift 3" xfId="10835" xr:uid="{00000000-0005-0000-0000-0000BA5F0000}"/>
    <cellStyle name="Überschrift 3 10" xfId="10836" xr:uid="{00000000-0005-0000-0000-0000BB5F0000}"/>
    <cellStyle name="Überschrift 3 10 2" xfId="10837" xr:uid="{00000000-0005-0000-0000-0000BC5F0000}"/>
    <cellStyle name="Überschrift 3 10 2 2" xfId="20252" xr:uid="{00000000-0005-0000-0000-0000BD5F0000}"/>
    <cellStyle name="Überschrift 3 10 2_est. MEAT" xfId="26133" xr:uid="{00000000-0005-0000-0000-0000BE5F0000}"/>
    <cellStyle name="Überschrift 3 10 3" xfId="20251" xr:uid="{00000000-0005-0000-0000-0000BF5F0000}"/>
    <cellStyle name="Überschrift 3 10_2012-2019" xfId="13398" xr:uid="{00000000-0005-0000-0000-0000C05F0000}"/>
    <cellStyle name="Überschrift 3 100" xfId="10838" xr:uid="{00000000-0005-0000-0000-0000C15F0000}"/>
    <cellStyle name="Überschrift 3 100 2" xfId="20253" xr:uid="{00000000-0005-0000-0000-0000C25F0000}"/>
    <cellStyle name="Überschrift 3 100_est. MEAT" xfId="26134" xr:uid="{00000000-0005-0000-0000-0000C35F0000}"/>
    <cellStyle name="Überschrift 3 101" xfId="10839" xr:uid="{00000000-0005-0000-0000-0000C45F0000}"/>
    <cellStyle name="Überschrift 3 101 2" xfId="20254" xr:uid="{00000000-0005-0000-0000-0000C55F0000}"/>
    <cellStyle name="Überschrift 3 101_est. MEAT" xfId="26135" xr:uid="{00000000-0005-0000-0000-0000C65F0000}"/>
    <cellStyle name="Überschrift 3 102" xfId="10840" xr:uid="{00000000-0005-0000-0000-0000C75F0000}"/>
    <cellStyle name="Überschrift 3 102 2" xfId="20255" xr:uid="{00000000-0005-0000-0000-0000C85F0000}"/>
    <cellStyle name="Überschrift 3 102_est. MEAT" xfId="26136" xr:uid="{00000000-0005-0000-0000-0000C95F0000}"/>
    <cellStyle name="Überschrift 3 103" xfId="10841" xr:uid="{00000000-0005-0000-0000-0000CA5F0000}"/>
    <cellStyle name="Überschrift 3 103 2" xfId="20256" xr:uid="{00000000-0005-0000-0000-0000CB5F0000}"/>
    <cellStyle name="Überschrift 3 103_est. MEAT" xfId="26137" xr:uid="{00000000-0005-0000-0000-0000CC5F0000}"/>
    <cellStyle name="Überschrift 3 104" xfId="10842" xr:uid="{00000000-0005-0000-0000-0000CD5F0000}"/>
    <cellStyle name="Überschrift 3 104 2" xfId="20257" xr:uid="{00000000-0005-0000-0000-0000CE5F0000}"/>
    <cellStyle name="Überschrift 3 104_est. MEAT" xfId="26138" xr:uid="{00000000-0005-0000-0000-0000CF5F0000}"/>
    <cellStyle name="Überschrift 3 105" xfId="10843" xr:uid="{00000000-0005-0000-0000-0000D05F0000}"/>
    <cellStyle name="Überschrift 3 105 2" xfId="20258" xr:uid="{00000000-0005-0000-0000-0000D15F0000}"/>
    <cellStyle name="Überschrift 3 105_est. MEAT" xfId="26139" xr:uid="{00000000-0005-0000-0000-0000D25F0000}"/>
    <cellStyle name="Überschrift 3 106" xfId="10844" xr:uid="{00000000-0005-0000-0000-0000D35F0000}"/>
    <cellStyle name="Überschrift 3 106 2" xfId="20259" xr:uid="{00000000-0005-0000-0000-0000D45F0000}"/>
    <cellStyle name="Überschrift 3 106_est. MEAT" xfId="26140" xr:uid="{00000000-0005-0000-0000-0000D55F0000}"/>
    <cellStyle name="Überschrift 3 107" xfId="10845" xr:uid="{00000000-0005-0000-0000-0000D65F0000}"/>
    <cellStyle name="Überschrift 3 107 2" xfId="20260" xr:uid="{00000000-0005-0000-0000-0000D75F0000}"/>
    <cellStyle name="Überschrift 3 107_est. MEAT" xfId="26141" xr:uid="{00000000-0005-0000-0000-0000D85F0000}"/>
    <cellStyle name="Überschrift 3 108" xfId="10846" xr:uid="{00000000-0005-0000-0000-0000D95F0000}"/>
    <cellStyle name="Überschrift 3 108 2" xfId="20261" xr:uid="{00000000-0005-0000-0000-0000DA5F0000}"/>
    <cellStyle name="Überschrift 3 108_est. MEAT" xfId="26142" xr:uid="{00000000-0005-0000-0000-0000DB5F0000}"/>
    <cellStyle name="Überschrift 3 109" xfId="10847" xr:uid="{00000000-0005-0000-0000-0000DC5F0000}"/>
    <cellStyle name="Überschrift 3 109 2" xfId="20262" xr:uid="{00000000-0005-0000-0000-0000DD5F0000}"/>
    <cellStyle name="Überschrift 3 109_est. MEAT" xfId="26143" xr:uid="{00000000-0005-0000-0000-0000DE5F0000}"/>
    <cellStyle name="Überschrift 3 11" xfId="10848" xr:uid="{00000000-0005-0000-0000-0000DF5F0000}"/>
    <cellStyle name="Überschrift 3 11 2" xfId="10849" xr:uid="{00000000-0005-0000-0000-0000E05F0000}"/>
    <cellStyle name="Überschrift 3 11 2 2" xfId="20264" xr:uid="{00000000-0005-0000-0000-0000E15F0000}"/>
    <cellStyle name="Überschrift 3 11 2_est. MEAT" xfId="26144" xr:uid="{00000000-0005-0000-0000-0000E25F0000}"/>
    <cellStyle name="Überschrift 3 11 3" xfId="20263" xr:uid="{00000000-0005-0000-0000-0000E35F0000}"/>
    <cellStyle name="Überschrift 3 11_2012-2019" xfId="13399" xr:uid="{00000000-0005-0000-0000-0000E45F0000}"/>
    <cellStyle name="Überschrift 3 110" xfId="10850" xr:uid="{00000000-0005-0000-0000-0000E55F0000}"/>
    <cellStyle name="Überschrift 3 110 2" xfId="20265" xr:uid="{00000000-0005-0000-0000-0000E65F0000}"/>
    <cellStyle name="Überschrift 3 110_est. MEAT" xfId="26145" xr:uid="{00000000-0005-0000-0000-0000E75F0000}"/>
    <cellStyle name="Überschrift 3 111" xfId="10851" xr:uid="{00000000-0005-0000-0000-0000E85F0000}"/>
    <cellStyle name="Überschrift 3 111 2" xfId="20266" xr:uid="{00000000-0005-0000-0000-0000E95F0000}"/>
    <cellStyle name="Überschrift 3 111_est. MEAT" xfId="26146" xr:uid="{00000000-0005-0000-0000-0000EA5F0000}"/>
    <cellStyle name="Überschrift 3 112" xfId="10852" xr:uid="{00000000-0005-0000-0000-0000EB5F0000}"/>
    <cellStyle name="Überschrift 3 112 2" xfId="20267" xr:uid="{00000000-0005-0000-0000-0000EC5F0000}"/>
    <cellStyle name="Überschrift 3 112_est. MEAT" xfId="26147" xr:uid="{00000000-0005-0000-0000-0000ED5F0000}"/>
    <cellStyle name="Überschrift 3 113" xfId="10853" xr:uid="{00000000-0005-0000-0000-0000EE5F0000}"/>
    <cellStyle name="Überschrift 3 113 2" xfId="20268" xr:uid="{00000000-0005-0000-0000-0000EF5F0000}"/>
    <cellStyle name="Überschrift 3 113_est. MEAT" xfId="26148" xr:uid="{00000000-0005-0000-0000-0000F05F0000}"/>
    <cellStyle name="Überschrift 3 114" xfId="10854" xr:uid="{00000000-0005-0000-0000-0000F15F0000}"/>
    <cellStyle name="Überschrift 3 114 2" xfId="20269" xr:uid="{00000000-0005-0000-0000-0000F25F0000}"/>
    <cellStyle name="Überschrift 3 114_est. MEAT" xfId="26149" xr:uid="{00000000-0005-0000-0000-0000F35F0000}"/>
    <cellStyle name="Überschrift 3 115" xfId="10855" xr:uid="{00000000-0005-0000-0000-0000F45F0000}"/>
    <cellStyle name="Überschrift 3 115 2" xfId="20270" xr:uid="{00000000-0005-0000-0000-0000F55F0000}"/>
    <cellStyle name="Überschrift 3 115_est. MEAT" xfId="26150" xr:uid="{00000000-0005-0000-0000-0000F65F0000}"/>
    <cellStyle name="Überschrift 3 116" xfId="10856" xr:uid="{00000000-0005-0000-0000-0000F75F0000}"/>
    <cellStyle name="Überschrift 3 116 2" xfId="20271" xr:uid="{00000000-0005-0000-0000-0000F85F0000}"/>
    <cellStyle name="Überschrift 3 116_est. MEAT" xfId="26151" xr:uid="{00000000-0005-0000-0000-0000F95F0000}"/>
    <cellStyle name="Überschrift 3 117" xfId="10857" xr:uid="{00000000-0005-0000-0000-0000FA5F0000}"/>
    <cellStyle name="Überschrift 3 117 2" xfId="20272" xr:uid="{00000000-0005-0000-0000-0000FB5F0000}"/>
    <cellStyle name="Überschrift 3 117_est. MEAT" xfId="26152" xr:uid="{00000000-0005-0000-0000-0000FC5F0000}"/>
    <cellStyle name="Überschrift 3 118" xfId="10858" xr:uid="{00000000-0005-0000-0000-0000FD5F0000}"/>
    <cellStyle name="Überschrift 3 118 2" xfId="20273" xr:uid="{00000000-0005-0000-0000-0000FE5F0000}"/>
    <cellStyle name="Überschrift 3 118_est. MEAT" xfId="26153" xr:uid="{00000000-0005-0000-0000-0000FF5F0000}"/>
    <cellStyle name="Überschrift 3 119" xfId="10859" xr:uid="{00000000-0005-0000-0000-000000600000}"/>
    <cellStyle name="Überschrift 3 119 2" xfId="20274" xr:uid="{00000000-0005-0000-0000-000001600000}"/>
    <cellStyle name="Überschrift 3 119_est. MEAT" xfId="26154" xr:uid="{00000000-0005-0000-0000-000002600000}"/>
    <cellStyle name="Überschrift 3 12" xfId="10860" xr:uid="{00000000-0005-0000-0000-000003600000}"/>
    <cellStyle name="Überschrift 3 12 2" xfId="10861" xr:uid="{00000000-0005-0000-0000-000004600000}"/>
    <cellStyle name="Überschrift 3 12 2 2" xfId="20276" xr:uid="{00000000-0005-0000-0000-000005600000}"/>
    <cellStyle name="Überschrift 3 12 2_est. MEAT" xfId="26155" xr:uid="{00000000-0005-0000-0000-000006600000}"/>
    <cellStyle name="Überschrift 3 12 3" xfId="20275" xr:uid="{00000000-0005-0000-0000-000007600000}"/>
    <cellStyle name="Überschrift 3 12_2012-2019" xfId="13400" xr:uid="{00000000-0005-0000-0000-000008600000}"/>
    <cellStyle name="Überschrift 3 120" xfId="10862" xr:uid="{00000000-0005-0000-0000-000009600000}"/>
    <cellStyle name="Überschrift 3 120 2" xfId="20277" xr:uid="{00000000-0005-0000-0000-00000A600000}"/>
    <cellStyle name="Überschrift 3 120_est. MEAT" xfId="26156" xr:uid="{00000000-0005-0000-0000-00000B600000}"/>
    <cellStyle name="Überschrift 3 121" xfId="10863" xr:uid="{00000000-0005-0000-0000-00000C600000}"/>
    <cellStyle name="Überschrift 3 121 2" xfId="20278" xr:uid="{00000000-0005-0000-0000-00000D600000}"/>
    <cellStyle name="Überschrift 3 121_est. MEAT" xfId="26157" xr:uid="{00000000-0005-0000-0000-00000E600000}"/>
    <cellStyle name="Überschrift 3 122" xfId="10864" xr:uid="{00000000-0005-0000-0000-00000F600000}"/>
    <cellStyle name="Überschrift 3 122 2" xfId="20279" xr:uid="{00000000-0005-0000-0000-000010600000}"/>
    <cellStyle name="Überschrift 3 122_est. MEAT" xfId="26158" xr:uid="{00000000-0005-0000-0000-000011600000}"/>
    <cellStyle name="Überschrift 3 123" xfId="10865" xr:uid="{00000000-0005-0000-0000-000012600000}"/>
    <cellStyle name="Überschrift 3 123 2" xfId="20280" xr:uid="{00000000-0005-0000-0000-000013600000}"/>
    <cellStyle name="Überschrift 3 123_est. MEAT" xfId="26159" xr:uid="{00000000-0005-0000-0000-000014600000}"/>
    <cellStyle name="Überschrift 3 124" xfId="10866" xr:uid="{00000000-0005-0000-0000-000015600000}"/>
    <cellStyle name="Überschrift 3 124 2" xfId="20281" xr:uid="{00000000-0005-0000-0000-000016600000}"/>
    <cellStyle name="Überschrift 3 124_est. MEAT" xfId="26160" xr:uid="{00000000-0005-0000-0000-000017600000}"/>
    <cellStyle name="Überschrift 3 125" xfId="10867" xr:uid="{00000000-0005-0000-0000-000018600000}"/>
    <cellStyle name="Überschrift 3 125 2" xfId="20282" xr:uid="{00000000-0005-0000-0000-000019600000}"/>
    <cellStyle name="Überschrift 3 125_est. MEAT" xfId="26161" xr:uid="{00000000-0005-0000-0000-00001A600000}"/>
    <cellStyle name="Überschrift 3 126" xfId="10868" xr:uid="{00000000-0005-0000-0000-00001B600000}"/>
    <cellStyle name="Überschrift 3 126 2" xfId="20283" xr:uid="{00000000-0005-0000-0000-00001C600000}"/>
    <cellStyle name="Überschrift 3 126_est. MEAT" xfId="26162" xr:uid="{00000000-0005-0000-0000-00001D600000}"/>
    <cellStyle name="Überschrift 3 127" xfId="10869" xr:uid="{00000000-0005-0000-0000-00001E600000}"/>
    <cellStyle name="Überschrift 3 127 2" xfId="20284" xr:uid="{00000000-0005-0000-0000-00001F600000}"/>
    <cellStyle name="Überschrift 3 127_est. MEAT" xfId="26163" xr:uid="{00000000-0005-0000-0000-000020600000}"/>
    <cellStyle name="Überschrift 3 128" xfId="10870" xr:uid="{00000000-0005-0000-0000-000021600000}"/>
    <cellStyle name="Überschrift 3 128 2" xfId="20285" xr:uid="{00000000-0005-0000-0000-000022600000}"/>
    <cellStyle name="Überschrift 3 128_est. MEAT" xfId="26164" xr:uid="{00000000-0005-0000-0000-000023600000}"/>
    <cellStyle name="Überschrift 3 129" xfId="10871" xr:uid="{00000000-0005-0000-0000-000024600000}"/>
    <cellStyle name="Überschrift 3 129 2" xfId="20286" xr:uid="{00000000-0005-0000-0000-000025600000}"/>
    <cellStyle name="Überschrift 3 129_est. MEAT" xfId="26165" xr:uid="{00000000-0005-0000-0000-000026600000}"/>
    <cellStyle name="Überschrift 3 13" xfId="10872" xr:uid="{00000000-0005-0000-0000-000027600000}"/>
    <cellStyle name="Überschrift 3 13 2" xfId="10873" xr:uid="{00000000-0005-0000-0000-000028600000}"/>
    <cellStyle name="Überschrift 3 13 2 2" xfId="20288" xr:uid="{00000000-0005-0000-0000-000029600000}"/>
    <cellStyle name="Überschrift 3 13 2_est. MEAT" xfId="26166" xr:uid="{00000000-0005-0000-0000-00002A600000}"/>
    <cellStyle name="Überschrift 3 13 3" xfId="20287" xr:uid="{00000000-0005-0000-0000-00002B600000}"/>
    <cellStyle name="Überschrift 3 13_2012-2019" xfId="13401" xr:uid="{00000000-0005-0000-0000-00002C600000}"/>
    <cellStyle name="Überschrift 3 130" xfId="10874" xr:uid="{00000000-0005-0000-0000-00002D600000}"/>
    <cellStyle name="Überschrift 3 130 2" xfId="20289" xr:uid="{00000000-0005-0000-0000-00002E600000}"/>
    <cellStyle name="Überschrift 3 130_est. MEAT" xfId="26167" xr:uid="{00000000-0005-0000-0000-00002F600000}"/>
    <cellStyle name="Überschrift 3 131" xfId="10875" xr:uid="{00000000-0005-0000-0000-000030600000}"/>
    <cellStyle name="Überschrift 3 131 2" xfId="20290" xr:uid="{00000000-0005-0000-0000-000031600000}"/>
    <cellStyle name="Überschrift 3 131_est. MEAT" xfId="26168" xr:uid="{00000000-0005-0000-0000-000032600000}"/>
    <cellStyle name="Überschrift 3 132" xfId="10876" xr:uid="{00000000-0005-0000-0000-000033600000}"/>
    <cellStyle name="Überschrift 3 132 2" xfId="20291" xr:uid="{00000000-0005-0000-0000-000034600000}"/>
    <cellStyle name="Überschrift 3 132_est. MEAT" xfId="26169" xr:uid="{00000000-0005-0000-0000-000035600000}"/>
    <cellStyle name="Überschrift 3 133" xfId="10877" xr:uid="{00000000-0005-0000-0000-000036600000}"/>
    <cellStyle name="Überschrift 3 133 2" xfId="20292" xr:uid="{00000000-0005-0000-0000-000037600000}"/>
    <cellStyle name="Überschrift 3 133_est. MEAT" xfId="26170" xr:uid="{00000000-0005-0000-0000-000038600000}"/>
    <cellStyle name="Überschrift 3 134" xfId="10878" xr:uid="{00000000-0005-0000-0000-000039600000}"/>
    <cellStyle name="Überschrift 3 134 2" xfId="20293" xr:uid="{00000000-0005-0000-0000-00003A600000}"/>
    <cellStyle name="Überschrift 3 134_est. MEAT" xfId="26171" xr:uid="{00000000-0005-0000-0000-00003B600000}"/>
    <cellStyle name="Überschrift 3 135" xfId="10879" xr:uid="{00000000-0005-0000-0000-00003C600000}"/>
    <cellStyle name="Überschrift 3 135 2" xfId="20294" xr:uid="{00000000-0005-0000-0000-00003D600000}"/>
    <cellStyle name="Überschrift 3 135_est. MEAT" xfId="26172" xr:uid="{00000000-0005-0000-0000-00003E600000}"/>
    <cellStyle name="Überschrift 3 136" xfId="10880" xr:uid="{00000000-0005-0000-0000-00003F600000}"/>
    <cellStyle name="Überschrift 3 136 2" xfId="20295" xr:uid="{00000000-0005-0000-0000-000040600000}"/>
    <cellStyle name="Überschrift 3 136_est. MEAT" xfId="26173" xr:uid="{00000000-0005-0000-0000-000041600000}"/>
    <cellStyle name="Überschrift 3 137" xfId="10881" xr:uid="{00000000-0005-0000-0000-000042600000}"/>
    <cellStyle name="Überschrift 3 137 2" xfId="20296" xr:uid="{00000000-0005-0000-0000-000043600000}"/>
    <cellStyle name="Überschrift 3 137_est. MEAT" xfId="26174" xr:uid="{00000000-0005-0000-0000-000044600000}"/>
    <cellStyle name="Überschrift 3 138" xfId="10882" xr:uid="{00000000-0005-0000-0000-000045600000}"/>
    <cellStyle name="Überschrift 3 138 2" xfId="20297" xr:uid="{00000000-0005-0000-0000-000046600000}"/>
    <cellStyle name="Überschrift 3 138_est. MEAT" xfId="26175" xr:uid="{00000000-0005-0000-0000-000047600000}"/>
    <cellStyle name="Überschrift 3 139" xfId="10883" xr:uid="{00000000-0005-0000-0000-000048600000}"/>
    <cellStyle name="Überschrift 3 139 2" xfId="20298" xr:uid="{00000000-0005-0000-0000-000049600000}"/>
    <cellStyle name="Überschrift 3 139_est. MEAT" xfId="26176" xr:uid="{00000000-0005-0000-0000-00004A600000}"/>
    <cellStyle name="Überschrift 3 14" xfId="10884" xr:uid="{00000000-0005-0000-0000-00004B600000}"/>
    <cellStyle name="Überschrift 3 14 2" xfId="10885" xr:uid="{00000000-0005-0000-0000-00004C600000}"/>
    <cellStyle name="Überschrift 3 14 2 2" xfId="20300" xr:uid="{00000000-0005-0000-0000-00004D600000}"/>
    <cellStyle name="Überschrift 3 14 2_est. MEAT" xfId="26177" xr:uid="{00000000-0005-0000-0000-00004E600000}"/>
    <cellStyle name="Überschrift 3 14 3" xfId="20299" xr:uid="{00000000-0005-0000-0000-00004F600000}"/>
    <cellStyle name="Überschrift 3 14_2012-2019" xfId="13402" xr:uid="{00000000-0005-0000-0000-000050600000}"/>
    <cellStyle name="Überschrift 3 140" xfId="10886" xr:uid="{00000000-0005-0000-0000-000051600000}"/>
    <cellStyle name="Überschrift 3 140 2" xfId="20301" xr:uid="{00000000-0005-0000-0000-000052600000}"/>
    <cellStyle name="Überschrift 3 140_est. MEAT" xfId="26178" xr:uid="{00000000-0005-0000-0000-000053600000}"/>
    <cellStyle name="Überschrift 3 141" xfId="10887" xr:uid="{00000000-0005-0000-0000-000054600000}"/>
    <cellStyle name="Überschrift 3 141 2" xfId="20302" xr:uid="{00000000-0005-0000-0000-000055600000}"/>
    <cellStyle name="Überschrift 3 141_est. MEAT" xfId="26179" xr:uid="{00000000-0005-0000-0000-000056600000}"/>
    <cellStyle name="Überschrift 3 142" xfId="10888" xr:uid="{00000000-0005-0000-0000-000057600000}"/>
    <cellStyle name="Überschrift 3 142 2" xfId="20303" xr:uid="{00000000-0005-0000-0000-000058600000}"/>
    <cellStyle name="Überschrift 3 142_est. MEAT" xfId="26180" xr:uid="{00000000-0005-0000-0000-000059600000}"/>
    <cellStyle name="Überschrift 3 143" xfId="10889" xr:uid="{00000000-0005-0000-0000-00005A600000}"/>
    <cellStyle name="Überschrift 3 143 2" xfId="20304" xr:uid="{00000000-0005-0000-0000-00005B600000}"/>
    <cellStyle name="Überschrift 3 143_est. MEAT" xfId="26181" xr:uid="{00000000-0005-0000-0000-00005C600000}"/>
    <cellStyle name="Überschrift 3 144" xfId="10890" xr:uid="{00000000-0005-0000-0000-00005D600000}"/>
    <cellStyle name="Überschrift 3 144 2" xfId="20305" xr:uid="{00000000-0005-0000-0000-00005E600000}"/>
    <cellStyle name="Überschrift 3 144_est. MEAT" xfId="26182" xr:uid="{00000000-0005-0000-0000-00005F600000}"/>
    <cellStyle name="Überschrift 3 145" xfId="10891" xr:uid="{00000000-0005-0000-0000-000060600000}"/>
    <cellStyle name="Überschrift 3 145 2" xfId="20306" xr:uid="{00000000-0005-0000-0000-000061600000}"/>
    <cellStyle name="Überschrift 3 145_est. MEAT" xfId="26183" xr:uid="{00000000-0005-0000-0000-000062600000}"/>
    <cellStyle name="Überschrift 3 146" xfId="10892" xr:uid="{00000000-0005-0000-0000-000063600000}"/>
    <cellStyle name="Überschrift 3 146 2" xfId="20307" xr:uid="{00000000-0005-0000-0000-000064600000}"/>
    <cellStyle name="Überschrift 3 146_est. MEAT" xfId="26184" xr:uid="{00000000-0005-0000-0000-000065600000}"/>
    <cellStyle name="Überschrift 3 147" xfId="10893" xr:uid="{00000000-0005-0000-0000-000066600000}"/>
    <cellStyle name="Überschrift 3 147 2" xfId="20308" xr:uid="{00000000-0005-0000-0000-000067600000}"/>
    <cellStyle name="Überschrift 3 147_est. MEAT" xfId="26185" xr:uid="{00000000-0005-0000-0000-000068600000}"/>
    <cellStyle name="Überschrift 3 148" xfId="10894" xr:uid="{00000000-0005-0000-0000-000069600000}"/>
    <cellStyle name="Überschrift 3 148 2" xfId="20309" xr:uid="{00000000-0005-0000-0000-00006A600000}"/>
    <cellStyle name="Überschrift 3 148_est. MEAT" xfId="26186" xr:uid="{00000000-0005-0000-0000-00006B600000}"/>
    <cellStyle name="Überschrift 3 149" xfId="10895" xr:uid="{00000000-0005-0000-0000-00006C600000}"/>
    <cellStyle name="Überschrift 3 149 2" xfId="20310" xr:uid="{00000000-0005-0000-0000-00006D600000}"/>
    <cellStyle name="Überschrift 3 149_est. MEAT" xfId="26187" xr:uid="{00000000-0005-0000-0000-00006E600000}"/>
    <cellStyle name="Überschrift 3 15" xfId="10896" xr:uid="{00000000-0005-0000-0000-00006F600000}"/>
    <cellStyle name="Überschrift 3 15 2" xfId="20311" xr:uid="{00000000-0005-0000-0000-000070600000}"/>
    <cellStyle name="Überschrift 3 15_est. MEAT" xfId="26188" xr:uid="{00000000-0005-0000-0000-000071600000}"/>
    <cellStyle name="Überschrift 3 150" xfId="10897" xr:uid="{00000000-0005-0000-0000-000072600000}"/>
    <cellStyle name="Überschrift 3 150 2" xfId="20312" xr:uid="{00000000-0005-0000-0000-000073600000}"/>
    <cellStyle name="Überschrift 3 150_est. MEAT" xfId="26189" xr:uid="{00000000-0005-0000-0000-000074600000}"/>
    <cellStyle name="Überschrift 3 151" xfId="10898" xr:uid="{00000000-0005-0000-0000-000075600000}"/>
    <cellStyle name="Überschrift 3 151 2" xfId="20313" xr:uid="{00000000-0005-0000-0000-000076600000}"/>
    <cellStyle name="Überschrift 3 151_est. MEAT" xfId="26190" xr:uid="{00000000-0005-0000-0000-000077600000}"/>
    <cellStyle name="Überschrift 3 152" xfId="20250" xr:uid="{00000000-0005-0000-0000-000078600000}"/>
    <cellStyle name="Überschrift 3 16" xfId="10899" xr:uid="{00000000-0005-0000-0000-000079600000}"/>
    <cellStyle name="Überschrift 3 16 2" xfId="20314" xr:uid="{00000000-0005-0000-0000-00007A600000}"/>
    <cellStyle name="Überschrift 3 16_est. MEAT" xfId="26191" xr:uid="{00000000-0005-0000-0000-00007B600000}"/>
    <cellStyle name="Überschrift 3 17" xfId="10900" xr:uid="{00000000-0005-0000-0000-00007C600000}"/>
    <cellStyle name="Überschrift 3 17 2" xfId="20315" xr:uid="{00000000-0005-0000-0000-00007D600000}"/>
    <cellStyle name="Überschrift 3 17_est. MEAT" xfId="26192" xr:uid="{00000000-0005-0000-0000-00007E600000}"/>
    <cellStyle name="Überschrift 3 18" xfId="10901" xr:uid="{00000000-0005-0000-0000-00007F600000}"/>
    <cellStyle name="Überschrift 3 18 2" xfId="20316" xr:uid="{00000000-0005-0000-0000-000080600000}"/>
    <cellStyle name="Überschrift 3 18_est. MEAT" xfId="26193" xr:uid="{00000000-0005-0000-0000-000081600000}"/>
    <cellStyle name="Überschrift 3 19" xfId="10902" xr:uid="{00000000-0005-0000-0000-000082600000}"/>
    <cellStyle name="Überschrift 3 19 2" xfId="20317" xr:uid="{00000000-0005-0000-0000-000083600000}"/>
    <cellStyle name="Überschrift 3 19_est. MEAT" xfId="26194" xr:uid="{00000000-0005-0000-0000-000084600000}"/>
    <cellStyle name="Überschrift 3 2" xfId="10903" xr:uid="{00000000-0005-0000-0000-000085600000}"/>
    <cellStyle name="Überschrift 3 2 2" xfId="10904" xr:uid="{00000000-0005-0000-0000-000086600000}"/>
    <cellStyle name="Überschrift 3 2 2 2" xfId="20319" xr:uid="{00000000-0005-0000-0000-000087600000}"/>
    <cellStyle name="Überschrift 3 2 2_est. MEAT" xfId="26195" xr:uid="{00000000-0005-0000-0000-000088600000}"/>
    <cellStyle name="Überschrift 3 2 3" xfId="20318" xr:uid="{00000000-0005-0000-0000-000089600000}"/>
    <cellStyle name="Überschrift 3 2_2012-2019" xfId="13403" xr:uid="{00000000-0005-0000-0000-00008A600000}"/>
    <cellStyle name="Überschrift 3 20" xfId="10905" xr:uid="{00000000-0005-0000-0000-00008B600000}"/>
    <cellStyle name="Überschrift 3 20 2" xfId="20320" xr:uid="{00000000-0005-0000-0000-00008C600000}"/>
    <cellStyle name="Überschrift 3 20_est. MEAT" xfId="26196" xr:uid="{00000000-0005-0000-0000-00008D600000}"/>
    <cellStyle name="Überschrift 3 21" xfId="10906" xr:uid="{00000000-0005-0000-0000-00008E600000}"/>
    <cellStyle name="Überschrift 3 21 2" xfId="20321" xr:uid="{00000000-0005-0000-0000-00008F600000}"/>
    <cellStyle name="Überschrift 3 21_est. MEAT" xfId="26197" xr:uid="{00000000-0005-0000-0000-000090600000}"/>
    <cellStyle name="Überschrift 3 22" xfId="10907" xr:uid="{00000000-0005-0000-0000-000091600000}"/>
    <cellStyle name="Überschrift 3 22 2" xfId="20322" xr:uid="{00000000-0005-0000-0000-000092600000}"/>
    <cellStyle name="Überschrift 3 22_est. MEAT" xfId="26198" xr:uid="{00000000-0005-0000-0000-000093600000}"/>
    <cellStyle name="Überschrift 3 23" xfId="10908" xr:uid="{00000000-0005-0000-0000-000094600000}"/>
    <cellStyle name="Überschrift 3 23 2" xfId="20323" xr:uid="{00000000-0005-0000-0000-000095600000}"/>
    <cellStyle name="Überschrift 3 23_est. MEAT" xfId="26199" xr:uid="{00000000-0005-0000-0000-000096600000}"/>
    <cellStyle name="Überschrift 3 24" xfId="10909" xr:uid="{00000000-0005-0000-0000-000097600000}"/>
    <cellStyle name="Überschrift 3 24 2" xfId="20324" xr:uid="{00000000-0005-0000-0000-000098600000}"/>
    <cellStyle name="Überschrift 3 24_est. MEAT" xfId="26200" xr:uid="{00000000-0005-0000-0000-000099600000}"/>
    <cellStyle name="Überschrift 3 25" xfId="10910" xr:uid="{00000000-0005-0000-0000-00009A600000}"/>
    <cellStyle name="Überschrift 3 25 2" xfId="20325" xr:uid="{00000000-0005-0000-0000-00009B600000}"/>
    <cellStyle name="Überschrift 3 25_est. MEAT" xfId="26201" xr:uid="{00000000-0005-0000-0000-00009C600000}"/>
    <cellStyle name="Überschrift 3 26" xfId="10911" xr:uid="{00000000-0005-0000-0000-00009D600000}"/>
    <cellStyle name="Überschrift 3 26 2" xfId="20326" xr:uid="{00000000-0005-0000-0000-00009E600000}"/>
    <cellStyle name="Überschrift 3 26_est. MEAT" xfId="26202" xr:uid="{00000000-0005-0000-0000-00009F600000}"/>
    <cellStyle name="Überschrift 3 27" xfId="10912" xr:uid="{00000000-0005-0000-0000-0000A0600000}"/>
    <cellStyle name="Überschrift 3 27 2" xfId="20327" xr:uid="{00000000-0005-0000-0000-0000A1600000}"/>
    <cellStyle name="Überschrift 3 27_est. MEAT" xfId="26203" xr:uid="{00000000-0005-0000-0000-0000A2600000}"/>
    <cellStyle name="Überschrift 3 28" xfId="10913" xr:uid="{00000000-0005-0000-0000-0000A3600000}"/>
    <cellStyle name="Überschrift 3 28 2" xfId="20328" xr:uid="{00000000-0005-0000-0000-0000A4600000}"/>
    <cellStyle name="Überschrift 3 28_est. MEAT" xfId="26204" xr:uid="{00000000-0005-0000-0000-0000A5600000}"/>
    <cellStyle name="Überschrift 3 29" xfId="10914" xr:uid="{00000000-0005-0000-0000-0000A6600000}"/>
    <cellStyle name="Überschrift 3 29 2" xfId="20329" xr:uid="{00000000-0005-0000-0000-0000A7600000}"/>
    <cellStyle name="Überschrift 3 29_est. MEAT" xfId="26205" xr:uid="{00000000-0005-0000-0000-0000A8600000}"/>
    <cellStyle name="Überschrift 3 3" xfId="10915" xr:uid="{00000000-0005-0000-0000-0000A9600000}"/>
    <cellStyle name="Überschrift 3 3 2" xfId="10916" xr:uid="{00000000-0005-0000-0000-0000AA600000}"/>
    <cellStyle name="Überschrift 3 3 2 2" xfId="20331" xr:uid="{00000000-0005-0000-0000-0000AB600000}"/>
    <cellStyle name="Überschrift 3 3 2_est. MEAT" xfId="26206" xr:uid="{00000000-0005-0000-0000-0000AC600000}"/>
    <cellStyle name="Überschrift 3 3 3" xfId="20330" xr:uid="{00000000-0005-0000-0000-0000AD600000}"/>
    <cellStyle name="Überschrift 3 3_2012-2019" xfId="13404" xr:uid="{00000000-0005-0000-0000-0000AE600000}"/>
    <cellStyle name="Überschrift 3 30" xfId="10917" xr:uid="{00000000-0005-0000-0000-0000AF600000}"/>
    <cellStyle name="Überschrift 3 30 2" xfId="20332" xr:uid="{00000000-0005-0000-0000-0000B0600000}"/>
    <cellStyle name="Überschrift 3 30_est. MEAT" xfId="26207" xr:uid="{00000000-0005-0000-0000-0000B1600000}"/>
    <cellStyle name="Überschrift 3 31" xfId="10918" xr:uid="{00000000-0005-0000-0000-0000B2600000}"/>
    <cellStyle name="Überschrift 3 31 2" xfId="20333" xr:uid="{00000000-0005-0000-0000-0000B3600000}"/>
    <cellStyle name="Überschrift 3 31_est. MEAT" xfId="26208" xr:uid="{00000000-0005-0000-0000-0000B4600000}"/>
    <cellStyle name="Überschrift 3 32" xfId="10919" xr:uid="{00000000-0005-0000-0000-0000B5600000}"/>
    <cellStyle name="Überschrift 3 32 2" xfId="20334" xr:uid="{00000000-0005-0000-0000-0000B6600000}"/>
    <cellStyle name="Überschrift 3 32_est. MEAT" xfId="26209" xr:uid="{00000000-0005-0000-0000-0000B7600000}"/>
    <cellStyle name="Überschrift 3 33" xfId="10920" xr:uid="{00000000-0005-0000-0000-0000B8600000}"/>
    <cellStyle name="Überschrift 3 33 2" xfId="20335" xr:uid="{00000000-0005-0000-0000-0000B9600000}"/>
    <cellStyle name="Überschrift 3 33_est. MEAT" xfId="26210" xr:uid="{00000000-0005-0000-0000-0000BA600000}"/>
    <cellStyle name="Überschrift 3 34" xfId="10921" xr:uid="{00000000-0005-0000-0000-0000BB600000}"/>
    <cellStyle name="Überschrift 3 34 2" xfId="20336" xr:uid="{00000000-0005-0000-0000-0000BC600000}"/>
    <cellStyle name="Überschrift 3 34_est. MEAT" xfId="26211" xr:uid="{00000000-0005-0000-0000-0000BD600000}"/>
    <cellStyle name="Überschrift 3 35" xfId="10922" xr:uid="{00000000-0005-0000-0000-0000BE600000}"/>
    <cellStyle name="Überschrift 3 35 2" xfId="20337" xr:uid="{00000000-0005-0000-0000-0000BF600000}"/>
    <cellStyle name="Überschrift 3 35_est. MEAT" xfId="26212" xr:uid="{00000000-0005-0000-0000-0000C0600000}"/>
    <cellStyle name="Überschrift 3 36" xfId="10923" xr:uid="{00000000-0005-0000-0000-0000C1600000}"/>
    <cellStyle name="Überschrift 3 36 2" xfId="20338" xr:uid="{00000000-0005-0000-0000-0000C2600000}"/>
    <cellStyle name="Überschrift 3 36_est. MEAT" xfId="26213" xr:uid="{00000000-0005-0000-0000-0000C3600000}"/>
    <cellStyle name="Überschrift 3 37" xfId="10924" xr:uid="{00000000-0005-0000-0000-0000C4600000}"/>
    <cellStyle name="Überschrift 3 37 2" xfId="20339" xr:uid="{00000000-0005-0000-0000-0000C5600000}"/>
    <cellStyle name="Überschrift 3 37_est. MEAT" xfId="26214" xr:uid="{00000000-0005-0000-0000-0000C6600000}"/>
    <cellStyle name="Überschrift 3 38" xfId="10925" xr:uid="{00000000-0005-0000-0000-0000C7600000}"/>
    <cellStyle name="Überschrift 3 38 2" xfId="20340" xr:uid="{00000000-0005-0000-0000-0000C8600000}"/>
    <cellStyle name="Überschrift 3 38_est. MEAT" xfId="26215" xr:uid="{00000000-0005-0000-0000-0000C9600000}"/>
    <cellStyle name="Überschrift 3 39" xfId="10926" xr:uid="{00000000-0005-0000-0000-0000CA600000}"/>
    <cellStyle name="Überschrift 3 39 2" xfId="20341" xr:uid="{00000000-0005-0000-0000-0000CB600000}"/>
    <cellStyle name="Überschrift 3 39_est. MEAT" xfId="26216" xr:uid="{00000000-0005-0000-0000-0000CC600000}"/>
    <cellStyle name="Überschrift 3 4" xfId="10927" xr:uid="{00000000-0005-0000-0000-0000CD600000}"/>
    <cellStyle name="Überschrift 3 4 2" xfId="10928" xr:uid="{00000000-0005-0000-0000-0000CE600000}"/>
    <cellStyle name="Überschrift 3 4 2 2" xfId="20343" xr:uid="{00000000-0005-0000-0000-0000CF600000}"/>
    <cellStyle name="Überschrift 3 4 2_est. MEAT" xfId="26217" xr:uid="{00000000-0005-0000-0000-0000D0600000}"/>
    <cellStyle name="Überschrift 3 4 3" xfId="20342" xr:uid="{00000000-0005-0000-0000-0000D1600000}"/>
    <cellStyle name="Überschrift 3 4_2012-2019" xfId="13405" xr:uid="{00000000-0005-0000-0000-0000D2600000}"/>
    <cellStyle name="Überschrift 3 40" xfId="10929" xr:uid="{00000000-0005-0000-0000-0000D3600000}"/>
    <cellStyle name="Überschrift 3 40 2" xfId="20344" xr:uid="{00000000-0005-0000-0000-0000D4600000}"/>
    <cellStyle name="Überschrift 3 40_est. MEAT" xfId="26218" xr:uid="{00000000-0005-0000-0000-0000D5600000}"/>
    <cellStyle name="Überschrift 3 41" xfId="10930" xr:uid="{00000000-0005-0000-0000-0000D6600000}"/>
    <cellStyle name="Überschrift 3 41 2" xfId="20345" xr:uid="{00000000-0005-0000-0000-0000D7600000}"/>
    <cellStyle name="Überschrift 3 41_est. MEAT" xfId="26219" xr:uid="{00000000-0005-0000-0000-0000D8600000}"/>
    <cellStyle name="Überschrift 3 42" xfId="10931" xr:uid="{00000000-0005-0000-0000-0000D9600000}"/>
    <cellStyle name="Überschrift 3 42 2" xfId="20346" xr:uid="{00000000-0005-0000-0000-0000DA600000}"/>
    <cellStyle name="Überschrift 3 42_est. MEAT" xfId="26220" xr:uid="{00000000-0005-0000-0000-0000DB600000}"/>
    <cellStyle name="Überschrift 3 43" xfId="10932" xr:uid="{00000000-0005-0000-0000-0000DC600000}"/>
    <cellStyle name="Überschrift 3 43 2" xfId="20347" xr:uid="{00000000-0005-0000-0000-0000DD600000}"/>
    <cellStyle name="Überschrift 3 43_est. MEAT" xfId="26221" xr:uid="{00000000-0005-0000-0000-0000DE600000}"/>
    <cellStyle name="Überschrift 3 44" xfId="10933" xr:uid="{00000000-0005-0000-0000-0000DF600000}"/>
    <cellStyle name="Überschrift 3 44 2" xfId="20348" xr:uid="{00000000-0005-0000-0000-0000E0600000}"/>
    <cellStyle name="Überschrift 3 44_est. MEAT" xfId="26222" xr:uid="{00000000-0005-0000-0000-0000E1600000}"/>
    <cellStyle name="Überschrift 3 45" xfId="10934" xr:uid="{00000000-0005-0000-0000-0000E2600000}"/>
    <cellStyle name="Überschrift 3 45 2" xfId="20349" xr:uid="{00000000-0005-0000-0000-0000E3600000}"/>
    <cellStyle name="Überschrift 3 45_est. MEAT" xfId="26223" xr:uid="{00000000-0005-0000-0000-0000E4600000}"/>
    <cellStyle name="Überschrift 3 46" xfId="10935" xr:uid="{00000000-0005-0000-0000-0000E5600000}"/>
    <cellStyle name="Überschrift 3 46 2" xfId="20350" xr:uid="{00000000-0005-0000-0000-0000E6600000}"/>
    <cellStyle name="Überschrift 3 46_est. MEAT" xfId="26224" xr:uid="{00000000-0005-0000-0000-0000E7600000}"/>
    <cellStyle name="Überschrift 3 47" xfId="10936" xr:uid="{00000000-0005-0000-0000-0000E8600000}"/>
    <cellStyle name="Überschrift 3 47 2" xfId="20351" xr:uid="{00000000-0005-0000-0000-0000E9600000}"/>
    <cellStyle name="Überschrift 3 47_est. MEAT" xfId="26225" xr:uid="{00000000-0005-0000-0000-0000EA600000}"/>
    <cellStyle name="Überschrift 3 48" xfId="10937" xr:uid="{00000000-0005-0000-0000-0000EB600000}"/>
    <cellStyle name="Überschrift 3 48 2" xfId="20352" xr:uid="{00000000-0005-0000-0000-0000EC600000}"/>
    <cellStyle name="Überschrift 3 48_est. MEAT" xfId="26226" xr:uid="{00000000-0005-0000-0000-0000ED600000}"/>
    <cellStyle name="Überschrift 3 49" xfId="10938" xr:uid="{00000000-0005-0000-0000-0000EE600000}"/>
    <cellStyle name="Überschrift 3 49 2" xfId="20353" xr:uid="{00000000-0005-0000-0000-0000EF600000}"/>
    <cellStyle name="Überschrift 3 49_est. MEAT" xfId="26227" xr:uid="{00000000-0005-0000-0000-0000F0600000}"/>
    <cellStyle name="Überschrift 3 5" xfId="10939" xr:uid="{00000000-0005-0000-0000-0000F1600000}"/>
    <cellStyle name="Überschrift 3 5 2" xfId="10940" xr:uid="{00000000-0005-0000-0000-0000F2600000}"/>
    <cellStyle name="Überschrift 3 5 2 2" xfId="20355" xr:uid="{00000000-0005-0000-0000-0000F3600000}"/>
    <cellStyle name="Überschrift 3 5 2_est. MEAT" xfId="26228" xr:uid="{00000000-0005-0000-0000-0000F4600000}"/>
    <cellStyle name="Überschrift 3 5 3" xfId="20354" xr:uid="{00000000-0005-0000-0000-0000F5600000}"/>
    <cellStyle name="Überschrift 3 5_2012-2019" xfId="13406" xr:uid="{00000000-0005-0000-0000-0000F6600000}"/>
    <cellStyle name="Überschrift 3 50" xfId="10941" xr:uid="{00000000-0005-0000-0000-0000F7600000}"/>
    <cellStyle name="Überschrift 3 50 2" xfId="20356" xr:uid="{00000000-0005-0000-0000-0000F8600000}"/>
    <cellStyle name="Überschrift 3 50_est. MEAT" xfId="26229" xr:uid="{00000000-0005-0000-0000-0000F9600000}"/>
    <cellStyle name="Überschrift 3 51" xfId="10942" xr:uid="{00000000-0005-0000-0000-0000FA600000}"/>
    <cellStyle name="Überschrift 3 51 2" xfId="20357" xr:uid="{00000000-0005-0000-0000-0000FB600000}"/>
    <cellStyle name="Überschrift 3 51_est. MEAT" xfId="26230" xr:uid="{00000000-0005-0000-0000-0000FC600000}"/>
    <cellStyle name="Überschrift 3 52" xfId="10943" xr:uid="{00000000-0005-0000-0000-0000FD600000}"/>
    <cellStyle name="Überschrift 3 52 2" xfId="20358" xr:uid="{00000000-0005-0000-0000-0000FE600000}"/>
    <cellStyle name="Überschrift 3 52_est. MEAT" xfId="26231" xr:uid="{00000000-0005-0000-0000-0000FF600000}"/>
    <cellStyle name="Überschrift 3 53" xfId="10944" xr:uid="{00000000-0005-0000-0000-000000610000}"/>
    <cellStyle name="Überschrift 3 53 2" xfId="20359" xr:uid="{00000000-0005-0000-0000-000001610000}"/>
    <cellStyle name="Überschrift 3 53_est. MEAT" xfId="26232" xr:uid="{00000000-0005-0000-0000-000002610000}"/>
    <cellStyle name="Überschrift 3 54" xfId="10945" xr:uid="{00000000-0005-0000-0000-000003610000}"/>
    <cellStyle name="Überschrift 3 54 2" xfId="20360" xr:uid="{00000000-0005-0000-0000-000004610000}"/>
    <cellStyle name="Überschrift 3 54_est. MEAT" xfId="26233" xr:uid="{00000000-0005-0000-0000-000005610000}"/>
    <cellStyle name="Überschrift 3 55" xfId="10946" xr:uid="{00000000-0005-0000-0000-000006610000}"/>
    <cellStyle name="Überschrift 3 55 2" xfId="20361" xr:uid="{00000000-0005-0000-0000-000007610000}"/>
    <cellStyle name="Überschrift 3 55_est. MEAT" xfId="26234" xr:uid="{00000000-0005-0000-0000-000008610000}"/>
    <cellStyle name="Überschrift 3 56" xfId="10947" xr:uid="{00000000-0005-0000-0000-000009610000}"/>
    <cellStyle name="Überschrift 3 56 2" xfId="20362" xr:uid="{00000000-0005-0000-0000-00000A610000}"/>
    <cellStyle name="Überschrift 3 56_est. MEAT" xfId="26235" xr:uid="{00000000-0005-0000-0000-00000B610000}"/>
    <cellStyle name="Überschrift 3 57" xfId="10948" xr:uid="{00000000-0005-0000-0000-00000C610000}"/>
    <cellStyle name="Überschrift 3 57 2" xfId="20363" xr:uid="{00000000-0005-0000-0000-00000D610000}"/>
    <cellStyle name="Überschrift 3 57_est. MEAT" xfId="26236" xr:uid="{00000000-0005-0000-0000-00000E610000}"/>
    <cellStyle name="Überschrift 3 58" xfId="10949" xr:uid="{00000000-0005-0000-0000-00000F610000}"/>
    <cellStyle name="Überschrift 3 58 2" xfId="20364" xr:uid="{00000000-0005-0000-0000-000010610000}"/>
    <cellStyle name="Überschrift 3 58_est. MEAT" xfId="26237" xr:uid="{00000000-0005-0000-0000-000011610000}"/>
    <cellStyle name="Überschrift 3 59" xfId="10950" xr:uid="{00000000-0005-0000-0000-000012610000}"/>
    <cellStyle name="Überschrift 3 59 2" xfId="20365" xr:uid="{00000000-0005-0000-0000-000013610000}"/>
    <cellStyle name="Überschrift 3 59_est. MEAT" xfId="26238" xr:uid="{00000000-0005-0000-0000-000014610000}"/>
    <cellStyle name="Überschrift 3 6" xfId="10951" xr:uid="{00000000-0005-0000-0000-000015610000}"/>
    <cellStyle name="Überschrift 3 6 2" xfId="10952" xr:uid="{00000000-0005-0000-0000-000016610000}"/>
    <cellStyle name="Überschrift 3 6 2 2" xfId="20367" xr:uid="{00000000-0005-0000-0000-000017610000}"/>
    <cellStyle name="Überschrift 3 6 2_est. MEAT" xfId="26239" xr:uid="{00000000-0005-0000-0000-000018610000}"/>
    <cellStyle name="Überschrift 3 6 3" xfId="20366" xr:uid="{00000000-0005-0000-0000-000019610000}"/>
    <cellStyle name="Überschrift 3 6_2012-2019" xfId="13407" xr:uid="{00000000-0005-0000-0000-00001A610000}"/>
    <cellStyle name="Überschrift 3 60" xfId="10953" xr:uid="{00000000-0005-0000-0000-00001B610000}"/>
    <cellStyle name="Überschrift 3 60 2" xfId="20368" xr:uid="{00000000-0005-0000-0000-00001C610000}"/>
    <cellStyle name="Überschrift 3 60_est. MEAT" xfId="26240" xr:uid="{00000000-0005-0000-0000-00001D610000}"/>
    <cellStyle name="Überschrift 3 61" xfId="10954" xr:uid="{00000000-0005-0000-0000-00001E610000}"/>
    <cellStyle name="Überschrift 3 61 2" xfId="20369" xr:uid="{00000000-0005-0000-0000-00001F610000}"/>
    <cellStyle name="Überschrift 3 61_est. MEAT" xfId="26241" xr:uid="{00000000-0005-0000-0000-000020610000}"/>
    <cellStyle name="Überschrift 3 62" xfId="10955" xr:uid="{00000000-0005-0000-0000-000021610000}"/>
    <cellStyle name="Überschrift 3 62 2" xfId="20370" xr:uid="{00000000-0005-0000-0000-000022610000}"/>
    <cellStyle name="Überschrift 3 62_est. MEAT" xfId="26242" xr:uid="{00000000-0005-0000-0000-000023610000}"/>
    <cellStyle name="Überschrift 3 63" xfId="10956" xr:uid="{00000000-0005-0000-0000-000024610000}"/>
    <cellStyle name="Überschrift 3 63 2" xfId="20371" xr:uid="{00000000-0005-0000-0000-000025610000}"/>
    <cellStyle name="Überschrift 3 63_est. MEAT" xfId="26243" xr:uid="{00000000-0005-0000-0000-000026610000}"/>
    <cellStyle name="Überschrift 3 64" xfId="10957" xr:uid="{00000000-0005-0000-0000-000027610000}"/>
    <cellStyle name="Überschrift 3 64 2" xfId="20372" xr:uid="{00000000-0005-0000-0000-000028610000}"/>
    <cellStyle name="Überschrift 3 64_est. MEAT" xfId="26244" xr:uid="{00000000-0005-0000-0000-000029610000}"/>
    <cellStyle name="Überschrift 3 65" xfId="10958" xr:uid="{00000000-0005-0000-0000-00002A610000}"/>
    <cellStyle name="Überschrift 3 65 2" xfId="20373" xr:uid="{00000000-0005-0000-0000-00002B610000}"/>
    <cellStyle name="Überschrift 3 65_est. MEAT" xfId="26245" xr:uid="{00000000-0005-0000-0000-00002C610000}"/>
    <cellStyle name="Überschrift 3 66" xfId="10959" xr:uid="{00000000-0005-0000-0000-00002D610000}"/>
    <cellStyle name="Überschrift 3 66 2" xfId="20374" xr:uid="{00000000-0005-0000-0000-00002E610000}"/>
    <cellStyle name="Überschrift 3 66_est. MEAT" xfId="26246" xr:uid="{00000000-0005-0000-0000-00002F610000}"/>
    <cellStyle name="Überschrift 3 67" xfId="10960" xr:uid="{00000000-0005-0000-0000-000030610000}"/>
    <cellStyle name="Überschrift 3 67 2" xfId="20375" xr:uid="{00000000-0005-0000-0000-000031610000}"/>
    <cellStyle name="Überschrift 3 67_est. MEAT" xfId="26247" xr:uid="{00000000-0005-0000-0000-000032610000}"/>
    <cellStyle name="Überschrift 3 68" xfId="10961" xr:uid="{00000000-0005-0000-0000-000033610000}"/>
    <cellStyle name="Überschrift 3 68 2" xfId="20376" xr:uid="{00000000-0005-0000-0000-000034610000}"/>
    <cellStyle name="Überschrift 3 68_est. MEAT" xfId="26248" xr:uid="{00000000-0005-0000-0000-000035610000}"/>
    <cellStyle name="Überschrift 3 69" xfId="10962" xr:uid="{00000000-0005-0000-0000-000036610000}"/>
    <cellStyle name="Überschrift 3 69 2" xfId="20377" xr:uid="{00000000-0005-0000-0000-000037610000}"/>
    <cellStyle name="Überschrift 3 69_est. MEAT" xfId="26249" xr:uid="{00000000-0005-0000-0000-000038610000}"/>
    <cellStyle name="Überschrift 3 7" xfId="10963" xr:uid="{00000000-0005-0000-0000-000039610000}"/>
    <cellStyle name="Überschrift 3 7 2" xfId="10964" xr:uid="{00000000-0005-0000-0000-00003A610000}"/>
    <cellStyle name="Überschrift 3 7 2 2" xfId="20379" xr:uid="{00000000-0005-0000-0000-00003B610000}"/>
    <cellStyle name="Überschrift 3 7 2_est. MEAT" xfId="26250" xr:uid="{00000000-0005-0000-0000-00003C610000}"/>
    <cellStyle name="Überschrift 3 7 3" xfId="20378" xr:uid="{00000000-0005-0000-0000-00003D610000}"/>
    <cellStyle name="Überschrift 3 7_2012-2019" xfId="13408" xr:uid="{00000000-0005-0000-0000-00003E610000}"/>
    <cellStyle name="Überschrift 3 70" xfId="10965" xr:uid="{00000000-0005-0000-0000-00003F610000}"/>
    <cellStyle name="Überschrift 3 70 2" xfId="20380" xr:uid="{00000000-0005-0000-0000-000040610000}"/>
    <cellStyle name="Überschrift 3 70_est. MEAT" xfId="26251" xr:uid="{00000000-0005-0000-0000-000041610000}"/>
    <cellStyle name="Überschrift 3 71" xfId="10966" xr:uid="{00000000-0005-0000-0000-000042610000}"/>
    <cellStyle name="Überschrift 3 71 2" xfId="20381" xr:uid="{00000000-0005-0000-0000-000043610000}"/>
    <cellStyle name="Überschrift 3 71_est. MEAT" xfId="26252" xr:uid="{00000000-0005-0000-0000-000044610000}"/>
    <cellStyle name="Überschrift 3 72" xfId="10967" xr:uid="{00000000-0005-0000-0000-000045610000}"/>
    <cellStyle name="Überschrift 3 72 2" xfId="20382" xr:uid="{00000000-0005-0000-0000-000046610000}"/>
    <cellStyle name="Überschrift 3 72_est. MEAT" xfId="26253" xr:uid="{00000000-0005-0000-0000-000047610000}"/>
    <cellStyle name="Überschrift 3 73" xfId="10968" xr:uid="{00000000-0005-0000-0000-000048610000}"/>
    <cellStyle name="Überschrift 3 73 2" xfId="20383" xr:uid="{00000000-0005-0000-0000-000049610000}"/>
    <cellStyle name="Überschrift 3 73_est. MEAT" xfId="26254" xr:uid="{00000000-0005-0000-0000-00004A610000}"/>
    <cellStyle name="Überschrift 3 74" xfId="10969" xr:uid="{00000000-0005-0000-0000-00004B610000}"/>
    <cellStyle name="Überschrift 3 74 2" xfId="20384" xr:uid="{00000000-0005-0000-0000-00004C610000}"/>
    <cellStyle name="Überschrift 3 74_est. MEAT" xfId="26255" xr:uid="{00000000-0005-0000-0000-00004D610000}"/>
    <cellStyle name="Überschrift 3 75" xfId="10970" xr:uid="{00000000-0005-0000-0000-00004E610000}"/>
    <cellStyle name="Überschrift 3 75 2" xfId="20385" xr:uid="{00000000-0005-0000-0000-00004F610000}"/>
    <cellStyle name="Überschrift 3 75_est. MEAT" xfId="26256" xr:uid="{00000000-0005-0000-0000-000050610000}"/>
    <cellStyle name="Überschrift 3 76" xfId="10971" xr:uid="{00000000-0005-0000-0000-000051610000}"/>
    <cellStyle name="Überschrift 3 76 2" xfId="20386" xr:uid="{00000000-0005-0000-0000-000052610000}"/>
    <cellStyle name="Überschrift 3 76_est. MEAT" xfId="26257" xr:uid="{00000000-0005-0000-0000-000053610000}"/>
    <cellStyle name="Überschrift 3 77" xfId="10972" xr:uid="{00000000-0005-0000-0000-000054610000}"/>
    <cellStyle name="Überschrift 3 77 2" xfId="20387" xr:uid="{00000000-0005-0000-0000-000055610000}"/>
    <cellStyle name="Überschrift 3 77_est. MEAT" xfId="26258" xr:uid="{00000000-0005-0000-0000-000056610000}"/>
    <cellStyle name="Überschrift 3 78" xfId="10973" xr:uid="{00000000-0005-0000-0000-000057610000}"/>
    <cellStyle name="Überschrift 3 78 2" xfId="20388" xr:uid="{00000000-0005-0000-0000-000058610000}"/>
    <cellStyle name="Überschrift 3 78_est. MEAT" xfId="26259" xr:uid="{00000000-0005-0000-0000-000059610000}"/>
    <cellStyle name="Überschrift 3 79" xfId="10974" xr:uid="{00000000-0005-0000-0000-00005A610000}"/>
    <cellStyle name="Überschrift 3 79 2" xfId="20389" xr:uid="{00000000-0005-0000-0000-00005B610000}"/>
    <cellStyle name="Überschrift 3 79_est. MEAT" xfId="26260" xr:uid="{00000000-0005-0000-0000-00005C610000}"/>
    <cellStyle name="Überschrift 3 8" xfId="10975" xr:uid="{00000000-0005-0000-0000-00005D610000}"/>
    <cellStyle name="Überschrift 3 8 2" xfId="10976" xr:uid="{00000000-0005-0000-0000-00005E610000}"/>
    <cellStyle name="Überschrift 3 8 2 2" xfId="20391" xr:uid="{00000000-0005-0000-0000-00005F610000}"/>
    <cellStyle name="Überschrift 3 8 2_est. MEAT" xfId="26261" xr:uid="{00000000-0005-0000-0000-000060610000}"/>
    <cellStyle name="Überschrift 3 8 3" xfId="20390" xr:uid="{00000000-0005-0000-0000-000061610000}"/>
    <cellStyle name="Überschrift 3 8_2012-2019" xfId="13409" xr:uid="{00000000-0005-0000-0000-000062610000}"/>
    <cellStyle name="Überschrift 3 80" xfId="10977" xr:uid="{00000000-0005-0000-0000-000063610000}"/>
    <cellStyle name="Überschrift 3 80 2" xfId="20392" xr:uid="{00000000-0005-0000-0000-000064610000}"/>
    <cellStyle name="Überschrift 3 80_est. MEAT" xfId="26262" xr:uid="{00000000-0005-0000-0000-000065610000}"/>
    <cellStyle name="Überschrift 3 81" xfId="10978" xr:uid="{00000000-0005-0000-0000-000066610000}"/>
    <cellStyle name="Überschrift 3 81 2" xfId="20393" xr:uid="{00000000-0005-0000-0000-000067610000}"/>
    <cellStyle name="Überschrift 3 81_est. MEAT" xfId="26263" xr:uid="{00000000-0005-0000-0000-000068610000}"/>
    <cellStyle name="Überschrift 3 82" xfId="10979" xr:uid="{00000000-0005-0000-0000-000069610000}"/>
    <cellStyle name="Überschrift 3 82 2" xfId="20394" xr:uid="{00000000-0005-0000-0000-00006A610000}"/>
    <cellStyle name="Überschrift 3 82_est. MEAT" xfId="26264" xr:uid="{00000000-0005-0000-0000-00006B610000}"/>
    <cellStyle name="Überschrift 3 83" xfId="10980" xr:uid="{00000000-0005-0000-0000-00006C610000}"/>
    <cellStyle name="Überschrift 3 83 2" xfId="20395" xr:uid="{00000000-0005-0000-0000-00006D610000}"/>
    <cellStyle name="Überschrift 3 83_est. MEAT" xfId="26265" xr:uid="{00000000-0005-0000-0000-00006E610000}"/>
    <cellStyle name="Überschrift 3 84" xfId="10981" xr:uid="{00000000-0005-0000-0000-00006F610000}"/>
    <cellStyle name="Überschrift 3 84 2" xfId="20396" xr:uid="{00000000-0005-0000-0000-000070610000}"/>
    <cellStyle name="Überschrift 3 84_est. MEAT" xfId="26266" xr:uid="{00000000-0005-0000-0000-000071610000}"/>
    <cellStyle name="Überschrift 3 85" xfId="10982" xr:uid="{00000000-0005-0000-0000-000072610000}"/>
    <cellStyle name="Überschrift 3 85 2" xfId="20397" xr:uid="{00000000-0005-0000-0000-000073610000}"/>
    <cellStyle name="Überschrift 3 85_est. MEAT" xfId="26267" xr:uid="{00000000-0005-0000-0000-000074610000}"/>
    <cellStyle name="Überschrift 3 86" xfId="10983" xr:uid="{00000000-0005-0000-0000-000075610000}"/>
    <cellStyle name="Überschrift 3 86 2" xfId="20398" xr:uid="{00000000-0005-0000-0000-000076610000}"/>
    <cellStyle name="Überschrift 3 86_est. MEAT" xfId="26268" xr:uid="{00000000-0005-0000-0000-000077610000}"/>
    <cellStyle name="Überschrift 3 87" xfId="10984" xr:uid="{00000000-0005-0000-0000-000078610000}"/>
    <cellStyle name="Überschrift 3 87 2" xfId="20399" xr:uid="{00000000-0005-0000-0000-000079610000}"/>
    <cellStyle name="Überschrift 3 87_est. MEAT" xfId="26269" xr:uid="{00000000-0005-0000-0000-00007A610000}"/>
    <cellStyle name="Überschrift 3 88" xfId="10985" xr:uid="{00000000-0005-0000-0000-00007B610000}"/>
    <cellStyle name="Überschrift 3 88 2" xfId="20400" xr:uid="{00000000-0005-0000-0000-00007C610000}"/>
    <cellStyle name="Überschrift 3 88_est. MEAT" xfId="26270" xr:uid="{00000000-0005-0000-0000-00007D610000}"/>
    <cellStyle name="Überschrift 3 89" xfId="10986" xr:uid="{00000000-0005-0000-0000-00007E610000}"/>
    <cellStyle name="Überschrift 3 89 2" xfId="20401" xr:uid="{00000000-0005-0000-0000-00007F610000}"/>
    <cellStyle name="Überschrift 3 89_est. MEAT" xfId="26271" xr:uid="{00000000-0005-0000-0000-000080610000}"/>
    <cellStyle name="Überschrift 3 9" xfId="10987" xr:uid="{00000000-0005-0000-0000-000081610000}"/>
    <cellStyle name="Überschrift 3 9 2" xfId="10988" xr:uid="{00000000-0005-0000-0000-000082610000}"/>
    <cellStyle name="Überschrift 3 9 2 2" xfId="20403" xr:uid="{00000000-0005-0000-0000-000083610000}"/>
    <cellStyle name="Überschrift 3 9 2_est. MEAT" xfId="26272" xr:uid="{00000000-0005-0000-0000-000084610000}"/>
    <cellStyle name="Überschrift 3 9 3" xfId="20402" xr:uid="{00000000-0005-0000-0000-000085610000}"/>
    <cellStyle name="Überschrift 3 9_2012-2019" xfId="13410" xr:uid="{00000000-0005-0000-0000-000086610000}"/>
    <cellStyle name="Überschrift 3 90" xfId="10989" xr:uid="{00000000-0005-0000-0000-000087610000}"/>
    <cellStyle name="Überschrift 3 90 2" xfId="20404" xr:uid="{00000000-0005-0000-0000-000088610000}"/>
    <cellStyle name="Überschrift 3 90_est. MEAT" xfId="26273" xr:uid="{00000000-0005-0000-0000-000089610000}"/>
    <cellStyle name="Überschrift 3 91" xfId="10990" xr:uid="{00000000-0005-0000-0000-00008A610000}"/>
    <cellStyle name="Überschrift 3 91 2" xfId="20405" xr:uid="{00000000-0005-0000-0000-00008B610000}"/>
    <cellStyle name="Überschrift 3 91_est. MEAT" xfId="26274" xr:uid="{00000000-0005-0000-0000-00008C610000}"/>
    <cellStyle name="Überschrift 3 92" xfId="10991" xr:uid="{00000000-0005-0000-0000-00008D610000}"/>
    <cellStyle name="Überschrift 3 92 2" xfId="20406" xr:uid="{00000000-0005-0000-0000-00008E610000}"/>
    <cellStyle name="Überschrift 3 92_est. MEAT" xfId="26275" xr:uid="{00000000-0005-0000-0000-00008F610000}"/>
    <cellStyle name="Überschrift 3 93" xfId="10992" xr:uid="{00000000-0005-0000-0000-000090610000}"/>
    <cellStyle name="Überschrift 3 93 2" xfId="20407" xr:uid="{00000000-0005-0000-0000-000091610000}"/>
    <cellStyle name="Überschrift 3 93_est. MEAT" xfId="26276" xr:uid="{00000000-0005-0000-0000-000092610000}"/>
    <cellStyle name="Überschrift 3 94" xfId="10993" xr:uid="{00000000-0005-0000-0000-000093610000}"/>
    <cellStyle name="Überschrift 3 94 2" xfId="20408" xr:uid="{00000000-0005-0000-0000-000094610000}"/>
    <cellStyle name="Überschrift 3 94_est. MEAT" xfId="26277" xr:uid="{00000000-0005-0000-0000-000095610000}"/>
    <cellStyle name="Überschrift 3 95" xfId="10994" xr:uid="{00000000-0005-0000-0000-000096610000}"/>
    <cellStyle name="Überschrift 3 95 2" xfId="20409" xr:uid="{00000000-0005-0000-0000-000097610000}"/>
    <cellStyle name="Überschrift 3 95_est. MEAT" xfId="26278" xr:uid="{00000000-0005-0000-0000-000098610000}"/>
    <cellStyle name="Überschrift 3 96" xfId="10995" xr:uid="{00000000-0005-0000-0000-000099610000}"/>
    <cellStyle name="Überschrift 3 96 2" xfId="20410" xr:uid="{00000000-0005-0000-0000-00009A610000}"/>
    <cellStyle name="Überschrift 3 96_est. MEAT" xfId="26279" xr:uid="{00000000-0005-0000-0000-00009B610000}"/>
    <cellStyle name="Überschrift 3 97" xfId="10996" xr:uid="{00000000-0005-0000-0000-00009C610000}"/>
    <cellStyle name="Überschrift 3 97 2" xfId="20411" xr:uid="{00000000-0005-0000-0000-00009D610000}"/>
    <cellStyle name="Überschrift 3 97_est. MEAT" xfId="26280" xr:uid="{00000000-0005-0000-0000-00009E610000}"/>
    <cellStyle name="Überschrift 3 98" xfId="10997" xr:uid="{00000000-0005-0000-0000-00009F610000}"/>
    <cellStyle name="Überschrift 3 98 2" xfId="20412" xr:uid="{00000000-0005-0000-0000-0000A0610000}"/>
    <cellStyle name="Überschrift 3 98_est. MEAT" xfId="26281" xr:uid="{00000000-0005-0000-0000-0000A1610000}"/>
    <cellStyle name="Überschrift 3 99" xfId="10998" xr:uid="{00000000-0005-0000-0000-0000A2610000}"/>
    <cellStyle name="Überschrift 3 99 2" xfId="20413" xr:uid="{00000000-0005-0000-0000-0000A3610000}"/>
    <cellStyle name="Überschrift 3 99_est. MEAT" xfId="26282" xr:uid="{00000000-0005-0000-0000-0000A4610000}"/>
    <cellStyle name="Überschrift 3_2012-2019" xfId="13397" xr:uid="{00000000-0005-0000-0000-0000A5610000}"/>
    <cellStyle name="Überschrift 30" xfId="10999" xr:uid="{00000000-0005-0000-0000-0000A6610000}"/>
    <cellStyle name="Überschrift 30 2" xfId="20414" xr:uid="{00000000-0005-0000-0000-0000A7610000}"/>
    <cellStyle name="Überschrift 30_est. MEAT" xfId="26283" xr:uid="{00000000-0005-0000-0000-0000A8610000}"/>
    <cellStyle name="Überschrift 31" xfId="11000" xr:uid="{00000000-0005-0000-0000-0000A9610000}"/>
    <cellStyle name="Überschrift 31 2" xfId="20415" xr:uid="{00000000-0005-0000-0000-0000AA610000}"/>
    <cellStyle name="Überschrift 31_est. MEAT" xfId="26284" xr:uid="{00000000-0005-0000-0000-0000AB610000}"/>
    <cellStyle name="Überschrift 32" xfId="11001" xr:uid="{00000000-0005-0000-0000-0000AC610000}"/>
    <cellStyle name="Überschrift 32 2" xfId="20416" xr:uid="{00000000-0005-0000-0000-0000AD610000}"/>
    <cellStyle name="Überschrift 32_est. MEAT" xfId="26285" xr:uid="{00000000-0005-0000-0000-0000AE610000}"/>
    <cellStyle name="Überschrift 33" xfId="11002" xr:uid="{00000000-0005-0000-0000-0000AF610000}"/>
    <cellStyle name="Überschrift 33 2" xfId="20417" xr:uid="{00000000-0005-0000-0000-0000B0610000}"/>
    <cellStyle name="Überschrift 33_est. MEAT" xfId="26286" xr:uid="{00000000-0005-0000-0000-0000B1610000}"/>
    <cellStyle name="Überschrift 34" xfId="11003" xr:uid="{00000000-0005-0000-0000-0000B2610000}"/>
    <cellStyle name="Überschrift 34 2" xfId="20418" xr:uid="{00000000-0005-0000-0000-0000B3610000}"/>
    <cellStyle name="Überschrift 34_est. MEAT" xfId="26287" xr:uid="{00000000-0005-0000-0000-0000B4610000}"/>
    <cellStyle name="Überschrift 35" xfId="11004" xr:uid="{00000000-0005-0000-0000-0000B5610000}"/>
    <cellStyle name="Überschrift 35 2" xfId="20419" xr:uid="{00000000-0005-0000-0000-0000B6610000}"/>
    <cellStyle name="Überschrift 35_est. MEAT" xfId="26288" xr:uid="{00000000-0005-0000-0000-0000B7610000}"/>
    <cellStyle name="Überschrift 36" xfId="11005" xr:uid="{00000000-0005-0000-0000-0000B8610000}"/>
    <cellStyle name="Überschrift 36 2" xfId="20420" xr:uid="{00000000-0005-0000-0000-0000B9610000}"/>
    <cellStyle name="Überschrift 36_est. MEAT" xfId="26289" xr:uid="{00000000-0005-0000-0000-0000BA610000}"/>
    <cellStyle name="Überschrift 37" xfId="11006" xr:uid="{00000000-0005-0000-0000-0000BB610000}"/>
    <cellStyle name="Überschrift 37 2" xfId="20421" xr:uid="{00000000-0005-0000-0000-0000BC610000}"/>
    <cellStyle name="Überschrift 37_est. MEAT" xfId="26290" xr:uid="{00000000-0005-0000-0000-0000BD610000}"/>
    <cellStyle name="Überschrift 38" xfId="11007" xr:uid="{00000000-0005-0000-0000-0000BE610000}"/>
    <cellStyle name="Überschrift 38 2" xfId="20422" xr:uid="{00000000-0005-0000-0000-0000BF610000}"/>
    <cellStyle name="Überschrift 38_est. MEAT" xfId="26291" xr:uid="{00000000-0005-0000-0000-0000C0610000}"/>
    <cellStyle name="Überschrift 39" xfId="11008" xr:uid="{00000000-0005-0000-0000-0000C1610000}"/>
    <cellStyle name="Überschrift 39 2" xfId="20423" xr:uid="{00000000-0005-0000-0000-0000C2610000}"/>
    <cellStyle name="Überschrift 39_est. MEAT" xfId="26292" xr:uid="{00000000-0005-0000-0000-0000C3610000}"/>
    <cellStyle name="Überschrift 4" xfId="11009" xr:uid="{00000000-0005-0000-0000-0000C4610000}"/>
    <cellStyle name="Überschrift 4 10" xfId="11010" xr:uid="{00000000-0005-0000-0000-0000C5610000}"/>
    <cellStyle name="Überschrift 4 10 2" xfId="11011" xr:uid="{00000000-0005-0000-0000-0000C6610000}"/>
    <cellStyle name="Überschrift 4 10 2 2" xfId="20426" xr:uid="{00000000-0005-0000-0000-0000C7610000}"/>
    <cellStyle name="Überschrift 4 10 2_est. MEAT" xfId="26293" xr:uid="{00000000-0005-0000-0000-0000C8610000}"/>
    <cellStyle name="Überschrift 4 10 3" xfId="20425" xr:uid="{00000000-0005-0000-0000-0000C9610000}"/>
    <cellStyle name="Überschrift 4 10_2012-2019" xfId="13412" xr:uid="{00000000-0005-0000-0000-0000CA610000}"/>
    <cellStyle name="Überschrift 4 100" xfId="11012" xr:uid="{00000000-0005-0000-0000-0000CB610000}"/>
    <cellStyle name="Überschrift 4 100 2" xfId="20427" xr:uid="{00000000-0005-0000-0000-0000CC610000}"/>
    <cellStyle name="Überschrift 4 100_est. MEAT" xfId="26294" xr:uid="{00000000-0005-0000-0000-0000CD610000}"/>
    <cellStyle name="Überschrift 4 101" xfId="11013" xr:uid="{00000000-0005-0000-0000-0000CE610000}"/>
    <cellStyle name="Überschrift 4 101 2" xfId="20428" xr:uid="{00000000-0005-0000-0000-0000CF610000}"/>
    <cellStyle name="Überschrift 4 101_est. MEAT" xfId="26295" xr:uid="{00000000-0005-0000-0000-0000D0610000}"/>
    <cellStyle name="Überschrift 4 102" xfId="11014" xr:uid="{00000000-0005-0000-0000-0000D1610000}"/>
    <cellStyle name="Überschrift 4 102 2" xfId="20429" xr:uid="{00000000-0005-0000-0000-0000D2610000}"/>
    <cellStyle name="Überschrift 4 102_est. MEAT" xfId="26296" xr:uid="{00000000-0005-0000-0000-0000D3610000}"/>
    <cellStyle name="Überschrift 4 103" xfId="11015" xr:uid="{00000000-0005-0000-0000-0000D4610000}"/>
    <cellStyle name="Überschrift 4 103 2" xfId="20430" xr:uid="{00000000-0005-0000-0000-0000D5610000}"/>
    <cellStyle name="Überschrift 4 103_est. MEAT" xfId="26297" xr:uid="{00000000-0005-0000-0000-0000D6610000}"/>
    <cellStyle name="Überschrift 4 104" xfId="11016" xr:uid="{00000000-0005-0000-0000-0000D7610000}"/>
    <cellStyle name="Überschrift 4 104 2" xfId="20431" xr:uid="{00000000-0005-0000-0000-0000D8610000}"/>
    <cellStyle name="Überschrift 4 104_est. MEAT" xfId="26298" xr:uid="{00000000-0005-0000-0000-0000D9610000}"/>
    <cellStyle name="Überschrift 4 105" xfId="11017" xr:uid="{00000000-0005-0000-0000-0000DA610000}"/>
    <cellStyle name="Überschrift 4 105 2" xfId="20432" xr:uid="{00000000-0005-0000-0000-0000DB610000}"/>
    <cellStyle name="Überschrift 4 105_est. MEAT" xfId="26299" xr:uid="{00000000-0005-0000-0000-0000DC610000}"/>
    <cellStyle name="Überschrift 4 106" xfId="11018" xr:uid="{00000000-0005-0000-0000-0000DD610000}"/>
    <cellStyle name="Überschrift 4 106 2" xfId="20433" xr:uid="{00000000-0005-0000-0000-0000DE610000}"/>
    <cellStyle name="Überschrift 4 106_est. MEAT" xfId="26300" xr:uid="{00000000-0005-0000-0000-0000DF610000}"/>
    <cellStyle name="Überschrift 4 107" xfId="11019" xr:uid="{00000000-0005-0000-0000-0000E0610000}"/>
    <cellStyle name="Überschrift 4 107 2" xfId="20434" xr:uid="{00000000-0005-0000-0000-0000E1610000}"/>
    <cellStyle name="Überschrift 4 107_est. MEAT" xfId="26301" xr:uid="{00000000-0005-0000-0000-0000E2610000}"/>
    <cellStyle name="Überschrift 4 108" xfId="11020" xr:uid="{00000000-0005-0000-0000-0000E3610000}"/>
    <cellStyle name="Überschrift 4 108 2" xfId="20435" xr:uid="{00000000-0005-0000-0000-0000E4610000}"/>
    <cellStyle name="Überschrift 4 108_est. MEAT" xfId="26302" xr:uid="{00000000-0005-0000-0000-0000E5610000}"/>
    <cellStyle name="Überschrift 4 109" xfId="11021" xr:uid="{00000000-0005-0000-0000-0000E6610000}"/>
    <cellStyle name="Überschrift 4 109 2" xfId="20436" xr:uid="{00000000-0005-0000-0000-0000E7610000}"/>
    <cellStyle name="Überschrift 4 109_est. MEAT" xfId="26303" xr:uid="{00000000-0005-0000-0000-0000E8610000}"/>
    <cellStyle name="Überschrift 4 11" xfId="11022" xr:uid="{00000000-0005-0000-0000-0000E9610000}"/>
    <cellStyle name="Überschrift 4 11 2" xfId="11023" xr:uid="{00000000-0005-0000-0000-0000EA610000}"/>
    <cellStyle name="Überschrift 4 11 2 2" xfId="20438" xr:uid="{00000000-0005-0000-0000-0000EB610000}"/>
    <cellStyle name="Überschrift 4 11 2_est. MEAT" xfId="26304" xr:uid="{00000000-0005-0000-0000-0000EC610000}"/>
    <cellStyle name="Überschrift 4 11 3" xfId="20437" xr:uid="{00000000-0005-0000-0000-0000ED610000}"/>
    <cellStyle name="Überschrift 4 11_2012-2019" xfId="13413" xr:uid="{00000000-0005-0000-0000-0000EE610000}"/>
    <cellStyle name="Überschrift 4 110" xfId="11024" xr:uid="{00000000-0005-0000-0000-0000EF610000}"/>
    <cellStyle name="Überschrift 4 110 2" xfId="20439" xr:uid="{00000000-0005-0000-0000-0000F0610000}"/>
    <cellStyle name="Überschrift 4 110_est. MEAT" xfId="26305" xr:uid="{00000000-0005-0000-0000-0000F1610000}"/>
    <cellStyle name="Überschrift 4 111" xfId="11025" xr:uid="{00000000-0005-0000-0000-0000F2610000}"/>
    <cellStyle name="Überschrift 4 111 2" xfId="20440" xr:uid="{00000000-0005-0000-0000-0000F3610000}"/>
    <cellStyle name="Überschrift 4 111_est. MEAT" xfId="26306" xr:uid="{00000000-0005-0000-0000-0000F4610000}"/>
    <cellStyle name="Überschrift 4 112" xfId="11026" xr:uid="{00000000-0005-0000-0000-0000F5610000}"/>
    <cellStyle name="Überschrift 4 112 2" xfId="20441" xr:uid="{00000000-0005-0000-0000-0000F6610000}"/>
    <cellStyle name="Überschrift 4 112_est. MEAT" xfId="26307" xr:uid="{00000000-0005-0000-0000-0000F7610000}"/>
    <cellStyle name="Überschrift 4 113" xfId="11027" xr:uid="{00000000-0005-0000-0000-0000F8610000}"/>
    <cellStyle name="Überschrift 4 113 2" xfId="20442" xr:uid="{00000000-0005-0000-0000-0000F9610000}"/>
    <cellStyle name="Überschrift 4 113_est. MEAT" xfId="26308" xr:uid="{00000000-0005-0000-0000-0000FA610000}"/>
    <cellStyle name="Überschrift 4 114" xfId="11028" xr:uid="{00000000-0005-0000-0000-0000FB610000}"/>
    <cellStyle name="Überschrift 4 114 2" xfId="20443" xr:uid="{00000000-0005-0000-0000-0000FC610000}"/>
    <cellStyle name="Überschrift 4 114_est. MEAT" xfId="26309" xr:uid="{00000000-0005-0000-0000-0000FD610000}"/>
    <cellStyle name="Überschrift 4 115" xfId="11029" xr:uid="{00000000-0005-0000-0000-0000FE610000}"/>
    <cellStyle name="Überschrift 4 115 2" xfId="20444" xr:uid="{00000000-0005-0000-0000-0000FF610000}"/>
    <cellStyle name="Überschrift 4 115_est. MEAT" xfId="26310" xr:uid="{00000000-0005-0000-0000-000000620000}"/>
    <cellStyle name="Überschrift 4 116" xfId="11030" xr:uid="{00000000-0005-0000-0000-000001620000}"/>
    <cellStyle name="Überschrift 4 116 2" xfId="20445" xr:uid="{00000000-0005-0000-0000-000002620000}"/>
    <cellStyle name="Überschrift 4 116_est. MEAT" xfId="26311" xr:uid="{00000000-0005-0000-0000-000003620000}"/>
    <cellStyle name="Überschrift 4 117" xfId="11031" xr:uid="{00000000-0005-0000-0000-000004620000}"/>
    <cellStyle name="Überschrift 4 117 2" xfId="20446" xr:uid="{00000000-0005-0000-0000-000005620000}"/>
    <cellStyle name="Überschrift 4 117_est. MEAT" xfId="26312" xr:uid="{00000000-0005-0000-0000-000006620000}"/>
    <cellStyle name="Überschrift 4 118" xfId="11032" xr:uid="{00000000-0005-0000-0000-000007620000}"/>
    <cellStyle name="Überschrift 4 118 2" xfId="20447" xr:uid="{00000000-0005-0000-0000-000008620000}"/>
    <cellStyle name="Überschrift 4 118_est. MEAT" xfId="26313" xr:uid="{00000000-0005-0000-0000-000009620000}"/>
    <cellStyle name="Überschrift 4 119" xfId="11033" xr:uid="{00000000-0005-0000-0000-00000A620000}"/>
    <cellStyle name="Überschrift 4 119 2" xfId="20448" xr:uid="{00000000-0005-0000-0000-00000B620000}"/>
    <cellStyle name="Überschrift 4 119_est. MEAT" xfId="26314" xr:uid="{00000000-0005-0000-0000-00000C620000}"/>
    <cellStyle name="Überschrift 4 12" xfId="11034" xr:uid="{00000000-0005-0000-0000-00000D620000}"/>
    <cellStyle name="Überschrift 4 12 2" xfId="11035" xr:uid="{00000000-0005-0000-0000-00000E620000}"/>
    <cellStyle name="Überschrift 4 12 2 2" xfId="20450" xr:uid="{00000000-0005-0000-0000-00000F620000}"/>
    <cellStyle name="Überschrift 4 12 2_est. MEAT" xfId="26315" xr:uid="{00000000-0005-0000-0000-000010620000}"/>
    <cellStyle name="Überschrift 4 12 3" xfId="20449" xr:uid="{00000000-0005-0000-0000-000011620000}"/>
    <cellStyle name="Überschrift 4 12_2012-2019" xfId="13414" xr:uid="{00000000-0005-0000-0000-000012620000}"/>
    <cellStyle name="Überschrift 4 120" xfId="11036" xr:uid="{00000000-0005-0000-0000-000013620000}"/>
    <cellStyle name="Überschrift 4 120 2" xfId="20451" xr:uid="{00000000-0005-0000-0000-000014620000}"/>
    <cellStyle name="Überschrift 4 120_est. MEAT" xfId="26316" xr:uid="{00000000-0005-0000-0000-000015620000}"/>
    <cellStyle name="Überschrift 4 121" xfId="11037" xr:uid="{00000000-0005-0000-0000-000016620000}"/>
    <cellStyle name="Überschrift 4 121 2" xfId="20452" xr:uid="{00000000-0005-0000-0000-000017620000}"/>
    <cellStyle name="Überschrift 4 121_est. MEAT" xfId="26317" xr:uid="{00000000-0005-0000-0000-000018620000}"/>
    <cellStyle name="Überschrift 4 122" xfId="11038" xr:uid="{00000000-0005-0000-0000-000019620000}"/>
    <cellStyle name="Überschrift 4 122 2" xfId="20453" xr:uid="{00000000-0005-0000-0000-00001A620000}"/>
    <cellStyle name="Überschrift 4 122_est. MEAT" xfId="26318" xr:uid="{00000000-0005-0000-0000-00001B620000}"/>
    <cellStyle name="Überschrift 4 123" xfId="11039" xr:uid="{00000000-0005-0000-0000-00001C620000}"/>
    <cellStyle name="Überschrift 4 123 2" xfId="20454" xr:uid="{00000000-0005-0000-0000-00001D620000}"/>
    <cellStyle name="Überschrift 4 123_est. MEAT" xfId="26319" xr:uid="{00000000-0005-0000-0000-00001E620000}"/>
    <cellStyle name="Überschrift 4 124" xfId="11040" xr:uid="{00000000-0005-0000-0000-00001F620000}"/>
    <cellStyle name="Überschrift 4 124 2" xfId="20455" xr:uid="{00000000-0005-0000-0000-000020620000}"/>
    <cellStyle name="Überschrift 4 124_est. MEAT" xfId="26320" xr:uid="{00000000-0005-0000-0000-000021620000}"/>
    <cellStyle name="Überschrift 4 125" xfId="11041" xr:uid="{00000000-0005-0000-0000-000022620000}"/>
    <cellStyle name="Überschrift 4 125 2" xfId="20456" xr:uid="{00000000-0005-0000-0000-000023620000}"/>
    <cellStyle name="Überschrift 4 125_est. MEAT" xfId="26321" xr:uid="{00000000-0005-0000-0000-000024620000}"/>
    <cellStyle name="Überschrift 4 126" xfId="11042" xr:uid="{00000000-0005-0000-0000-000025620000}"/>
    <cellStyle name="Überschrift 4 126 2" xfId="20457" xr:uid="{00000000-0005-0000-0000-000026620000}"/>
    <cellStyle name="Überschrift 4 126_est. MEAT" xfId="26322" xr:uid="{00000000-0005-0000-0000-000027620000}"/>
    <cellStyle name="Überschrift 4 127" xfId="11043" xr:uid="{00000000-0005-0000-0000-000028620000}"/>
    <cellStyle name="Überschrift 4 127 2" xfId="20458" xr:uid="{00000000-0005-0000-0000-000029620000}"/>
    <cellStyle name="Überschrift 4 127_est. MEAT" xfId="26323" xr:uid="{00000000-0005-0000-0000-00002A620000}"/>
    <cellStyle name="Überschrift 4 128" xfId="11044" xr:uid="{00000000-0005-0000-0000-00002B620000}"/>
    <cellStyle name="Überschrift 4 128 2" xfId="20459" xr:uid="{00000000-0005-0000-0000-00002C620000}"/>
    <cellStyle name="Überschrift 4 128_est. MEAT" xfId="26324" xr:uid="{00000000-0005-0000-0000-00002D620000}"/>
    <cellStyle name="Überschrift 4 129" xfId="11045" xr:uid="{00000000-0005-0000-0000-00002E620000}"/>
    <cellStyle name="Überschrift 4 129 2" xfId="20460" xr:uid="{00000000-0005-0000-0000-00002F620000}"/>
    <cellStyle name="Überschrift 4 129_est. MEAT" xfId="26325" xr:uid="{00000000-0005-0000-0000-000030620000}"/>
    <cellStyle name="Überschrift 4 13" xfId="11046" xr:uid="{00000000-0005-0000-0000-000031620000}"/>
    <cellStyle name="Überschrift 4 13 2" xfId="11047" xr:uid="{00000000-0005-0000-0000-000032620000}"/>
    <cellStyle name="Überschrift 4 13 2 2" xfId="20462" xr:uid="{00000000-0005-0000-0000-000033620000}"/>
    <cellStyle name="Überschrift 4 13 2_est. MEAT" xfId="26326" xr:uid="{00000000-0005-0000-0000-000034620000}"/>
    <cellStyle name="Überschrift 4 13 3" xfId="20461" xr:uid="{00000000-0005-0000-0000-000035620000}"/>
    <cellStyle name="Überschrift 4 13_2012-2019" xfId="13415" xr:uid="{00000000-0005-0000-0000-000036620000}"/>
    <cellStyle name="Überschrift 4 130" xfId="11048" xr:uid="{00000000-0005-0000-0000-000037620000}"/>
    <cellStyle name="Überschrift 4 130 2" xfId="20463" xr:uid="{00000000-0005-0000-0000-000038620000}"/>
    <cellStyle name="Überschrift 4 130_est. MEAT" xfId="26327" xr:uid="{00000000-0005-0000-0000-000039620000}"/>
    <cellStyle name="Überschrift 4 131" xfId="11049" xr:uid="{00000000-0005-0000-0000-00003A620000}"/>
    <cellStyle name="Überschrift 4 131 2" xfId="20464" xr:uid="{00000000-0005-0000-0000-00003B620000}"/>
    <cellStyle name="Überschrift 4 131_est. MEAT" xfId="26328" xr:uid="{00000000-0005-0000-0000-00003C620000}"/>
    <cellStyle name="Überschrift 4 132" xfId="11050" xr:uid="{00000000-0005-0000-0000-00003D620000}"/>
    <cellStyle name="Überschrift 4 132 2" xfId="20465" xr:uid="{00000000-0005-0000-0000-00003E620000}"/>
    <cellStyle name="Überschrift 4 132_est. MEAT" xfId="26329" xr:uid="{00000000-0005-0000-0000-00003F620000}"/>
    <cellStyle name="Überschrift 4 133" xfId="11051" xr:uid="{00000000-0005-0000-0000-000040620000}"/>
    <cellStyle name="Überschrift 4 133 2" xfId="20466" xr:uid="{00000000-0005-0000-0000-000041620000}"/>
    <cellStyle name="Überschrift 4 133_est. MEAT" xfId="26330" xr:uid="{00000000-0005-0000-0000-000042620000}"/>
    <cellStyle name="Überschrift 4 134" xfId="11052" xr:uid="{00000000-0005-0000-0000-000043620000}"/>
    <cellStyle name="Überschrift 4 134 2" xfId="20467" xr:uid="{00000000-0005-0000-0000-000044620000}"/>
    <cellStyle name="Überschrift 4 134_est. MEAT" xfId="26331" xr:uid="{00000000-0005-0000-0000-000045620000}"/>
    <cellStyle name="Überschrift 4 135" xfId="11053" xr:uid="{00000000-0005-0000-0000-000046620000}"/>
    <cellStyle name="Überschrift 4 135 2" xfId="20468" xr:uid="{00000000-0005-0000-0000-000047620000}"/>
    <cellStyle name="Überschrift 4 135_est. MEAT" xfId="26332" xr:uid="{00000000-0005-0000-0000-000048620000}"/>
    <cellStyle name="Überschrift 4 136" xfId="11054" xr:uid="{00000000-0005-0000-0000-000049620000}"/>
    <cellStyle name="Überschrift 4 136 2" xfId="20469" xr:uid="{00000000-0005-0000-0000-00004A620000}"/>
    <cellStyle name="Überschrift 4 136_est. MEAT" xfId="26333" xr:uid="{00000000-0005-0000-0000-00004B620000}"/>
    <cellStyle name="Überschrift 4 137" xfId="11055" xr:uid="{00000000-0005-0000-0000-00004C620000}"/>
    <cellStyle name="Überschrift 4 137 2" xfId="20470" xr:uid="{00000000-0005-0000-0000-00004D620000}"/>
    <cellStyle name="Überschrift 4 137_est. MEAT" xfId="26334" xr:uid="{00000000-0005-0000-0000-00004E620000}"/>
    <cellStyle name="Überschrift 4 138" xfId="11056" xr:uid="{00000000-0005-0000-0000-00004F620000}"/>
    <cellStyle name="Überschrift 4 138 2" xfId="20471" xr:uid="{00000000-0005-0000-0000-000050620000}"/>
    <cellStyle name="Überschrift 4 138_est. MEAT" xfId="26335" xr:uid="{00000000-0005-0000-0000-000051620000}"/>
    <cellStyle name="Überschrift 4 139" xfId="11057" xr:uid="{00000000-0005-0000-0000-000052620000}"/>
    <cellStyle name="Überschrift 4 139 2" xfId="20472" xr:uid="{00000000-0005-0000-0000-000053620000}"/>
    <cellStyle name="Überschrift 4 139_est. MEAT" xfId="26336" xr:uid="{00000000-0005-0000-0000-000054620000}"/>
    <cellStyle name="Überschrift 4 14" xfId="11058" xr:uid="{00000000-0005-0000-0000-000055620000}"/>
    <cellStyle name="Überschrift 4 14 2" xfId="11059" xr:uid="{00000000-0005-0000-0000-000056620000}"/>
    <cellStyle name="Überschrift 4 14 2 2" xfId="20474" xr:uid="{00000000-0005-0000-0000-000057620000}"/>
    <cellStyle name="Überschrift 4 14 2_est. MEAT" xfId="26337" xr:uid="{00000000-0005-0000-0000-000058620000}"/>
    <cellStyle name="Überschrift 4 14 3" xfId="20473" xr:uid="{00000000-0005-0000-0000-000059620000}"/>
    <cellStyle name="Überschrift 4 14_2012-2019" xfId="13416" xr:uid="{00000000-0005-0000-0000-00005A620000}"/>
    <cellStyle name="Überschrift 4 140" xfId="11060" xr:uid="{00000000-0005-0000-0000-00005B620000}"/>
    <cellStyle name="Überschrift 4 140 2" xfId="20475" xr:uid="{00000000-0005-0000-0000-00005C620000}"/>
    <cellStyle name="Überschrift 4 140_est. MEAT" xfId="26338" xr:uid="{00000000-0005-0000-0000-00005D620000}"/>
    <cellStyle name="Überschrift 4 141" xfId="11061" xr:uid="{00000000-0005-0000-0000-00005E620000}"/>
    <cellStyle name="Überschrift 4 141 2" xfId="20476" xr:uid="{00000000-0005-0000-0000-00005F620000}"/>
    <cellStyle name="Überschrift 4 141_est. MEAT" xfId="26339" xr:uid="{00000000-0005-0000-0000-000060620000}"/>
    <cellStyle name="Überschrift 4 142" xfId="11062" xr:uid="{00000000-0005-0000-0000-000061620000}"/>
    <cellStyle name="Überschrift 4 142 2" xfId="20477" xr:uid="{00000000-0005-0000-0000-000062620000}"/>
    <cellStyle name="Überschrift 4 142_est. MEAT" xfId="26340" xr:uid="{00000000-0005-0000-0000-000063620000}"/>
    <cellStyle name="Überschrift 4 143" xfId="11063" xr:uid="{00000000-0005-0000-0000-000064620000}"/>
    <cellStyle name="Überschrift 4 143 2" xfId="20478" xr:uid="{00000000-0005-0000-0000-000065620000}"/>
    <cellStyle name="Überschrift 4 143_est. MEAT" xfId="26341" xr:uid="{00000000-0005-0000-0000-000066620000}"/>
    <cellStyle name="Überschrift 4 144" xfId="11064" xr:uid="{00000000-0005-0000-0000-000067620000}"/>
    <cellStyle name="Überschrift 4 144 2" xfId="20479" xr:uid="{00000000-0005-0000-0000-000068620000}"/>
    <cellStyle name="Überschrift 4 144_est. MEAT" xfId="26342" xr:uid="{00000000-0005-0000-0000-000069620000}"/>
    <cellStyle name="Überschrift 4 145" xfId="11065" xr:uid="{00000000-0005-0000-0000-00006A620000}"/>
    <cellStyle name="Überschrift 4 145 2" xfId="20480" xr:uid="{00000000-0005-0000-0000-00006B620000}"/>
    <cellStyle name="Überschrift 4 145_est. MEAT" xfId="26343" xr:uid="{00000000-0005-0000-0000-00006C620000}"/>
    <cellStyle name="Überschrift 4 146" xfId="11066" xr:uid="{00000000-0005-0000-0000-00006D620000}"/>
    <cellStyle name="Überschrift 4 146 2" xfId="20481" xr:uid="{00000000-0005-0000-0000-00006E620000}"/>
    <cellStyle name="Überschrift 4 146_est. MEAT" xfId="26344" xr:uid="{00000000-0005-0000-0000-00006F620000}"/>
    <cellStyle name="Überschrift 4 147" xfId="11067" xr:uid="{00000000-0005-0000-0000-000070620000}"/>
    <cellStyle name="Überschrift 4 147 2" xfId="20482" xr:uid="{00000000-0005-0000-0000-000071620000}"/>
    <cellStyle name="Überschrift 4 147_est. MEAT" xfId="26345" xr:uid="{00000000-0005-0000-0000-000072620000}"/>
    <cellStyle name="Überschrift 4 148" xfId="11068" xr:uid="{00000000-0005-0000-0000-000073620000}"/>
    <cellStyle name="Überschrift 4 148 2" xfId="20483" xr:uid="{00000000-0005-0000-0000-000074620000}"/>
    <cellStyle name="Überschrift 4 148_est. MEAT" xfId="26346" xr:uid="{00000000-0005-0000-0000-000075620000}"/>
    <cellStyle name="Überschrift 4 149" xfId="11069" xr:uid="{00000000-0005-0000-0000-000076620000}"/>
    <cellStyle name="Überschrift 4 149 2" xfId="20484" xr:uid="{00000000-0005-0000-0000-000077620000}"/>
    <cellStyle name="Überschrift 4 149_est. MEAT" xfId="26347" xr:uid="{00000000-0005-0000-0000-000078620000}"/>
    <cellStyle name="Überschrift 4 15" xfId="11070" xr:uid="{00000000-0005-0000-0000-000079620000}"/>
    <cellStyle name="Überschrift 4 15 2" xfId="20485" xr:uid="{00000000-0005-0000-0000-00007A620000}"/>
    <cellStyle name="Überschrift 4 15_est. MEAT" xfId="26348" xr:uid="{00000000-0005-0000-0000-00007B620000}"/>
    <cellStyle name="Überschrift 4 150" xfId="11071" xr:uid="{00000000-0005-0000-0000-00007C620000}"/>
    <cellStyle name="Überschrift 4 150 2" xfId="20486" xr:uid="{00000000-0005-0000-0000-00007D620000}"/>
    <cellStyle name="Überschrift 4 150_est. MEAT" xfId="26349" xr:uid="{00000000-0005-0000-0000-00007E620000}"/>
    <cellStyle name="Überschrift 4 151" xfId="11072" xr:uid="{00000000-0005-0000-0000-00007F620000}"/>
    <cellStyle name="Überschrift 4 151 2" xfId="20487" xr:uid="{00000000-0005-0000-0000-000080620000}"/>
    <cellStyle name="Überschrift 4 151_est. MEAT" xfId="26350" xr:uid="{00000000-0005-0000-0000-000081620000}"/>
    <cellStyle name="Überschrift 4 152" xfId="20424" xr:uid="{00000000-0005-0000-0000-000082620000}"/>
    <cellStyle name="Überschrift 4 16" xfId="11073" xr:uid="{00000000-0005-0000-0000-000083620000}"/>
    <cellStyle name="Überschrift 4 16 2" xfId="20488" xr:uid="{00000000-0005-0000-0000-000084620000}"/>
    <cellStyle name="Überschrift 4 16_est. MEAT" xfId="26351" xr:uid="{00000000-0005-0000-0000-000085620000}"/>
    <cellStyle name="Überschrift 4 17" xfId="11074" xr:uid="{00000000-0005-0000-0000-000086620000}"/>
    <cellStyle name="Überschrift 4 17 2" xfId="20489" xr:uid="{00000000-0005-0000-0000-000087620000}"/>
    <cellStyle name="Überschrift 4 17_est. MEAT" xfId="26352" xr:uid="{00000000-0005-0000-0000-000088620000}"/>
    <cellStyle name="Überschrift 4 18" xfId="11075" xr:uid="{00000000-0005-0000-0000-000089620000}"/>
    <cellStyle name="Überschrift 4 18 2" xfId="20490" xr:uid="{00000000-0005-0000-0000-00008A620000}"/>
    <cellStyle name="Überschrift 4 18_est. MEAT" xfId="26353" xr:uid="{00000000-0005-0000-0000-00008B620000}"/>
    <cellStyle name="Überschrift 4 19" xfId="11076" xr:uid="{00000000-0005-0000-0000-00008C620000}"/>
    <cellStyle name="Überschrift 4 19 2" xfId="20491" xr:uid="{00000000-0005-0000-0000-00008D620000}"/>
    <cellStyle name="Überschrift 4 19_est. MEAT" xfId="26354" xr:uid="{00000000-0005-0000-0000-00008E620000}"/>
    <cellStyle name="Überschrift 4 2" xfId="11077" xr:uid="{00000000-0005-0000-0000-00008F620000}"/>
    <cellStyle name="Überschrift 4 2 2" xfId="11078" xr:uid="{00000000-0005-0000-0000-000090620000}"/>
    <cellStyle name="Überschrift 4 2 2 2" xfId="20493" xr:uid="{00000000-0005-0000-0000-000091620000}"/>
    <cellStyle name="Überschrift 4 2 2_est. MEAT" xfId="26355" xr:uid="{00000000-0005-0000-0000-000092620000}"/>
    <cellStyle name="Überschrift 4 2 3" xfId="20492" xr:uid="{00000000-0005-0000-0000-000093620000}"/>
    <cellStyle name="Überschrift 4 2_2012-2019" xfId="13417" xr:uid="{00000000-0005-0000-0000-000094620000}"/>
    <cellStyle name="Überschrift 4 20" xfId="11079" xr:uid="{00000000-0005-0000-0000-000095620000}"/>
    <cellStyle name="Überschrift 4 20 2" xfId="20494" xr:uid="{00000000-0005-0000-0000-000096620000}"/>
    <cellStyle name="Überschrift 4 20_est. MEAT" xfId="26356" xr:uid="{00000000-0005-0000-0000-000097620000}"/>
    <cellStyle name="Überschrift 4 21" xfId="11080" xr:uid="{00000000-0005-0000-0000-000098620000}"/>
    <cellStyle name="Überschrift 4 21 2" xfId="20495" xr:uid="{00000000-0005-0000-0000-000099620000}"/>
    <cellStyle name="Überschrift 4 21_est. MEAT" xfId="26357" xr:uid="{00000000-0005-0000-0000-00009A620000}"/>
    <cellStyle name="Überschrift 4 22" xfId="11081" xr:uid="{00000000-0005-0000-0000-00009B620000}"/>
    <cellStyle name="Überschrift 4 22 2" xfId="20496" xr:uid="{00000000-0005-0000-0000-00009C620000}"/>
    <cellStyle name="Überschrift 4 22_est. MEAT" xfId="26358" xr:uid="{00000000-0005-0000-0000-00009D620000}"/>
    <cellStyle name="Überschrift 4 23" xfId="11082" xr:uid="{00000000-0005-0000-0000-00009E620000}"/>
    <cellStyle name="Überschrift 4 23 2" xfId="20497" xr:uid="{00000000-0005-0000-0000-00009F620000}"/>
    <cellStyle name="Überschrift 4 23_est. MEAT" xfId="26359" xr:uid="{00000000-0005-0000-0000-0000A0620000}"/>
    <cellStyle name="Überschrift 4 24" xfId="11083" xr:uid="{00000000-0005-0000-0000-0000A1620000}"/>
    <cellStyle name="Überschrift 4 24 2" xfId="20498" xr:uid="{00000000-0005-0000-0000-0000A2620000}"/>
    <cellStyle name="Überschrift 4 24_est. MEAT" xfId="26360" xr:uid="{00000000-0005-0000-0000-0000A3620000}"/>
    <cellStyle name="Überschrift 4 25" xfId="11084" xr:uid="{00000000-0005-0000-0000-0000A4620000}"/>
    <cellStyle name="Überschrift 4 25 2" xfId="20499" xr:uid="{00000000-0005-0000-0000-0000A5620000}"/>
    <cellStyle name="Überschrift 4 25_est. MEAT" xfId="26361" xr:uid="{00000000-0005-0000-0000-0000A6620000}"/>
    <cellStyle name="Überschrift 4 26" xfId="11085" xr:uid="{00000000-0005-0000-0000-0000A7620000}"/>
    <cellStyle name="Überschrift 4 26 2" xfId="20500" xr:uid="{00000000-0005-0000-0000-0000A8620000}"/>
    <cellStyle name="Überschrift 4 26_est. MEAT" xfId="26362" xr:uid="{00000000-0005-0000-0000-0000A9620000}"/>
    <cellStyle name="Überschrift 4 27" xfId="11086" xr:uid="{00000000-0005-0000-0000-0000AA620000}"/>
    <cellStyle name="Überschrift 4 27 2" xfId="20501" xr:uid="{00000000-0005-0000-0000-0000AB620000}"/>
    <cellStyle name="Überschrift 4 27_est. MEAT" xfId="26363" xr:uid="{00000000-0005-0000-0000-0000AC620000}"/>
    <cellStyle name="Überschrift 4 28" xfId="11087" xr:uid="{00000000-0005-0000-0000-0000AD620000}"/>
    <cellStyle name="Überschrift 4 28 2" xfId="20502" xr:uid="{00000000-0005-0000-0000-0000AE620000}"/>
    <cellStyle name="Überschrift 4 28_est. MEAT" xfId="26364" xr:uid="{00000000-0005-0000-0000-0000AF620000}"/>
    <cellStyle name="Überschrift 4 29" xfId="11088" xr:uid="{00000000-0005-0000-0000-0000B0620000}"/>
    <cellStyle name="Überschrift 4 29 2" xfId="20503" xr:uid="{00000000-0005-0000-0000-0000B1620000}"/>
    <cellStyle name="Überschrift 4 29_est. MEAT" xfId="26365" xr:uid="{00000000-0005-0000-0000-0000B2620000}"/>
    <cellStyle name="Überschrift 4 3" xfId="11089" xr:uid="{00000000-0005-0000-0000-0000B3620000}"/>
    <cellStyle name="Überschrift 4 3 2" xfId="11090" xr:uid="{00000000-0005-0000-0000-0000B4620000}"/>
    <cellStyle name="Überschrift 4 3 2 2" xfId="20505" xr:uid="{00000000-0005-0000-0000-0000B5620000}"/>
    <cellStyle name="Überschrift 4 3 2_est. MEAT" xfId="26366" xr:uid="{00000000-0005-0000-0000-0000B6620000}"/>
    <cellStyle name="Überschrift 4 3 3" xfId="20504" xr:uid="{00000000-0005-0000-0000-0000B7620000}"/>
    <cellStyle name="Überschrift 4 3_2012-2019" xfId="13418" xr:uid="{00000000-0005-0000-0000-0000B8620000}"/>
    <cellStyle name="Überschrift 4 30" xfId="11091" xr:uid="{00000000-0005-0000-0000-0000B9620000}"/>
    <cellStyle name="Überschrift 4 30 2" xfId="20506" xr:uid="{00000000-0005-0000-0000-0000BA620000}"/>
    <cellStyle name="Überschrift 4 30_est. MEAT" xfId="26367" xr:uid="{00000000-0005-0000-0000-0000BB620000}"/>
    <cellStyle name="Überschrift 4 31" xfId="11092" xr:uid="{00000000-0005-0000-0000-0000BC620000}"/>
    <cellStyle name="Überschrift 4 31 2" xfId="20507" xr:uid="{00000000-0005-0000-0000-0000BD620000}"/>
    <cellStyle name="Überschrift 4 31_est. MEAT" xfId="26368" xr:uid="{00000000-0005-0000-0000-0000BE620000}"/>
    <cellStyle name="Überschrift 4 32" xfId="11093" xr:uid="{00000000-0005-0000-0000-0000BF620000}"/>
    <cellStyle name="Überschrift 4 32 2" xfId="20508" xr:uid="{00000000-0005-0000-0000-0000C0620000}"/>
    <cellStyle name="Überschrift 4 32_est. MEAT" xfId="26369" xr:uid="{00000000-0005-0000-0000-0000C1620000}"/>
    <cellStyle name="Überschrift 4 33" xfId="11094" xr:uid="{00000000-0005-0000-0000-0000C2620000}"/>
    <cellStyle name="Überschrift 4 33 2" xfId="20509" xr:uid="{00000000-0005-0000-0000-0000C3620000}"/>
    <cellStyle name="Überschrift 4 33_est. MEAT" xfId="26370" xr:uid="{00000000-0005-0000-0000-0000C4620000}"/>
    <cellStyle name="Überschrift 4 34" xfId="11095" xr:uid="{00000000-0005-0000-0000-0000C5620000}"/>
    <cellStyle name="Überschrift 4 34 2" xfId="20510" xr:uid="{00000000-0005-0000-0000-0000C6620000}"/>
    <cellStyle name="Überschrift 4 34_est. MEAT" xfId="26371" xr:uid="{00000000-0005-0000-0000-0000C7620000}"/>
    <cellStyle name="Überschrift 4 35" xfId="11096" xr:uid="{00000000-0005-0000-0000-0000C8620000}"/>
    <cellStyle name="Überschrift 4 35 2" xfId="20511" xr:uid="{00000000-0005-0000-0000-0000C9620000}"/>
    <cellStyle name="Überschrift 4 35_est. MEAT" xfId="26372" xr:uid="{00000000-0005-0000-0000-0000CA620000}"/>
    <cellStyle name="Überschrift 4 36" xfId="11097" xr:uid="{00000000-0005-0000-0000-0000CB620000}"/>
    <cellStyle name="Überschrift 4 36 2" xfId="20512" xr:uid="{00000000-0005-0000-0000-0000CC620000}"/>
    <cellStyle name="Überschrift 4 36_est. MEAT" xfId="26373" xr:uid="{00000000-0005-0000-0000-0000CD620000}"/>
    <cellStyle name="Überschrift 4 37" xfId="11098" xr:uid="{00000000-0005-0000-0000-0000CE620000}"/>
    <cellStyle name="Überschrift 4 37 2" xfId="20513" xr:uid="{00000000-0005-0000-0000-0000CF620000}"/>
    <cellStyle name="Überschrift 4 37_est. MEAT" xfId="26374" xr:uid="{00000000-0005-0000-0000-0000D0620000}"/>
    <cellStyle name="Überschrift 4 38" xfId="11099" xr:uid="{00000000-0005-0000-0000-0000D1620000}"/>
    <cellStyle name="Überschrift 4 38 2" xfId="20514" xr:uid="{00000000-0005-0000-0000-0000D2620000}"/>
    <cellStyle name="Überschrift 4 38_est. MEAT" xfId="26375" xr:uid="{00000000-0005-0000-0000-0000D3620000}"/>
    <cellStyle name="Überschrift 4 39" xfId="11100" xr:uid="{00000000-0005-0000-0000-0000D4620000}"/>
    <cellStyle name="Überschrift 4 39 2" xfId="20515" xr:uid="{00000000-0005-0000-0000-0000D5620000}"/>
    <cellStyle name="Überschrift 4 39_est. MEAT" xfId="26376" xr:uid="{00000000-0005-0000-0000-0000D6620000}"/>
    <cellStyle name="Überschrift 4 4" xfId="11101" xr:uid="{00000000-0005-0000-0000-0000D7620000}"/>
    <cellStyle name="Überschrift 4 4 2" xfId="11102" xr:uid="{00000000-0005-0000-0000-0000D8620000}"/>
    <cellStyle name="Überschrift 4 4 2 2" xfId="20517" xr:uid="{00000000-0005-0000-0000-0000D9620000}"/>
    <cellStyle name="Überschrift 4 4 2_est. MEAT" xfId="26377" xr:uid="{00000000-0005-0000-0000-0000DA620000}"/>
    <cellStyle name="Überschrift 4 4 3" xfId="20516" xr:uid="{00000000-0005-0000-0000-0000DB620000}"/>
    <cellStyle name="Überschrift 4 4_2012-2019" xfId="13419" xr:uid="{00000000-0005-0000-0000-0000DC620000}"/>
    <cellStyle name="Überschrift 4 40" xfId="11103" xr:uid="{00000000-0005-0000-0000-0000DD620000}"/>
    <cellStyle name="Überschrift 4 40 2" xfId="20518" xr:uid="{00000000-0005-0000-0000-0000DE620000}"/>
    <cellStyle name="Überschrift 4 40_est. MEAT" xfId="26378" xr:uid="{00000000-0005-0000-0000-0000DF620000}"/>
    <cellStyle name="Überschrift 4 41" xfId="11104" xr:uid="{00000000-0005-0000-0000-0000E0620000}"/>
    <cellStyle name="Überschrift 4 41 2" xfId="20519" xr:uid="{00000000-0005-0000-0000-0000E1620000}"/>
    <cellStyle name="Überschrift 4 41_est. MEAT" xfId="26379" xr:uid="{00000000-0005-0000-0000-0000E2620000}"/>
    <cellStyle name="Überschrift 4 42" xfId="11105" xr:uid="{00000000-0005-0000-0000-0000E3620000}"/>
    <cellStyle name="Überschrift 4 42 2" xfId="20520" xr:uid="{00000000-0005-0000-0000-0000E4620000}"/>
    <cellStyle name="Überschrift 4 42_est. MEAT" xfId="26380" xr:uid="{00000000-0005-0000-0000-0000E5620000}"/>
    <cellStyle name="Überschrift 4 43" xfId="11106" xr:uid="{00000000-0005-0000-0000-0000E6620000}"/>
    <cellStyle name="Überschrift 4 43 2" xfId="20521" xr:uid="{00000000-0005-0000-0000-0000E7620000}"/>
    <cellStyle name="Überschrift 4 43_est. MEAT" xfId="26381" xr:uid="{00000000-0005-0000-0000-0000E8620000}"/>
    <cellStyle name="Überschrift 4 44" xfId="11107" xr:uid="{00000000-0005-0000-0000-0000E9620000}"/>
    <cellStyle name="Überschrift 4 44 2" xfId="20522" xr:uid="{00000000-0005-0000-0000-0000EA620000}"/>
    <cellStyle name="Überschrift 4 44_est. MEAT" xfId="26382" xr:uid="{00000000-0005-0000-0000-0000EB620000}"/>
    <cellStyle name="Überschrift 4 45" xfId="11108" xr:uid="{00000000-0005-0000-0000-0000EC620000}"/>
    <cellStyle name="Überschrift 4 45 2" xfId="20523" xr:uid="{00000000-0005-0000-0000-0000ED620000}"/>
    <cellStyle name="Überschrift 4 45_est. MEAT" xfId="26383" xr:uid="{00000000-0005-0000-0000-0000EE620000}"/>
    <cellStyle name="Überschrift 4 46" xfId="11109" xr:uid="{00000000-0005-0000-0000-0000EF620000}"/>
    <cellStyle name="Überschrift 4 46 2" xfId="20524" xr:uid="{00000000-0005-0000-0000-0000F0620000}"/>
    <cellStyle name="Überschrift 4 46_est. MEAT" xfId="26384" xr:uid="{00000000-0005-0000-0000-0000F1620000}"/>
    <cellStyle name="Überschrift 4 47" xfId="11110" xr:uid="{00000000-0005-0000-0000-0000F2620000}"/>
    <cellStyle name="Überschrift 4 47 2" xfId="20525" xr:uid="{00000000-0005-0000-0000-0000F3620000}"/>
    <cellStyle name="Überschrift 4 47_est. MEAT" xfId="26385" xr:uid="{00000000-0005-0000-0000-0000F4620000}"/>
    <cellStyle name="Überschrift 4 48" xfId="11111" xr:uid="{00000000-0005-0000-0000-0000F5620000}"/>
    <cellStyle name="Überschrift 4 48 2" xfId="20526" xr:uid="{00000000-0005-0000-0000-0000F6620000}"/>
    <cellStyle name="Überschrift 4 48_est. MEAT" xfId="26386" xr:uid="{00000000-0005-0000-0000-0000F7620000}"/>
    <cellStyle name="Überschrift 4 49" xfId="11112" xr:uid="{00000000-0005-0000-0000-0000F8620000}"/>
    <cellStyle name="Überschrift 4 49 2" xfId="20527" xr:uid="{00000000-0005-0000-0000-0000F9620000}"/>
    <cellStyle name="Überschrift 4 49_est. MEAT" xfId="26387" xr:uid="{00000000-0005-0000-0000-0000FA620000}"/>
    <cellStyle name="Überschrift 4 5" xfId="11113" xr:uid="{00000000-0005-0000-0000-0000FB620000}"/>
    <cellStyle name="Überschrift 4 5 2" xfId="11114" xr:uid="{00000000-0005-0000-0000-0000FC620000}"/>
    <cellStyle name="Überschrift 4 5 2 2" xfId="20529" xr:uid="{00000000-0005-0000-0000-0000FD620000}"/>
    <cellStyle name="Überschrift 4 5 2_est. MEAT" xfId="26388" xr:uid="{00000000-0005-0000-0000-0000FE620000}"/>
    <cellStyle name="Überschrift 4 5 3" xfId="20528" xr:uid="{00000000-0005-0000-0000-0000FF620000}"/>
    <cellStyle name="Überschrift 4 5_2012-2019" xfId="13420" xr:uid="{00000000-0005-0000-0000-000000630000}"/>
    <cellStyle name="Überschrift 4 50" xfId="11115" xr:uid="{00000000-0005-0000-0000-000001630000}"/>
    <cellStyle name="Überschrift 4 50 2" xfId="20530" xr:uid="{00000000-0005-0000-0000-000002630000}"/>
    <cellStyle name="Überschrift 4 50_est. MEAT" xfId="26389" xr:uid="{00000000-0005-0000-0000-000003630000}"/>
    <cellStyle name="Überschrift 4 51" xfId="11116" xr:uid="{00000000-0005-0000-0000-000004630000}"/>
    <cellStyle name="Überschrift 4 51 2" xfId="20531" xr:uid="{00000000-0005-0000-0000-000005630000}"/>
    <cellStyle name="Überschrift 4 51_est. MEAT" xfId="26390" xr:uid="{00000000-0005-0000-0000-000006630000}"/>
    <cellStyle name="Überschrift 4 52" xfId="11117" xr:uid="{00000000-0005-0000-0000-000007630000}"/>
    <cellStyle name="Überschrift 4 52 2" xfId="20532" xr:uid="{00000000-0005-0000-0000-000008630000}"/>
    <cellStyle name="Überschrift 4 52_est. MEAT" xfId="26391" xr:uid="{00000000-0005-0000-0000-000009630000}"/>
    <cellStyle name="Überschrift 4 53" xfId="11118" xr:uid="{00000000-0005-0000-0000-00000A630000}"/>
    <cellStyle name="Überschrift 4 53 2" xfId="20533" xr:uid="{00000000-0005-0000-0000-00000B630000}"/>
    <cellStyle name="Überschrift 4 53_est. MEAT" xfId="26392" xr:uid="{00000000-0005-0000-0000-00000C630000}"/>
    <cellStyle name="Überschrift 4 54" xfId="11119" xr:uid="{00000000-0005-0000-0000-00000D630000}"/>
    <cellStyle name="Überschrift 4 54 2" xfId="20534" xr:uid="{00000000-0005-0000-0000-00000E630000}"/>
    <cellStyle name="Überschrift 4 54_est. MEAT" xfId="26393" xr:uid="{00000000-0005-0000-0000-00000F630000}"/>
    <cellStyle name="Überschrift 4 55" xfId="11120" xr:uid="{00000000-0005-0000-0000-000010630000}"/>
    <cellStyle name="Überschrift 4 55 2" xfId="20535" xr:uid="{00000000-0005-0000-0000-000011630000}"/>
    <cellStyle name="Überschrift 4 55_est. MEAT" xfId="26394" xr:uid="{00000000-0005-0000-0000-000012630000}"/>
    <cellStyle name="Überschrift 4 56" xfId="11121" xr:uid="{00000000-0005-0000-0000-000013630000}"/>
    <cellStyle name="Überschrift 4 56 2" xfId="20536" xr:uid="{00000000-0005-0000-0000-000014630000}"/>
    <cellStyle name="Überschrift 4 56_est. MEAT" xfId="26395" xr:uid="{00000000-0005-0000-0000-000015630000}"/>
    <cellStyle name="Überschrift 4 57" xfId="11122" xr:uid="{00000000-0005-0000-0000-000016630000}"/>
    <cellStyle name="Überschrift 4 57 2" xfId="20537" xr:uid="{00000000-0005-0000-0000-000017630000}"/>
    <cellStyle name="Überschrift 4 57_est. MEAT" xfId="26396" xr:uid="{00000000-0005-0000-0000-000018630000}"/>
    <cellStyle name="Überschrift 4 58" xfId="11123" xr:uid="{00000000-0005-0000-0000-000019630000}"/>
    <cellStyle name="Überschrift 4 58 2" xfId="20538" xr:uid="{00000000-0005-0000-0000-00001A630000}"/>
    <cellStyle name="Überschrift 4 58_est. MEAT" xfId="26397" xr:uid="{00000000-0005-0000-0000-00001B630000}"/>
    <cellStyle name="Überschrift 4 59" xfId="11124" xr:uid="{00000000-0005-0000-0000-00001C630000}"/>
    <cellStyle name="Überschrift 4 59 2" xfId="20539" xr:uid="{00000000-0005-0000-0000-00001D630000}"/>
    <cellStyle name="Überschrift 4 59_est. MEAT" xfId="26398" xr:uid="{00000000-0005-0000-0000-00001E630000}"/>
    <cellStyle name="Überschrift 4 6" xfId="11125" xr:uid="{00000000-0005-0000-0000-00001F630000}"/>
    <cellStyle name="Überschrift 4 6 2" xfId="11126" xr:uid="{00000000-0005-0000-0000-000020630000}"/>
    <cellStyle name="Überschrift 4 6 2 2" xfId="20541" xr:uid="{00000000-0005-0000-0000-000021630000}"/>
    <cellStyle name="Überschrift 4 6 2_est. MEAT" xfId="26399" xr:uid="{00000000-0005-0000-0000-000022630000}"/>
    <cellStyle name="Überschrift 4 6 3" xfId="20540" xr:uid="{00000000-0005-0000-0000-000023630000}"/>
    <cellStyle name="Überschrift 4 6_2012-2019" xfId="13421" xr:uid="{00000000-0005-0000-0000-000024630000}"/>
    <cellStyle name="Überschrift 4 60" xfId="11127" xr:uid="{00000000-0005-0000-0000-000025630000}"/>
    <cellStyle name="Überschrift 4 60 2" xfId="20542" xr:uid="{00000000-0005-0000-0000-000026630000}"/>
    <cellStyle name="Überschrift 4 60_est. MEAT" xfId="26400" xr:uid="{00000000-0005-0000-0000-000027630000}"/>
    <cellStyle name="Überschrift 4 61" xfId="11128" xr:uid="{00000000-0005-0000-0000-000028630000}"/>
    <cellStyle name="Überschrift 4 61 2" xfId="20543" xr:uid="{00000000-0005-0000-0000-000029630000}"/>
    <cellStyle name="Überschrift 4 61_est. MEAT" xfId="26401" xr:uid="{00000000-0005-0000-0000-00002A630000}"/>
    <cellStyle name="Überschrift 4 62" xfId="11129" xr:uid="{00000000-0005-0000-0000-00002B630000}"/>
    <cellStyle name="Überschrift 4 62 2" xfId="20544" xr:uid="{00000000-0005-0000-0000-00002C630000}"/>
    <cellStyle name="Überschrift 4 62_est. MEAT" xfId="26402" xr:uid="{00000000-0005-0000-0000-00002D630000}"/>
    <cellStyle name="Überschrift 4 63" xfId="11130" xr:uid="{00000000-0005-0000-0000-00002E630000}"/>
    <cellStyle name="Überschrift 4 63 2" xfId="20545" xr:uid="{00000000-0005-0000-0000-00002F630000}"/>
    <cellStyle name="Überschrift 4 63_est. MEAT" xfId="26403" xr:uid="{00000000-0005-0000-0000-000030630000}"/>
    <cellStyle name="Überschrift 4 64" xfId="11131" xr:uid="{00000000-0005-0000-0000-000031630000}"/>
    <cellStyle name="Überschrift 4 64 2" xfId="20546" xr:uid="{00000000-0005-0000-0000-000032630000}"/>
    <cellStyle name="Überschrift 4 64_est. MEAT" xfId="26404" xr:uid="{00000000-0005-0000-0000-000033630000}"/>
    <cellStyle name="Überschrift 4 65" xfId="11132" xr:uid="{00000000-0005-0000-0000-000034630000}"/>
    <cellStyle name="Überschrift 4 65 2" xfId="20547" xr:uid="{00000000-0005-0000-0000-000035630000}"/>
    <cellStyle name="Überschrift 4 65_est. MEAT" xfId="26405" xr:uid="{00000000-0005-0000-0000-000036630000}"/>
    <cellStyle name="Überschrift 4 66" xfId="11133" xr:uid="{00000000-0005-0000-0000-000037630000}"/>
    <cellStyle name="Überschrift 4 66 2" xfId="20548" xr:uid="{00000000-0005-0000-0000-000038630000}"/>
    <cellStyle name="Überschrift 4 66_est. MEAT" xfId="26406" xr:uid="{00000000-0005-0000-0000-000039630000}"/>
    <cellStyle name="Überschrift 4 67" xfId="11134" xr:uid="{00000000-0005-0000-0000-00003A630000}"/>
    <cellStyle name="Überschrift 4 67 2" xfId="20549" xr:uid="{00000000-0005-0000-0000-00003B630000}"/>
    <cellStyle name="Überschrift 4 67_est. MEAT" xfId="26407" xr:uid="{00000000-0005-0000-0000-00003C630000}"/>
    <cellStyle name="Überschrift 4 68" xfId="11135" xr:uid="{00000000-0005-0000-0000-00003D630000}"/>
    <cellStyle name="Überschrift 4 68 2" xfId="20550" xr:uid="{00000000-0005-0000-0000-00003E630000}"/>
    <cellStyle name="Überschrift 4 68_est. MEAT" xfId="26408" xr:uid="{00000000-0005-0000-0000-00003F630000}"/>
    <cellStyle name="Überschrift 4 69" xfId="11136" xr:uid="{00000000-0005-0000-0000-000040630000}"/>
    <cellStyle name="Überschrift 4 69 2" xfId="20551" xr:uid="{00000000-0005-0000-0000-000041630000}"/>
    <cellStyle name="Überschrift 4 69_est. MEAT" xfId="26409" xr:uid="{00000000-0005-0000-0000-000042630000}"/>
    <cellStyle name="Überschrift 4 7" xfId="11137" xr:uid="{00000000-0005-0000-0000-000043630000}"/>
    <cellStyle name="Überschrift 4 7 2" xfId="11138" xr:uid="{00000000-0005-0000-0000-000044630000}"/>
    <cellStyle name="Überschrift 4 7 2 2" xfId="20553" xr:uid="{00000000-0005-0000-0000-000045630000}"/>
    <cellStyle name="Überschrift 4 7 2_est. MEAT" xfId="26410" xr:uid="{00000000-0005-0000-0000-000046630000}"/>
    <cellStyle name="Überschrift 4 7 3" xfId="20552" xr:uid="{00000000-0005-0000-0000-000047630000}"/>
    <cellStyle name="Überschrift 4 7_2012-2019" xfId="13422" xr:uid="{00000000-0005-0000-0000-000048630000}"/>
    <cellStyle name="Überschrift 4 70" xfId="11139" xr:uid="{00000000-0005-0000-0000-000049630000}"/>
    <cellStyle name="Überschrift 4 70 2" xfId="20554" xr:uid="{00000000-0005-0000-0000-00004A630000}"/>
    <cellStyle name="Überschrift 4 70_est. MEAT" xfId="26411" xr:uid="{00000000-0005-0000-0000-00004B630000}"/>
    <cellStyle name="Überschrift 4 71" xfId="11140" xr:uid="{00000000-0005-0000-0000-00004C630000}"/>
    <cellStyle name="Überschrift 4 71 2" xfId="20555" xr:uid="{00000000-0005-0000-0000-00004D630000}"/>
    <cellStyle name="Überschrift 4 71_est. MEAT" xfId="26412" xr:uid="{00000000-0005-0000-0000-00004E630000}"/>
    <cellStyle name="Überschrift 4 72" xfId="11141" xr:uid="{00000000-0005-0000-0000-00004F630000}"/>
    <cellStyle name="Überschrift 4 72 2" xfId="20556" xr:uid="{00000000-0005-0000-0000-000050630000}"/>
    <cellStyle name="Überschrift 4 72_est. MEAT" xfId="26413" xr:uid="{00000000-0005-0000-0000-000051630000}"/>
    <cellStyle name="Überschrift 4 73" xfId="11142" xr:uid="{00000000-0005-0000-0000-000052630000}"/>
    <cellStyle name="Überschrift 4 73 2" xfId="20557" xr:uid="{00000000-0005-0000-0000-000053630000}"/>
    <cellStyle name="Überschrift 4 73_est. MEAT" xfId="26414" xr:uid="{00000000-0005-0000-0000-000054630000}"/>
    <cellStyle name="Überschrift 4 74" xfId="11143" xr:uid="{00000000-0005-0000-0000-000055630000}"/>
    <cellStyle name="Überschrift 4 74 2" xfId="20558" xr:uid="{00000000-0005-0000-0000-000056630000}"/>
    <cellStyle name="Überschrift 4 74_est. MEAT" xfId="26415" xr:uid="{00000000-0005-0000-0000-000057630000}"/>
    <cellStyle name="Überschrift 4 75" xfId="11144" xr:uid="{00000000-0005-0000-0000-000058630000}"/>
    <cellStyle name="Überschrift 4 75 2" xfId="20559" xr:uid="{00000000-0005-0000-0000-000059630000}"/>
    <cellStyle name="Überschrift 4 75_est. MEAT" xfId="26416" xr:uid="{00000000-0005-0000-0000-00005A630000}"/>
    <cellStyle name="Überschrift 4 76" xfId="11145" xr:uid="{00000000-0005-0000-0000-00005B630000}"/>
    <cellStyle name="Überschrift 4 76 2" xfId="20560" xr:uid="{00000000-0005-0000-0000-00005C630000}"/>
    <cellStyle name="Überschrift 4 76_est. MEAT" xfId="26417" xr:uid="{00000000-0005-0000-0000-00005D630000}"/>
    <cellStyle name="Überschrift 4 77" xfId="11146" xr:uid="{00000000-0005-0000-0000-00005E630000}"/>
    <cellStyle name="Überschrift 4 77 2" xfId="20561" xr:uid="{00000000-0005-0000-0000-00005F630000}"/>
    <cellStyle name="Überschrift 4 77_est. MEAT" xfId="26418" xr:uid="{00000000-0005-0000-0000-000060630000}"/>
    <cellStyle name="Überschrift 4 78" xfId="11147" xr:uid="{00000000-0005-0000-0000-000061630000}"/>
    <cellStyle name="Überschrift 4 78 2" xfId="20562" xr:uid="{00000000-0005-0000-0000-000062630000}"/>
    <cellStyle name="Überschrift 4 78_est. MEAT" xfId="26419" xr:uid="{00000000-0005-0000-0000-000063630000}"/>
    <cellStyle name="Überschrift 4 79" xfId="11148" xr:uid="{00000000-0005-0000-0000-000064630000}"/>
    <cellStyle name="Überschrift 4 79 2" xfId="20563" xr:uid="{00000000-0005-0000-0000-000065630000}"/>
    <cellStyle name="Überschrift 4 79_est. MEAT" xfId="26420" xr:uid="{00000000-0005-0000-0000-000066630000}"/>
    <cellStyle name="Überschrift 4 8" xfId="11149" xr:uid="{00000000-0005-0000-0000-000067630000}"/>
    <cellStyle name="Überschrift 4 8 2" xfId="11150" xr:uid="{00000000-0005-0000-0000-000068630000}"/>
    <cellStyle name="Überschrift 4 8 2 2" xfId="20565" xr:uid="{00000000-0005-0000-0000-000069630000}"/>
    <cellStyle name="Überschrift 4 8 2_est. MEAT" xfId="26421" xr:uid="{00000000-0005-0000-0000-00006A630000}"/>
    <cellStyle name="Überschrift 4 8 3" xfId="20564" xr:uid="{00000000-0005-0000-0000-00006B630000}"/>
    <cellStyle name="Überschrift 4 8_2012-2019" xfId="13423" xr:uid="{00000000-0005-0000-0000-00006C630000}"/>
    <cellStyle name="Überschrift 4 80" xfId="11151" xr:uid="{00000000-0005-0000-0000-00006D630000}"/>
    <cellStyle name="Überschrift 4 80 2" xfId="20566" xr:uid="{00000000-0005-0000-0000-00006E630000}"/>
    <cellStyle name="Überschrift 4 80_est. MEAT" xfId="26422" xr:uid="{00000000-0005-0000-0000-00006F630000}"/>
    <cellStyle name="Überschrift 4 81" xfId="11152" xr:uid="{00000000-0005-0000-0000-000070630000}"/>
    <cellStyle name="Überschrift 4 81 2" xfId="20567" xr:uid="{00000000-0005-0000-0000-000071630000}"/>
    <cellStyle name="Überschrift 4 81_est. MEAT" xfId="26423" xr:uid="{00000000-0005-0000-0000-000072630000}"/>
    <cellStyle name="Überschrift 4 82" xfId="11153" xr:uid="{00000000-0005-0000-0000-000073630000}"/>
    <cellStyle name="Überschrift 4 82 2" xfId="20568" xr:uid="{00000000-0005-0000-0000-000074630000}"/>
    <cellStyle name="Überschrift 4 82_est. MEAT" xfId="26424" xr:uid="{00000000-0005-0000-0000-000075630000}"/>
    <cellStyle name="Überschrift 4 83" xfId="11154" xr:uid="{00000000-0005-0000-0000-000076630000}"/>
    <cellStyle name="Überschrift 4 83 2" xfId="20569" xr:uid="{00000000-0005-0000-0000-000077630000}"/>
    <cellStyle name="Überschrift 4 83_est. MEAT" xfId="26425" xr:uid="{00000000-0005-0000-0000-000078630000}"/>
    <cellStyle name="Überschrift 4 84" xfId="11155" xr:uid="{00000000-0005-0000-0000-000079630000}"/>
    <cellStyle name="Überschrift 4 84 2" xfId="20570" xr:uid="{00000000-0005-0000-0000-00007A630000}"/>
    <cellStyle name="Überschrift 4 84_est. MEAT" xfId="26426" xr:uid="{00000000-0005-0000-0000-00007B630000}"/>
    <cellStyle name="Überschrift 4 85" xfId="11156" xr:uid="{00000000-0005-0000-0000-00007C630000}"/>
    <cellStyle name="Überschrift 4 85 2" xfId="20571" xr:uid="{00000000-0005-0000-0000-00007D630000}"/>
    <cellStyle name="Überschrift 4 85_est. MEAT" xfId="26427" xr:uid="{00000000-0005-0000-0000-00007E630000}"/>
    <cellStyle name="Überschrift 4 86" xfId="11157" xr:uid="{00000000-0005-0000-0000-00007F630000}"/>
    <cellStyle name="Überschrift 4 86 2" xfId="20572" xr:uid="{00000000-0005-0000-0000-000080630000}"/>
    <cellStyle name="Überschrift 4 86_est. MEAT" xfId="26428" xr:uid="{00000000-0005-0000-0000-000081630000}"/>
    <cellStyle name="Überschrift 4 87" xfId="11158" xr:uid="{00000000-0005-0000-0000-000082630000}"/>
    <cellStyle name="Überschrift 4 87 2" xfId="20573" xr:uid="{00000000-0005-0000-0000-000083630000}"/>
    <cellStyle name="Überschrift 4 87_est. MEAT" xfId="26429" xr:uid="{00000000-0005-0000-0000-000084630000}"/>
    <cellStyle name="Überschrift 4 88" xfId="11159" xr:uid="{00000000-0005-0000-0000-000085630000}"/>
    <cellStyle name="Überschrift 4 88 2" xfId="20574" xr:uid="{00000000-0005-0000-0000-000086630000}"/>
    <cellStyle name="Überschrift 4 88_est. MEAT" xfId="26430" xr:uid="{00000000-0005-0000-0000-000087630000}"/>
    <cellStyle name="Überschrift 4 89" xfId="11160" xr:uid="{00000000-0005-0000-0000-000088630000}"/>
    <cellStyle name="Überschrift 4 89 2" xfId="20575" xr:uid="{00000000-0005-0000-0000-000089630000}"/>
    <cellStyle name="Überschrift 4 89_est. MEAT" xfId="26431" xr:uid="{00000000-0005-0000-0000-00008A630000}"/>
    <cellStyle name="Überschrift 4 9" xfId="11161" xr:uid="{00000000-0005-0000-0000-00008B630000}"/>
    <cellStyle name="Überschrift 4 9 2" xfId="11162" xr:uid="{00000000-0005-0000-0000-00008C630000}"/>
    <cellStyle name="Überschrift 4 9 2 2" xfId="20577" xr:uid="{00000000-0005-0000-0000-00008D630000}"/>
    <cellStyle name="Überschrift 4 9 2_est. MEAT" xfId="26432" xr:uid="{00000000-0005-0000-0000-00008E630000}"/>
    <cellStyle name="Überschrift 4 9 3" xfId="20576" xr:uid="{00000000-0005-0000-0000-00008F630000}"/>
    <cellStyle name="Überschrift 4 9_2012-2019" xfId="13424" xr:uid="{00000000-0005-0000-0000-000090630000}"/>
    <cellStyle name="Überschrift 4 90" xfId="11163" xr:uid="{00000000-0005-0000-0000-000091630000}"/>
    <cellStyle name="Überschrift 4 90 2" xfId="20578" xr:uid="{00000000-0005-0000-0000-000092630000}"/>
    <cellStyle name="Überschrift 4 90_est. MEAT" xfId="26433" xr:uid="{00000000-0005-0000-0000-000093630000}"/>
    <cellStyle name="Überschrift 4 91" xfId="11164" xr:uid="{00000000-0005-0000-0000-000094630000}"/>
    <cellStyle name="Überschrift 4 91 2" xfId="20579" xr:uid="{00000000-0005-0000-0000-000095630000}"/>
    <cellStyle name="Überschrift 4 91_est. MEAT" xfId="26434" xr:uid="{00000000-0005-0000-0000-000096630000}"/>
    <cellStyle name="Überschrift 4 92" xfId="11165" xr:uid="{00000000-0005-0000-0000-000097630000}"/>
    <cellStyle name="Überschrift 4 92 2" xfId="20580" xr:uid="{00000000-0005-0000-0000-000098630000}"/>
    <cellStyle name="Überschrift 4 92_est. MEAT" xfId="26435" xr:uid="{00000000-0005-0000-0000-000099630000}"/>
    <cellStyle name="Überschrift 4 93" xfId="11166" xr:uid="{00000000-0005-0000-0000-00009A630000}"/>
    <cellStyle name="Überschrift 4 93 2" xfId="20581" xr:uid="{00000000-0005-0000-0000-00009B630000}"/>
    <cellStyle name="Überschrift 4 93_est. MEAT" xfId="26436" xr:uid="{00000000-0005-0000-0000-00009C630000}"/>
    <cellStyle name="Überschrift 4 94" xfId="11167" xr:uid="{00000000-0005-0000-0000-00009D630000}"/>
    <cellStyle name="Überschrift 4 94 2" xfId="20582" xr:uid="{00000000-0005-0000-0000-00009E630000}"/>
    <cellStyle name="Überschrift 4 94_est. MEAT" xfId="26437" xr:uid="{00000000-0005-0000-0000-00009F630000}"/>
    <cellStyle name="Überschrift 4 95" xfId="11168" xr:uid="{00000000-0005-0000-0000-0000A0630000}"/>
    <cellStyle name="Überschrift 4 95 2" xfId="20583" xr:uid="{00000000-0005-0000-0000-0000A1630000}"/>
    <cellStyle name="Überschrift 4 95_est. MEAT" xfId="26438" xr:uid="{00000000-0005-0000-0000-0000A2630000}"/>
    <cellStyle name="Überschrift 4 96" xfId="11169" xr:uid="{00000000-0005-0000-0000-0000A3630000}"/>
    <cellStyle name="Überschrift 4 96 2" xfId="20584" xr:uid="{00000000-0005-0000-0000-0000A4630000}"/>
    <cellStyle name="Überschrift 4 96_est. MEAT" xfId="26439" xr:uid="{00000000-0005-0000-0000-0000A5630000}"/>
    <cellStyle name="Überschrift 4 97" xfId="11170" xr:uid="{00000000-0005-0000-0000-0000A6630000}"/>
    <cellStyle name="Überschrift 4 97 2" xfId="20585" xr:uid="{00000000-0005-0000-0000-0000A7630000}"/>
    <cellStyle name="Überschrift 4 97_est. MEAT" xfId="26440" xr:uid="{00000000-0005-0000-0000-0000A8630000}"/>
    <cellStyle name="Überschrift 4 98" xfId="11171" xr:uid="{00000000-0005-0000-0000-0000A9630000}"/>
    <cellStyle name="Überschrift 4 98 2" xfId="20586" xr:uid="{00000000-0005-0000-0000-0000AA630000}"/>
    <cellStyle name="Überschrift 4 98_est. MEAT" xfId="26441" xr:uid="{00000000-0005-0000-0000-0000AB630000}"/>
    <cellStyle name="Überschrift 4 99" xfId="11172" xr:uid="{00000000-0005-0000-0000-0000AC630000}"/>
    <cellStyle name="Überschrift 4 99 2" xfId="20587" xr:uid="{00000000-0005-0000-0000-0000AD630000}"/>
    <cellStyle name="Überschrift 4 99_est. MEAT" xfId="26442" xr:uid="{00000000-0005-0000-0000-0000AE630000}"/>
    <cellStyle name="Überschrift 4_2012-2019" xfId="13411" xr:uid="{00000000-0005-0000-0000-0000AF630000}"/>
    <cellStyle name="Überschrift 40" xfId="11173" xr:uid="{00000000-0005-0000-0000-0000B0630000}"/>
    <cellStyle name="Überschrift 40 2" xfId="20588" xr:uid="{00000000-0005-0000-0000-0000B1630000}"/>
    <cellStyle name="Überschrift 40_est. MEAT" xfId="26443" xr:uid="{00000000-0005-0000-0000-0000B2630000}"/>
    <cellStyle name="Überschrift 41" xfId="11174" xr:uid="{00000000-0005-0000-0000-0000B3630000}"/>
    <cellStyle name="Überschrift 41 2" xfId="20589" xr:uid="{00000000-0005-0000-0000-0000B4630000}"/>
    <cellStyle name="Überschrift 41_est. MEAT" xfId="26444" xr:uid="{00000000-0005-0000-0000-0000B5630000}"/>
    <cellStyle name="Überschrift 42" xfId="11175" xr:uid="{00000000-0005-0000-0000-0000B6630000}"/>
    <cellStyle name="Überschrift 42 2" xfId="20590" xr:uid="{00000000-0005-0000-0000-0000B7630000}"/>
    <cellStyle name="Überschrift 42_est. MEAT" xfId="26445" xr:uid="{00000000-0005-0000-0000-0000B8630000}"/>
    <cellStyle name="Überschrift 43" xfId="11176" xr:uid="{00000000-0005-0000-0000-0000B9630000}"/>
    <cellStyle name="Überschrift 43 2" xfId="20591" xr:uid="{00000000-0005-0000-0000-0000BA630000}"/>
    <cellStyle name="Überschrift 43_est. MEAT" xfId="26446" xr:uid="{00000000-0005-0000-0000-0000BB630000}"/>
    <cellStyle name="Überschrift 44" xfId="11177" xr:uid="{00000000-0005-0000-0000-0000BC630000}"/>
    <cellStyle name="Überschrift 44 2" xfId="20592" xr:uid="{00000000-0005-0000-0000-0000BD630000}"/>
    <cellStyle name="Überschrift 44_est. MEAT" xfId="26447" xr:uid="{00000000-0005-0000-0000-0000BE630000}"/>
    <cellStyle name="Überschrift 45" xfId="11178" xr:uid="{00000000-0005-0000-0000-0000BF630000}"/>
    <cellStyle name="Überschrift 45 2" xfId="20593" xr:uid="{00000000-0005-0000-0000-0000C0630000}"/>
    <cellStyle name="Überschrift 45_est. MEAT" xfId="26448" xr:uid="{00000000-0005-0000-0000-0000C1630000}"/>
    <cellStyle name="Überschrift 46" xfId="11179" xr:uid="{00000000-0005-0000-0000-0000C2630000}"/>
    <cellStyle name="Überschrift 46 2" xfId="20594" xr:uid="{00000000-0005-0000-0000-0000C3630000}"/>
    <cellStyle name="Überschrift 46_est. MEAT" xfId="26449" xr:uid="{00000000-0005-0000-0000-0000C4630000}"/>
    <cellStyle name="Überschrift 47" xfId="11180" xr:uid="{00000000-0005-0000-0000-0000C5630000}"/>
    <cellStyle name="Überschrift 47 2" xfId="20595" xr:uid="{00000000-0005-0000-0000-0000C6630000}"/>
    <cellStyle name="Überschrift 47_est. MEAT" xfId="26450" xr:uid="{00000000-0005-0000-0000-0000C7630000}"/>
    <cellStyle name="Überschrift 48" xfId="11181" xr:uid="{00000000-0005-0000-0000-0000C8630000}"/>
    <cellStyle name="Überschrift 48 2" xfId="20596" xr:uid="{00000000-0005-0000-0000-0000C9630000}"/>
    <cellStyle name="Überschrift 48_est. MEAT" xfId="26451" xr:uid="{00000000-0005-0000-0000-0000CA630000}"/>
    <cellStyle name="Überschrift 49" xfId="11182" xr:uid="{00000000-0005-0000-0000-0000CB630000}"/>
    <cellStyle name="Überschrift 49 2" xfId="20597" xr:uid="{00000000-0005-0000-0000-0000CC630000}"/>
    <cellStyle name="Überschrift 49_est. MEAT" xfId="26452" xr:uid="{00000000-0005-0000-0000-0000CD630000}"/>
    <cellStyle name="Überschrift 5" xfId="11183" xr:uid="{00000000-0005-0000-0000-0000CE630000}"/>
    <cellStyle name="Überschrift 5 2" xfId="11184" xr:uid="{00000000-0005-0000-0000-0000CF630000}"/>
    <cellStyle name="Überschrift 5 2 2" xfId="20599" xr:uid="{00000000-0005-0000-0000-0000D0630000}"/>
    <cellStyle name="Überschrift 5 2_est. MEAT" xfId="26453" xr:uid="{00000000-0005-0000-0000-0000D1630000}"/>
    <cellStyle name="Überschrift 5 3" xfId="20598" xr:uid="{00000000-0005-0000-0000-0000D2630000}"/>
    <cellStyle name="Überschrift 5_2012-2019" xfId="13425" xr:uid="{00000000-0005-0000-0000-0000D3630000}"/>
    <cellStyle name="Überschrift 50" xfId="11185" xr:uid="{00000000-0005-0000-0000-0000D4630000}"/>
    <cellStyle name="Überschrift 50 2" xfId="20600" xr:uid="{00000000-0005-0000-0000-0000D5630000}"/>
    <cellStyle name="Überschrift 50_est. MEAT" xfId="26454" xr:uid="{00000000-0005-0000-0000-0000D6630000}"/>
    <cellStyle name="Überschrift 51" xfId="11186" xr:uid="{00000000-0005-0000-0000-0000D7630000}"/>
    <cellStyle name="Überschrift 51 2" xfId="20601" xr:uid="{00000000-0005-0000-0000-0000D8630000}"/>
    <cellStyle name="Überschrift 51_est. MEAT" xfId="26455" xr:uid="{00000000-0005-0000-0000-0000D9630000}"/>
    <cellStyle name="Überschrift 52" xfId="11187" xr:uid="{00000000-0005-0000-0000-0000DA630000}"/>
    <cellStyle name="Überschrift 52 2" xfId="20602" xr:uid="{00000000-0005-0000-0000-0000DB630000}"/>
    <cellStyle name="Überschrift 52_est. MEAT" xfId="26456" xr:uid="{00000000-0005-0000-0000-0000DC630000}"/>
    <cellStyle name="Überschrift 53" xfId="11188" xr:uid="{00000000-0005-0000-0000-0000DD630000}"/>
    <cellStyle name="Überschrift 53 2" xfId="20603" xr:uid="{00000000-0005-0000-0000-0000DE630000}"/>
    <cellStyle name="Überschrift 53_est. MEAT" xfId="26457" xr:uid="{00000000-0005-0000-0000-0000DF630000}"/>
    <cellStyle name="Überschrift 54" xfId="11189" xr:uid="{00000000-0005-0000-0000-0000E0630000}"/>
    <cellStyle name="Überschrift 54 2" xfId="20604" xr:uid="{00000000-0005-0000-0000-0000E1630000}"/>
    <cellStyle name="Überschrift 54_est. MEAT" xfId="26458" xr:uid="{00000000-0005-0000-0000-0000E2630000}"/>
    <cellStyle name="Überschrift 55" xfId="11190" xr:uid="{00000000-0005-0000-0000-0000E3630000}"/>
    <cellStyle name="Überschrift 55 2" xfId="20605" xr:uid="{00000000-0005-0000-0000-0000E4630000}"/>
    <cellStyle name="Überschrift 55_est. MEAT" xfId="26459" xr:uid="{00000000-0005-0000-0000-0000E5630000}"/>
    <cellStyle name="Überschrift 56" xfId="11191" xr:uid="{00000000-0005-0000-0000-0000E6630000}"/>
    <cellStyle name="Überschrift 56 2" xfId="20606" xr:uid="{00000000-0005-0000-0000-0000E7630000}"/>
    <cellStyle name="Überschrift 56_est. MEAT" xfId="26460" xr:uid="{00000000-0005-0000-0000-0000E8630000}"/>
    <cellStyle name="Überschrift 57" xfId="11192" xr:uid="{00000000-0005-0000-0000-0000E9630000}"/>
    <cellStyle name="Überschrift 57 2" xfId="20607" xr:uid="{00000000-0005-0000-0000-0000EA630000}"/>
    <cellStyle name="Überschrift 57_est. MEAT" xfId="26461" xr:uid="{00000000-0005-0000-0000-0000EB630000}"/>
    <cellStyle name="Überschrift 58" xfId="11193" xr:uid="{00000000-0005-0000-0000-0000EC630000}"/>
    <cellStyle name="Überschrift 58 2" xfId="20608" xr:uid="{00000000-0005-0000-0000-0000ED630000}"/>
    <cellStyle name="Überschrift 58_est. MEAT" xfId="26462" xr:uid="{00000000-0005-0000-0000-0000EE630000}"/>
    <cellStyle name="Überschrift 59" xfId="11194" xr:uid="{00000000-0005-0000-0000-0000EF630000}"/>
    <cellStyle name="Überschrift 59 2" xfId="20609" xr:uid="{00000000-0005-0000-0000-0000F0630000}"/>
    <cellStyle name="Überschrift 59_est. MEAT" xfId="26463" xr:uid="{00000000-0005-0000-0000-0000F1630000}"/>
    <cellStyle name="Überschrift 6" xfId="11195" xr:uid="{00000000-0005-0000-0000-0000F2630000}"/>
    <cellStyle name="Überschrift 6 2" xfId="11196" xr:uid="{00000000-0005-0000-0000-0000F3630000}"/>
    <cellStyle name="Überschrift 6 2 2" xfId="20611" xr:uid="{00000000-0005-0000-0000-0000F4630000}"/>
    <cellStyle name="Überschrift 6 2_est. MEAT" xfId="26464" xr:uid="{00000000-0005-0000-0000-0000F5630000}"/>
    <cellStyle name="Überschrift 6 3" xfId="20610" xr:uid="{00000000-0005-0000-0000-0000F6630000}"/>
    <cellStyle name="Überschrift 6_2012-2019" xfId="13426" xr:uid="{00000000-0005-0000-0000-0000F7630000}"/>
    <cellStyle name="Überschrift 60" xfId="11197" xr:uid="{00000000-0005-0000-0000-0000F8630000}"/>
    <cellStyle name="Überschrift 60 2" xfId="20612" xr:uid="{00000000-0005-0000-0000-0000F9630000}"/>
    <cellStyle name="Überschrift 60_est. MEAT" xfId="26465" xr:uid="{00000000-0005-0000-0000-0000FA630000}"/>
    <cellStyle name="Überschrift 61" xfId="11198" xr:uid="{00000000-0005-0000-0000-0000FB630000}"/>
    <cellStyle name="Überschrift 61 2" xfId="20613" xr:uid="{00000000-0005-0000-0000-0000FC630000}"/>
    <cellStyle name="Überschrift 61_est. MEAT" xfId="26466" xr:uid="{00000000-0005-0000-0000-0000FD630000}"/>
    <cellStyle name="Überschrift 62" xfId="11199" xr:uid="{00000000-0005-0000-0000-0000FE630000}"/>
    <cellStyle name="Überschrift 62 2" xfId="20614" xr:uid="{00000000-0005-0000-0000-0000FF630000}"/>
    <cellStyle name="Überschrift 62_est. MEAT" xfId="26467" xr:uid="{00000000-0005-0000-0000-000000640000}"/>
    <cellStyle name="Überschrift 63" xfId="11200" xr:uid="{00000000-0005-0000-0000-000001640000}"/>
    <cellStyle name="Überschrift 63 2" xfId="20615" xr:uid="{00000000-0005-0000-0000-000002640000}"/>
    <cellStyle name="Überschrift 63_est. MEAT" xfId="26468" xr:uid="{00000000-0005-0000-0000-000003640000}"/>
    <cellStyle name="Überschrift 64" xfId="11201" xr:uid="{00000000-0005-0000-0000-000004640000}"/>
    <cellStyle name="Überschrift 64 2" xfId="20616" xr:uid="{00000000-0005-0000-0000-000005640000}"/>
    <cellStyle name="Überschrift 64_est. MEAT" xfId="26469" xr:uid="{00000000-0005-0000-0000-000006640000}"/>
    <cellStyle name="Überschrift 65" xfId="11202" xr:uid="{00000000-0005-0000-0000-000007640000}"/>
    <cellStyle name="Überschrift 65 2" xfId="20617" xr:uid="{00000000-0005-0000-0000-000008640000}"/>
    <cellStyle name="Überschrift 65_est. MEAT" xfId="26470" xr:uid="{00000000-0005-0000-0000-000009640000}"/>
    <cellStyle name="Überschrift 66" xfId="11203" xr:uid="{00000000-0005-0000-0000-00000A640000}"/>
    <cellStyle name="Überschrift 66 2" xfId="20618" xr:uid="{00000000-0005-0000-0000-00000B640000}"/>
    <cellStyle name="Überschrift 66_est. MEAT" xfId="26471" xr:uid="{00000000-0005-0000-0000-00000C640000}"/>
    <cellStyle name="Überschrift 67" xfId="11204" xr:uid="{00000000-0005-0000-0000-00000D640000}"/>
    <cellStyle name="Überschrift 67 2" xfId="20619" xr:uid="{00000000-0005-0000-0000-00000E640000}"/>
    <cellStyle name="Überschrift 67_est. MEAT" xfId="26472" xr:uid="{00000000-0005-0000-0000-00000F640000}"/>
    <cellStyle name="Überschrift 68" xfId="11205" xr:uid="{00000000-0005-0000-0000-000010640000}"/>
    <cellStyle name="Überschrift 68 2" xfId="20620" xr:uid="{00000000-0005-0000-0000-000011640000}"/>
    <cellStyle name="Überschrift 68_est. MEAT" xfId="26473" xr:uid="{00000000-0005-0000-0000-000012640000}"/>
    <cellStyle name="Überschrift 69" xfId="11206" xr:uid="{00000000-0005-0000-0000-000013640000}"/>
    <cellStyle name="Überschrift 69 2" xfId="20621" xr:uid="{00000000-0005-0000-0000-000014640000}"/>
    <cellStyle name="Überschrift 69_est. MEAT" xfId="26474" xr:uid="{00000000-0005-0000-0000-000015640000}"/>
    <cellStyle name="Überschrift 7" xfId="11207" xr:uid="{00000000-0005-0000-0000-000016640000}"/>
    <cellStyle name="Überschrift 7 2" xfId="11208" xr:uid="{00000000-0005-0000-0000-000017640000}"/>
    <cellStyle name="Überschrift 7 2 2" xfId="20623" xr:uid="{00000000-0005-0000-0000-000018640000}"/>
    <cellStyle name="Überschrift 7 2_est. MEAT" xfId="26475" xr:uid="{00000000-0005-0000-0000-000019640000}"/>
    <cellStyle name="Überschrift 7 3" xfId="20622" xr:uid="{00000000-0005-0000-0000-00001A640000}"/>
    <cellStyle name="Überschrift 7_2012-2019" xfId="13427" xr:uid="{00000000-0005-0000-0000-00001B640000}"/>
    <cellStyle name="Überschrift 70" xfId="11209" xr:uid="{00000000-0005-0000-0000-00001C640000}"/>
    <cellStyle name="Überschrift 70 2" xfId="20624" xr:uid="{00000000-0005-0000-0000-00001D640000}"/>
    <cellStyle name="Überschrift 70_est. MEAT" xfId="26476" xr:uid="{00000000-0005-0000-0000-00001E640000}"/>
    <cellStyle name="Überschrift 71" xfId="11210" xr:uid="{00000000-0005-0000-0000-00001F640000}"/>
    <cellStyle name="Überschrift 71 2" xfId="20625" xr:uid="{00000000-0005-0000-0000-000020640000}"/>
    <cellStyle name="Überschrift 71_est. MEAT" xfId="26477" xr:uid="{00000000-0005-0000-0000-000021640000}"/>
    <cellStyle name="Überschrift 72" xfId="11211" xr:uid="{00000000-0005-0000-0000-000022640000}"/>
    <cellStyle name="Überschrift 72 2" xfId="20626" xr:uid="{00000000-0005-0000-0000-000023640000}"/>
    <cellStyle name="Überschrift 72_est. MEAT" xfId="26478" xr:uid="{00000000-0005-0000-0000-000024640000}"/>
    <cellStyle name="Überschrift 73" xfId="11212" xr:uid="{00000000-0005-0000-0000-000025640000}"/>
    <cellStyle name="Überschrift 73 2" xfId="20627" xr:uid="{00000000-0005-0000-0000-000026640000}"/>
    <cellStyle name="Überschrift 73_est. MEAT" xfId="26479" xr:uid="{00000000-0005-0000-0000-000027640000}"/>
    <cellStyle name="Überschrift 74" xfId="11213" xr:uid="{00000000-0005-0000-0000-000028640000}"/>
    <cellStyle name="Überschrift 74 2" xfId="20628" xr:uid="{00000000-0005-0000-0000-000029640000}"/>
    <cellStyle name="Überschrift 74_est. MEAT" xfId="26480" xr:uid="{00000000-0005-0000-0000-00002A640000}"/>
    <cellStyle name="Überschrift 75" xfId="11214" xr:uid="{00000000-0005-0000-0000-00002B640000}"/>
    <cellStyle name="Überschrift 75 2" xfId="20629" xr:uid="{00000000-0005-0000-0000-00002C640000}"/>
    <cellStyle name="Überschrift 75_est. MEAT" xfId="26481" xr:uid="{00000000-0005-0000-0000-00002D640000}"/>
    <cellStyle name="Überschrift 76" xfId="11215" xr:uid="{00000000-0005-0000-0000-00002E640000}"/>
    <cellStyle name="Überschrift 76 2" xfId="20630" xr:uid="{00000000-0005-0000-0000-00002F640000}"/>
    <cellStyle name="Überschrift 76_est. MEAT" xfId="26482" xr:uid="{00000000-0005-0000-0000-000030640000}"/>
    <cellStyle name="Überschrift 77" xfId="11216" xr:uid="{00000000-0005-0000-0000-000031640000}"/>
    <cellStyle name="Überschrift 77 2" xfId="20631" xr:uid="{00000000-0005-0000-0000-000032640000}"/>
    <cellStyle name="Überschrift 77_est. MEAT" xfId="26483" xr:uid="{00000000-0005-0000-0000-000033640000}"/>
    <cellStyle name="Überschrift 78" xfId="11217" xr:uid="{00000000-0005-0000-0000-000034640000}"/>
    <cellStyle name="Überschrift 78 2" xfId="20632" xr:uid="{00000000-0005-0000-0000-000035640000}"/>
    <cellStyle name="Überschrift 78_est. MEAT" xfId="26484" xr:uid="{00000000-0005-0000-0000-000036640000}"/>
    <cellStyle name="Überschrift 79" xfId="11218" xr:uid="{00000000-0005-0000-0000-000037640000}"/>
    <cellStyle name="Überschrift 79 2" xfId="20633" xr:uid="{00000000-0005-0000-0000-000038640000}"/>
    <cellStyle name="Überschrift 79_est. MEAT" xfId="26485" xr:uid="{00000000-0005-0000-0000-000039640000}"/>
    <cellStyle name="Überschrift 8" xfId="11219" xr:uid="{00000000-0005-0000-0000-00003A640000}"/>
    <cellStyle name="Überschrift 8 2" xfId="11220" xr:uid="{00000000-0005-0000-0000-00003B640000}"/>
    <cellStyle name="Überschrift 8 2 2" xfId="20635" xr:uid="{00000000-0005-0000-0000-00003C640000}"/>
    <cellStyle name="Überschrift 8 2_est. MEAT" xfId="26486" xr:uid="{00000000-0005-0000-0000-00003D640000}"/>
    <cellStyle name="Überschrift 8 3" xfId="20634" xr:uid="{00000000-0005-0000-0000-00003E640000}"/>
    <cellStyle name="Überschrift 8_2012-2019" xfId="13428" xr:uid="{00000000-0005-0000-0000-00003F640000}"/>
    <cellStyle name="Überschrift 80" xfId="11221" xr:uid="{00000000-0005-0000-0000-000040640000}"/>
    <cellStyle name="Überschrift 80 2" xfId="20636" xr:uid="{00000000-0005-0000-0000-000041640000}"/>
    <cellStyle name="Überschrift 80_est. MEAT" xfId="26487" xr:uid="{00000000-0005-0000-0000-000042640000}"/>
    <cellStyle name="Überschrift 81" xfId="11222" xr:uid="{00000000-0005-0000-0000-000043640000}"/>
    <cellStyle name="Überschrift 81 2" xfId="20637" xr:uid="{00000000-0005-0000-0000-000044640000}"/>
    <cellStyle name="Überschrift 81_est. MEAT" xfId="26488" xr:uid="{00000000-0005-0000-0000-000045640000}"/>
    <cellStyle name="Überschrift 82" xfId="11223" xr:uid="{00000000-0005-0000-0000-000046640000}"/>
    <cellStyle name="Überschrift 82 2" xfId="20638" xr:uid="{00000000-0005-0000-0000-000047640000}"/>
    <cellStyle name="Überschrift 82_est. MEAT" xfId="26489" xr:uid="{00000000-0005-0000-0000-000048640000}"/>
    <cellStyle name="Überschrift 83" xfId="11224" xr:uid="{00000000-0005-0000-0000-000049640000}"/>
    <cellStyle name="Überschrift 83 2" xfId="20639" xr:uid="{00000000-0005-0000-0000-00004A640000}"/>
    <cellStyle name="Überschrift 83_est. MEAT" xfId="26490" xr:uid="{00000000-0005-0000-0000-00004B640000}"/>
    <cellStyle name="Überschrift 84" xfId="11225" xr:uid="{00000000-0005-0000-0000-00004C640000}"/>
    <cellStyle name="Überschrift 84 2" xfId="20640" xr:uid="{00000000-0005-0000-0000-00004D640000}"/>
    <cellStyle name="Überschrift 84_est. MEAT" xfId="26491" xr:uid="{00000000-0005-0000-0000-00004E640000}"/>
    <cellStyle name="Überschrift 85" xfId="11226" xr:uid="{00000000-0005-0000-0000-00004F640000}"/>
    <cellStyle name="Überschrift 85 2" xfId="20641" xr:uid="{00000000-0005-0000-0000-000050640000}"/>
    <cellStyle name="Überschrift 85_est. MEAT" xfId="26492" xr:uid="{00000000-0005-0000-0000-000051640000}"/>
    <cellStyle name="Überschrift 86" xfId="11227" xr:uid="{00000000-0005-0000-0000-000052640000}"/>
    <cellStyle name="Überschrift 86 2" xfId="20642" xr:uid="{00000000-0005-0000-0000-000053640000}"/>
    <cellStyle name="Überschrift 86_est. MEAT" xfId="26493" xr:uid="{00000000-0005-0000-0000-000054640000}"/>
    <cellStyle name="Überschrift 87" xfId="11228" xr:uid="{00000000-0005-0000-0000-000055640000}"/>
    <cellStyle name="Überschrift 87 2" xfId="20643" xr:uid="{00000000-0005-0000-0000-000056640000}"/>
    <cellStyle name="Überschrift 87_est. MEAT" xfId="26494" xr:uid="{00000000-0005-0000-0000-000057640000}"/>
    <cellStyle name="Überschrift 88" xfId="11229" xr:uid="{00000000-0005-0000-0000-000058640000}"/>
    <cellStyle name="Überschrift 88 2" xfId="20644" xr:uid="{00000000-0005-0000-0000-000059640000}"/>
    <cellStyle name="Überschrift 88_est. MEAT" xfId="26495" xr:uid="{00000000-0005-0000-0000-00005A640000}"/>
    <cellStyle name="Überschrift 89" xfId="11230" xr:uid="{00000000-0005-0000-0000-00005B640000}"/>
    <cellStyle name="Überschrift 89 2" xfId="20645" xr:uid="{00000000-0005-0000-0000-00005C640000}"/>
    <cellStyle name="Überschrift 89_est. MEAT" xfId="26496" xr:uid="{00000000-0005-0000-0000-00005D640000}"/>
    <cellStyle name="Überschrift 9" xfId="11231" xr:uid="{00000000-0005-0000-0000-00005E640000}"/>
    <cellStyle name="Überschrift 9 2" xfId="11232" xr:uid="{00000000-0005-0000-0000-00005F640000}"/>
    <cellStyle name="Überschrift 9 2 2" xfId="20647" xr:uid="{00000000-0005-0000-0000-000060640000}"/>
    <cellStyle name="Überschrift 9 2_est. MEAT" xfId="26497" xr:uid="{00000000-0005-0000-0000-000061640000}"/>
    <cellStyle name="Überschrift 9 3" xfId="20646" xr:uid="{00000000-0005-0000-0000-000062640000}"/>
    <cellStyle name="Überschrift 9_2012-2019" xfId="13429" xr:uid="{00000000-0005-0000-0000-000063640000}"/>
    <cellStyle name="Überschrift 90" xfId="11233" xr:uid="{00000000-0005-0000-0000-000064640000}"/>
    <cellStyle name="Überschrift 90 2" xfId="20648" xr:uid="{00000000-0005-0000-0000-000065640000}"/>
    <cellStyle name="Überschrift 90_est. MEAT" xfId="26498" xr:uid="{00000000-0005-0000-0000-000066640000}"/>
    <cellStyle name="Überschrift 91" xfId="11234" xr:uid="{00000000-0005-0000-0000-000067640000}"/>
    <cellStyle name="Überschrift 91 2" xfId="20649" xr:uid="{00000000-0005-0000-0000-000068640000}"/>
    <cellStyle name="Überschrift 91_est. MEAT" xfId="26499" xr:uid="{00000000-0005-0000-0000-000069640000}"/>
    <cellStyle name="Überschrift 92" xfId="11235" xr:uid="{00000000-0005-0000-0000-00006A640000}"/>
    <cellStyle name="Überschrift 92 2" xfId="20650" xr:uid="{00000000-0005-0000-0000-00006B640000}"/>
    <cellStyle name="Überschrift 92_est. MEAT" xfId="26500" xr:uid="{00000000-0005-0000-0000-00006C640000}"/>
    <cellStyle name="Überschrift 93" xfId="11236" xr:uid="{00000000-0005-0000-0000-00006D640000}"/>
    <cellStyle name="Überschrift 93 2" xfId="20651" xr:uid="{00000000-0005-0000-0000-00006E640000}"/>
    <cellStyle name="Überschrift 93_est. MEAT" xfId="26501" xr:uid="{00000000-0005-0000-0000-00006F640000}"/>
    <cellStyle name="Überschrift 94" xfId="11237" xr:uid="{00000000-0005-0000-0000-000070640000}"/>
    <cellStyle name="Überschrift 94 2" xfId="20652" xr:uid="{00000000-0005-0000-0000-000071640000}"/>
    <cellStyle name="Überschrift 94_est. MEAT" xfId="26502" xr:uid="{00000000-0005-0000-0000-000072640000}"/>
    <cellStyle name="Überschrift 95" xfId="11238" xr:uid="{00000000-0005-0000-0000-000073640000}"/>
    <cellStyle name="Überschrift 95 2" xfId="20653" xr:uid="{00000000-0005-0000-0000-000074640000}"/>
    <cellStyle name="Überschrift 95_est. MEAT" xfId="26503" xr:uid="{00000000-0005-0000-0000-000075640000}"/>
    <cellStyle name="Überschrift 96" xfId="11239" xr:uid="{00000000-0005-0000-0000-000076640000}"/>
    <cellStyle name="Überschrift 96 2" xfId="20654" xr:uid="{00000000-0005-0000-0000-000077640000}"/>
    <cellStyle name="Überschrift 96_est. MEAT" xfId="26504" xr:uid="{00000000-0005-0000-0000-000078640000}"/>
    <cellStyle name="Überschrift 97" xfId="11240" xr:uid="{00000000-0005-0000-0000-000079640000}"/>
    <cellStyle name="Überschrift 97 2" xfId="20655" xr:uid="{00000000-0005-0000-0000-00007A640000}"/>
    <cellStyle name="Überschrift 97_est. MEAT" xfId="26505" xr:uid="{00000000-0005-0000-0000-00007B640000}"/>
    <cellStyle name="Überschrift 98" xfId="11241" xr:uid="{00000000-0005-0000-0000-00007C640000}"/>
    <cellStyle name="Überschrift 98 2" xfId="20656" xr:uid="{00000000-0005-0000-0000-00007D640000}"/>
    <cellStyle name="Überschrift 98_est. MEAT" xfId="26506" xr:uid="{00000000-0005-0000-0000-00007E640000}"/>
    <cellStyle name="Überschrift 99" xfId="11242" xr:uid="{00000000-0005-0000-0000-00007F640000}"/>
    <cellStyle name="Überschrift 99 2" xfId="20657" xr:uid="{00000000-0005-0000-0000-000080640000}"/>
    <cellStyle name="Überschrift 99_est. MEAT" xfId="26507" xr:uid="{00000000-0005-0000-0000-000081640000}"/>
    <cellStyle name="Überschrift_2012-2019" xfId="13360" xr:uid="{00000000-0005-0000-0000-000082640000}"/>
    <cellStyle name="Verknüpfte Zelle" xfId="11243" xr:uid="{00000000-0005-0000-0000-000083640000}"/>
    <cellStyle name="Verknüpfte Zelle 10" xfId="11244" xr:uid="{00000000-0005-0000-0000-000084640000}"/>
    <cellStyle name="Verknüpfte Zelle 10 2" xfId="11245" xr:uid="{00000000-0005-0000-0000-000085640000}"/>
    <cellStyle name="Verknüpfte Zelle 10 2 2" xfId="20660" xr:uid="{00000000-0005-0000-0000-000086640000}"/>
    <cellStyle name="Verknüpfte Zelle 10 2_est. MEAT" xfId="26508" xr:uid="{00000000-0005-0000-0000-000087640000}"/>
    <cellStyle name="Verknüpfte Zelle 10 3" xfId="20659" xr:uid="{00000000-0005-0000-0000-000088640000}"/>
    <cellStyle name="Verknüpfte Zelle 10_2012-2019" xfId="13431" xr:uid="{00000000-0005-0000-0000-000089640000}"/>
    <cellStyle name="Verknüpfte Zelle 100" xfId="11246" xr:uid="{00000000-0005-0000-0000-00008A640000}"/>
    <cellStyle name="Verknüpfte Zelle 100 2" xfId="20661" xr:uid="{00000000-0005-0000-0000-00008B640000}"/>
    <cellStyle name="Verknüpfte Zelle 100_est. MEAT" xfId="26509" xr:uid="{00000000-0005-0000-0000-00008C640000}"/>
    <cellStyle name="Verknüpfte Zelle 101" xfId="11247" xr:uid="{00000000-0005-0000-0000-00008D640000}"/>
    <cellStyle name="Verknüpfte Zelle 101 2" xfId="20662" xr:uid="{00000000-0005-0000-0000-00008E640000}"/>
    <cellStyle name="Verknüpfte Zelle 101_est. MEAT" xfId="26510" xr:uid="{00000000-0005-0000-0000-00008F640000}"/>
    <cellStyle name="Verknüpfte Zelle 102" xfId="11248" xr:uid="{00000000-0005-0000-0000-000090640000}"/>
    <cellStyle name="Verknüpfte Zelle 102 2" xfId="20663" xr:uid="{00000000-0005-0000-0000-000091640000}"/>
    <cellStyle name="Verknüpfte Zelle 102_est. MEAT" xfId="26511" xr:uid="{00000000-0005-0000-0000-000092640000}"/>
    <cellStyle name="Verknüpfte Zelle 103" xfId="11249" xr:uid="{00000000-0005-0000-0000-000093640000}"/>
    <cellStyle name="Verknüpfte Zelle 103 2" xfId="20664" xr:uid="{00000000-0005-0000-0000-000094640000}"/>
    <cellStyle name="Verknüpfte Zelle 103_est. MEAT" xfId="26512" xr:uid="{00000000-0005-0000-0000-000095640000}"/>
    <cellStyle name="Verknüpfte Zelle 104" xfId="11250" xr:uid="{00000000-0005-0000-0000-000096640000}"/>
    <cellStyle name="Verknüpfte Zelle 104 2" xfId="20665" xr:uid="{00000000-0005-0000-0000-000097640000}"/>
    <cellStyle name="Verknüpfte Zelle 104_est. MEAT" xfId="26513" xr:uid="{00000000-0005-0000-0000-000098640000}"/>
    <cellStyle name="Verknüpfte Zelle 105" xfId="11251" xr:uid="{00000000-0005-0000-0000-000099640000}"/>
    <cellStyle name="Verknüpfte Zelle 105 2" xfId="20666" xr:uid="{00000000-0005-0000-0000-00009A640000}"/>
    <cellStyle name="Verknüpfte Zelle 105_est. MEAT" xfId="26514" xr:uid="{00000000-0005-0000-0000-00009B640000}"/>
    <cellStyle name="Verknüpfte Zelle 106" xfId="11252" xr:uid="{00000000-0005-0000-0000-00009C640000}"/>
    <cellStyle name="Verknüpfte Zelle 106 2" xfId="20667" xr:uid="{00000000-0005-0000-0000-00009D640000}"/>
    <cellStyle name="Verknüpfte Zelle 106_est. MEAT" xfId="26515" xr:uid="{00000000-0005-0000-0000-00009E640000}"/>
    <cellStyle name="Verknüpfte Zelle 107" xfId="11253" xr:uid="{00000000-0005-0000-0000-00009F640000}"/>
    <cellStyle name="Verknüpfte Zelle 107 2" xfId="20668" xr:uid="{00000000-0005-0000-0000-0000A0640000}"/>
    <cellStyle name="Verknüpfte Zelle 107_est. MEAT" xfId="26516" xr:uid="{00000000-0005-0000-0000-0000A1640000}"/>
    <cellStyle name="Verknüpfte Zelle 108" xfId="11254" xr:uid="{00000000-0005-0000-0000-0000A2640000}"/>
    <cellStyle name="Verknüpfte Zelle 108 2" xfId="20669" xr:uid="{00000000-0005-0000-0000-0000A3640000}"/>
    <cellStyle name="Verknüpfte Zelle 108_est. MEAT" xfId="26517" xr:uid="{00000000-0005-0000-0000-0000A4640000}"/>
    <cellStyle name="Verknüpfte Zelle 109" xfId="11255" xr:uid="{00000000-0005-0000-0000-0000A5640000}"/>
    <cellStyle name="Verknüpfte Zelle 109 2" xfId="20670" xr:uid="{00000000-0005-0000-0000-0000A6640000}"/>
    <cellStyle name="Verknüpfte Zelle 109_est. MEAT" xfId="26518" xr:uid="{00000000-0005-0000-0000-0000A7640000}"/>
    <cellStyle name="Verknüpfte Zelle 11" xfId="11256" xr:uid="{00000000-0005-0000-0000-0000A8640000}"/>
    <cellStyle name="Verknüpfte Zelle 11 2" xfId="11257" xr:uid="{00000000-0005-0000-0000-0000A9640000}"/>
    <cellStyle name="Verknüpfte Zelle 11 2 2" xfId="20672" xr:uid="{00000000-0005-0000-0000-0000AA640000}"/>
    <cellStyle name="Verknüpfte Zelle 11 2_est. MEAT" xfId="26519" xr:uid="{00000000-0005-0000-0000-0000AB640000}"/>
    <cellStyle name="Verknüpfte Zelle 11 3" xfId="20671" xr:uid="{00000000-0005-0000-0000-0000AC640000}"/>
    <cellStyle name="Verknüpfte Zelle 11_2012-2019" xfId="13432" xr:uid="{00000000-0005-0000-0000-0000AD640000}"/>
    <cellStyle name="Verknüpfte Zelle 110" xfId="11258" xr:uid="{00000000-0005-0000-0000-0000AE640000}"/>
    <cellStyle name="Verknüpfte Zelle 110 2" xfId="20673" xr:uid="{00000000-0005-0000-0000-0000AF640000}"/>
    <cellStyle name="Verknüpfte Zelle 110_est. MEAT" xfId="26520" xr:uid="{00000000-0005-0000-0000-0000B0640000}"/>
    <cellStyle name="Verknüpfte Zelle 111" xfId="11259" xr:uid="{00000000-0005-0000-0000-0000B1640000}"/>
    <cellStyle name="Verknüpfte Zelle 111 2" xfId="20674" xr:uid="{00000000-0005-0000-0000-0000B2640000}"/>
    <cellStyle name="Verknüpfte Zelle 111_est. MEAT" xfId="26521" xr:uid="{00000000-0005-0000-0000-0000B3640000}"/>
    <cellStyle name="Verknüpfte Zelle 112" xfId="11260" xr:uid="{00000000-0005-0000-0000-0000B4640000}"/>
    <cellStyle name="Verknüpfte Zelle 112 2" xfId="20675" xr:uid="{00000000-0005-0000-0000-0000B5640000}"/>
    <cellStyle name="Verknüpfte Zelle 112_est. MEAT" xfId="26522" xr:uid="{00000000-0005-0000-0000-0000B6640000}"/>
    <cellStyle name="Verknüpfte Zelle 113" xfId="11261" xr:uid="{00000000-0005-0000-0000-0000B7640000}"/>
    <cellStyle name="Verknüpfte Zelle 113 2" xfId="20676" xr:uid="{00000000-0005-0000-0000-0000B8640000}"/>
    <cellStyle name="Verknüpfte Zelle 113_est. MEAT" xfId="26523" xr:uid="{00000000-0005-0000-0000-0000B9640000}"/>
    <cellStyle name="Verknüpfte Zelle 114" xfId="11262" xr:uid="{00000000-0005-0000-0000-0000BA640000}"/>
    <cellStyle name="Verknüpfte Zelle 114 2" xfId="20677" xr:uid="{00000000-0005-0000-0000-0000BB640000}"/>
    <cellStyle name="Verknüpfte Zelle 114_est. MEAT" xfId="26524" xr:uid="{00000000-0005-0000-0000-0000BC640000}"/>
    <cellStyle name="Verknüpfte Zelle 115" xfId="11263" xr:uid="{00000000-0005-0000-0000-0000BD640000}"/>
    <cellStyle name="Verknüpfte Zelle 115 2" xfId="20678" xr:uid="{00000000-0005-0000-0000-0000BE640000}"/>
    <cellStyle name="Verknüpfte Zelle 115_est. MEAT" xfId="26525" xr:uid="{00000000-0005-0000-0000-0000BF640000}"/>
    <cellStyle name="Verknüpfte Zelle 116" xfId="11264" xr:uid="{00000000-0005-0000-0000-0000C0640000}"/>
    <cellStyle name="Verknüpfte Zelle 116 2" xfId="20679" xr:uid="{00000000-0005-0000-0000-0000C1640000}"/>
    <cellStyle name="Verknüpfte Zelle 116_est. MEAT" xfId="26526" xr:uid="{00000000-0005-0000-0000-0000C2640000}"/>
    <cellStyle name="Verknüpfte Zelle 117" xfId="11265" xr:uid="{00000000-0005-0000-0000-0000C3640000}"/>
    <cellStyle name="Verknüpfte Zelle 117 2" xfId="20680" xr:uid="{00000000-0005-0000-0000-0000C4640000}"/>
    <cellStyle name="Verknüpfte Zelle 117_est. MEAT" xfId="26527" xr:uid="{00000000-0005-0000-0000-0000C5640000}"/>
    <cellStyle name="Verknüpfte Zelle 118" xfId="11266" xr:uid="{00000000-0005-0000-0000-0000C6640000}"/>
    <cellStyle name="Verknüpfte Zelle 118 2" xfId="20681" xr:uid="{00000000-0005-0000-0000-0000C7640000}"/>
    <cellStyle name="Verknüpfte Zelle 118_est. MEAT" xfId="26528" xr:uid="{00000000-0005-0000-0000-0000C8640000}"/>
    <cellStyle name="Verknüpfte Zelle 119" xfId="11267" xr:uid="{00000000-0005-0000-0000-0000C9640000}"/>
    <cellStyle name="Verknüpfte Zelle 119 2" xfId="20682" xr:uid="{00000000-0005-0000-0000-0000CA640000}"/>
    <cellStyle name="Verknüpfte Zelle 119_est. MEAT" xfId="26529" xr:uid="{00000000-0005-0000-0000-0000CB640000}"/>
    <cellStyle name="Verknüpfte Zelle 12" xfId="11268" xr:uid="{00000000-0005-0000-0000-0000CC640000}"/>
    <cellStyle name="Verknüpfte Zelle 12 2" xfId="11269" xr:uid="{00000000-0005-0000-0000-0000CD640000}"/>
    <cellStyle name="Verknüpfte Zelle 12 2 2" xfId="20684" xr:uid="{00000000-0005-0000-0000-0000CE640000}"/>
    <cellStyle name="Verknüpfte Zelle 12 2_est. MEAT" xfId="26530" xr:uid="{00000000-0005-0000-0000-0000CF640000}"/>
    <cellStyle name="Verknüpfte Zelle 12 3" xfId="20683" xr:uid="{00000000-0005-0000-0000-0000D0640000}"/>
    <cellStyle name="Verknüpfte Zelle 12_2012-2019" xfId="13433" xr:uid="{00000000-0005-0000-0000-0000D1640000}"/>
    <cellStyle name="Verknüpfte Zelle 120" xfId="11270" xr:uid="{00000000-0005-0000-0000-0000D2640000}"/>
    <cellStyle name="Verknüpfte Zelle 120 2" xfId="20685" xr:uid="{00000000-0005-0000-0000-0000D3640000}"/>
    <cellStyle name="Verknüpfte Zelle 120_est. MEAT" xfId="26531" xr:uid="{00000000-0005-0000-0000-0000D4640000}"/>
    <cellStyle name="Verknüpfte Zelle 121" xfId="11271" xr:uid="{00000000-0005-0000-0000-0000D5640000}"/>
    <cellStyle name="Verknüpfte Zelle 121 2" xfId="20686" xr:uid="{00000000-0005-0000-0000-0000D6640000}"/>
    <cellStyle name="Verknüpfte Zelle 121_est. MEAT" xfId="26532" xr:uid="{00000000-0005-0000-0000-0000D7640000}"/>
    <cellStyle name="Verknüpfte Zelle 122" xfId="11272" xr:uid="{00000000-0005-0000-0000-0000D8640000}"/>
    <cellStyle name="Verknüpfte Zelle 122 2" xfId="20687" xr:uid="{00000000-0005-0000-0000-0000D9640000}"/>
    <cellStyle name="Verknüpfte Zelle 122_est. MEAT" xfId="26533" xr:uid="{00000000-0005-0000-0000-0000DA640000}"/>
    <cellStyle name="Verknüpfte Zelle 123" xfId="11273" xr:uid="{00000000-0005-0000-0000-0000DB640000}"/>
    <cellStyle name="Verknüpfte Zelle 123 2" xfId="20688" xr:uid="{00000000-0005-0000-0000-0000DC640000}"/>
    <cellStyle name="Verknüpfte Zelle 123_est. MEAT" xfId="26534" xr:uid="{00000000-0005-0000-0000-0000DD640000}"/>
    <cellStyle name="Verknüpfte Zelle 124" xfId="11274" xr:uid="{00000000-0005-0000-0000-0000DE640000}"/>
    <cellStyle name="Verknüpfte Zelle 124 2" xfId="20689" xr:uid="{00000000-0005-0000-0000-0000DF640000}"/>
    <cellStyle name="Verknüpfte Zelle 124_est. MEAT" xfId="26535" xr:uid="{00000000-0005-0000-0000-0000E0640000}"/>
    <cellStyle name="Verknüpfte Zelle 125" xfId="11275" xr:uid="{00000000-0005-0000-0000-0000E1640000}"/>
    <cellStyle name="Verknüpfte Zelle 125 2" xfId="20690" xr:uid="{00000000-0005-0000-0000-0000E2640000}"/>
    <cellStyle name="Verknüpfte Zelle 125_est. MEAT" xfId="26536" xr:uid="{00000000-0005-0000-0000-0000E3640000}"/>
    <cellStyle name="Verknüpfte Zelle 126" xfId="11276" xr:uid="{00000000-0005-0000-0000-0000E4640000}"/>
    <cellStyle name="Verknüpfte Zelle 126 2" xfId="20691" xr:uid="{00000000-0005-0000-0000-0000E5640000}"/>
    <cellStyle name="Verknüpfte Zelle 126_est. MEAT" xfId="26537" xr:uid="{00000000-0005-0000-0000-0000E6640000}"/>
    <cellStyle name="Verknüpfte Zelle 127" xfId="11277" xr:uid="{00000000-0005-0000-0000-0000E7640000}"/>
    <cellStyle name="Verknüpfte Zelle 127 2" xfId="20692" xr:uid="{00000000-0005-0000-0000-0000E8640000}"/>
    <cellStyle name="Verknüpfte Zelle 127_est. MEAT" xfId="26538" xr:uid="{00000000-0005-0000-0000-0000E9640000}"/>
    <cellStyle name="Verknüpfte Zelle 128" xfId="11278" xr:uid="{00000000-0005-0000-0000-0000EA640000}"/>
    <cellStyle name="Verknüpfte Zelle 128 2" xfId="20693" xr:uid="{00000000-0005-0000-0000-0000EB640000}"/>
    <cellStyle name="Verknüpfte Zelle 128_est. MEAT" xfId="26539" xr:uid="{00000000-0005-0000-0000-0000EC640000}"/>
    <cellStyle name="Verknüpfte Zelle 129" xfId="11279" xr:uid="{00000000-0005-0000-0000-0000ED640000}"/>
    <cellStyle name="Verknüpfte Zelle 129 2" xfId="20694" xr:uid="{00000000-0005-0000-0000-0000EE640000}"/>
    <cellStyle name="Verknüpfte Zelle 129_est. MEAT" xfId="26540" xr:uid="{00000000-0005-0000-0000-0000EF640000}"/>
    <cellStyle name="Verknüpfte Zelle 13" xfId="11280" xr:uid="{00000000-0005-0000-0000-0000F0640000}"/>
    <cellStyle name="Verknüpfte Zelle 13 2" xfId="11281" xr:uid="{00000000-0005-0000-0000-0000F1640000}"/>
    <cellStyle name="Verknüpfte Zelle 13 2 2" xfId="20696" xr:uid="{00000000-0005-0000-0000-0000F2640000}"/>
    <cellStyle name="Verknüpfte Zelle 13 2_est. MEAT" xfId="26541" xr:uid="{00000000-0005-0000-0000-0000F3640000}"/>
    <cellStyle name="Verknüpfte Zelle 13 3" xfId="20695" xr:uid="{00000000-0005-0000-0000-0000F4640000}"/>
    <cellStyle name="Verknüpfte Zelle 13_2012-2019" xfId="13434" xr:uid="{00000000-0005-0000-0000-0000F5640000}"/>
    <cellStyle name="Verknüpfte Zelle 130" xfId="11282" xr:uid="{00000000-0005-0000-0000-0000F6640000}"/>
    <cellStyle name="Verknüpfte Zelle 130 2" xfId="20697" xr:uid="{00000000-0005-0000-0000-0000F7640000}"/>
    <cellStyle name="Verknüpfte Zelle 130_est. MEAT" xfId="26542" xr:uid="{00000000-0005-0000-0000-0000F8640000}"/>
    <cellStyle name="Verknüpfte Zelle 131" xfId="11283" xr:uid="{00000000-0005-0000-0000-0000F9640000}"/>
    <cellStyle name="Verknüpfte Zelle 131 2" xfId="20698" xr:uid="{00000000-0005-0000-0000-0000FA640000}"/>
    <cellStyle name="Verknüpfte Zelle 131_est. MEAT" xfId="26543" xr:uid="{00000000-0005-0000-0000-0000FB640000}"/>
    <cellStyle name="Verknüpfte Zelle 132" xfId="11284" xr:uid="{00000000-0005-0000-0000-0000FC640000}"/>
    <cellStyle name="Verknüpfte Zelle 132 2" xfId="20699" xr:uid="{00000000-0005-0000-0000-0000FD640000}"/>
    <cellStyle name="Verknüpfte Zelle 132_est. MEAT" xfId="26544" xr:uid="{00000000-0005-0000-0000-0000FE640000}"/>
    <cellStyle name="Verknüpfte Zelle 133" xfId="11285" xr:uid="{00000000-0005-0000-0000-0000FF640000}"/>
    <cellStyle name="Verknüpfte Zelle 133 2" xfId="20700" xr:uid="{00000000-0005-0000-0000-000000650000}"/>
    <cellStyle name="Verknüpfte Zelle 133_est. MEAT" xfId="26545" xr:uid="{00000000-0005-0000-0000-000001650000}"/>
    <cellStyle name="Verknüpfte Zelle 134" xfId="11286" xr:uid="{00000000-0005-0000-0000-000002650000}"/>
    <cellStyle name="Verknüpfte Zelle 134 2" xfId="20701" xr:uid="{00000000-0005-0000-0000-000003650000}"/>
    <cellStyle name="Verknüpfte Zelle 134_est. MEAT" xfId="26546" xr:uid="{00000000-0005-0000-0000-000004650000}"/>
    <cellStyle name="Verknüpfte Zelle 135" xfId="11287" xr:uid="{00000000-0005-0000-0000-000005650000}"/>
    <cellStyle name="Verknüpfte Zelle 135 2" xfId="20702" xr:uid="{00000000-0005-0000-0000-000006650000}"/>
    <cellStyle name="Verknüpfte Zelle 135_est. MEAT" xfId="26547" xr:uid="{00000000-0005-0000-0000-000007650000}"/>
    <cellStyle name="Verknüpfte Zelle 136" xfId="11288" xr:uid="{00000000-0005-0000-0000-000008650000}"/>
    <cellStyle name="Verknüpfte Zelle 136 2" xfId="20703" xr:uid="{00000000-0005-0000-0000-000009650000}"/>
    <cellStyle name="Verknüpfte Zelle 136_est. MEAT" xfId="26548" xr:uid="{00000000-0005-0000-0000-00000A650000}"/>
    <cellStyle name="Verknüpfte Zelle 137" xfId="11289" xr:uid="{00000000-0005-0000-0000-00000B650000}"/>
    <cellStyle name="Verknüpfte Zelle 137 2" xfId="20704" xr:uid="{00000000-0005-0000-0000-00000C650000}"/>
    <cellStyle name="Verknüpfte Zelle 137_est. MEAT" xfId="26549" xr:uid="{00000000-0005-0000-0000-00000D650000}"/>
    <cellStyle name="Verknüpfte Zelle 138" xfId="11290" xr:uid="{00000000-0005-0000-0000-00000E650000}"/>
    <cellStyle name="Verknüpfte Zelle 138 2" xfId="20705" xr:uid="{00000000-0005-0000-0000-00000F650000}"/>
    <cellStyle name="Verknüpfte Zelle 138_est. MEAT" xfId="26550" xr:uid="{00000000-0005-0000-0000-000010650000}"/>
    <cellStyle name="Verknüpfte Zelle 139" xfId="11291" xr:uid="{00000000-0005-0000-0000-000011650000}"/>
    <cellStyle name="Verknüpfte Zelle 139 2" xfId="20706" xr:uid="{00000000-0005-0000-0000-000012650000}"/>
    <cellStyle name="Verknüpfte Zelle 139_est. MEAT" xfId="26551" xr:uid="{00000000-0005-0000-0000-000013650000}"/>
    <cellStyle name="Verknüpfte Zelle 14" xfId="11292" xr:uid="{00000000-0005-0000-0000-000014650000}"/>
    <cellStyle name="Verknüpfte Zelle 14 2" xfId="11293" xr:uid="{00000000-0005-0000-0000-000015650000}"/>
    <cellStyle name="Verknüpfte Zelle 14 2 2" xfId="20708" xr:uid="{00000000-0005-0000-0000-000016650000}"/>
    <cellStyle name="Verknüpfte Zelle 14 2_est. MEAT" xfId="26552" xr:uid="{00000000-0005-0000-0000-000017650000}"/>
    <cellStyle name="Verknüpfte Zelle 14 3" xfId="20707" xr:uid="{00000000-0005-0000-0000-000018650000}"/>
    <cellStyle name="Verknüpfte Zelle 14_2012-2019" xfId="13435" xr:uid="{00000000-0005-0000-0000-000019650000}"/>
    <cellStyle name="Verknüpfte Zelle 140" xfId="11294" xr:uid="{00000000-0005-0000-0000-00001A650000}"/>
    <cellStyle name="Verknüpfte Zelle 140 2" xfId="20709" xr:uid="{00000000-0005-0000-0000-00001B650000}"/>
    <cellStyle name="Verknüpfte Zelle 140_est. MEAT" xfId="26553" xr:uid="{00000000-0005-0000-0000-00001C650000}"/>
    <cellStyle name="Verknüpfte Zelle 141" xfId="11295" xr:uid="{00000000-0005-0000-0000-00001D650000}"/>
    <cellStyle name="Verknüpfte Zelle 141 2" xfId="20710" xr:uid="{00000000-0005-0000-0000-00001E650000}"/>
    <cellStyle name="Verknüpfte Zelle 141_est. MEAT" xfId="26554" xr:uid="{00000000-0005-0000-0000-00001F650000}"/>
    <cellStyle name="Verknüpfte Zelle 142" xfId="11296" xr:uid="{00000000-0005-0000-0000-000020650000}"/>
    <cellStyle name="Verknüpfte Zelle 142 2" xfId="20711" xr:uid="{00000000-0005-0000-0000-000021650000}"/>
    <cellStyle name="Verknüpfte Zelle 142_est. MEAT" xfId="26555" xr:uid="{00000000-0005-0000-0000-000022650000}"/>
    <cellStyle name="Verknüpfte Zelle 143" xfId="11297" xr:uid="{00000000-0005-0000-0000-000023650000}"/>
    <cellStyle name="Verknüpfte Zelle 143 2" xfId="20712" xr:uid="{00000000-0005-0000-0000-000024650000}"/>
    <cellStyle name="Verknüpfte Zelle 143_est. MEAT" xfId="26556" xr:uid="{00000000-0005-0000-0000-000025650000}"/>
    <cellStyle name="Verknüpfte Zelle 144" xfId="11298" xr:uid="{00000000-0005-0000-0000-000026650000}"/>
    <cellStyle name="Verknüpfte Zelle 144 2" xfId="20713" xr:uid="{00000000-0005-0000-0000-000027650000}"/>
    <cellStyle name="Verknüpfte Zelle 144_est. MEAT" xfId="26557" xr:uid="{00000000-0005-0000-0000-000028650000}"/>
    <cellStyle name="Verknüpfte Zelle 145" xfId="11299" xr:uid="{00000000-0005-0000-0000-000029650000}"/>
    <cellStyle name="Verknüpfte Zelle 145 2" xfId="20714" xr:uid="{00000000-0005-0000-0000-00002A650000}"/>
    <cellStyle name="Verknüpfte Zelle 145_est. MEAT" xfId="26558" xr:uid="{00000000-0005-0000-0000-00002B650000}"/>
    <cellStyle name="Verknüpfte Zelle 146" xfId="11300" xr:uid="{00000000-0005-0000-0000-00002C650000}"/>
    <cellStyle name="Verknüpfte Zelle 146 2" xfId="20715" xr:uid="{00000000-0005-0000-0000-00002D650000}"/>
    <cellStyle name="Verknüpfte Zelle 146_est. MEAT" xfId="26559" xr:uid="{00000000-0005-0000-0000-00002E650000}"/>
    <cellStyle name="Verknüpfte Zelle 147" xfId="11301" xr:uid="{00000000-0005-0000-0000-00002F650000}"/>
    <cellStyle name="Verknüpfte Zelle 147 2" xfId="20716" xr:uid="{00000000-0005-0000-0000-000030650000}"/>
    <cellStyle name="Verknüpfte Zelle 147_est. MEAT" xfId="26560" xr:uid="{00000000-0005-0000-0000-000031650000}"/>
    <cellStyle name="Verknüpfte Zelle 148" xfId="11302" xr:uid="{00000000-0005-0000-0000-000032650000}"/>
    <cellStyle name="Verknüpfte Zelle 148 2" xfId="20717" xr:uid="{00000000-0005-0000-0000-000033650000}"/>
    <cellStyle name="Verknüpfte Zelle 148_est. MEAT" xfId="26561" xr:uid="{00000000-0005-0000-0000-000034650000}"/>
    <cellStyle name="Verknüpfte Zelle 149" xfId="11303" xr:uid="{00000000-0005-0000-0000-000035650000}"/>
    <cellStyle name="Verknüpfte Zelle 149 2" xfId="20718" xr:uid="{00000000-0005-0000-0000-000036650000}"/>
    <cellStyle name="Verknüpfte Zelle 149_est. MEAT" xfId="26562" xr:uid="{00000000-0005-0000-0000-000037650000}"/>
    <cellStyle name="Verknüpfte Zelle 15" xfId="11304" xr:uid="{00000000-0005-0000-0000-000038650000}"/>
    <cellStyle name="Verknüpfte Zelle 15 2" xfId="20719" xr:uid="{00000000-0005-0000-0000-000039650000}"/>
    <cellStyle name="Verknüpfte Zelle 15_est. MEAT" xfId="26563" xr:uid="{00000000-0005-0000-0000-00003A650000}"/>
    <cellStyle name="Verknüpfte Zelle 150" xfId="11305" xr:uid="{00000000-0005-0000-0000-00003B650000}"/>
    <cellStyle name="Verknüpfte Zelle 150 2" xfId="20720" xr:uid="{00000000-0005-0000-0000-00003C650000}"/>
    <cellStyle name="Verknüpfte Zelle 150_est. MEAT" xfId="26564" xr:uid="{00000000-0005-0000-0000-00003D650000}"/>
    <cellStyle name="Verknüpfte Zelle 151" xfId="11306" xr:uid="{00000000-0005-0000-0000-00003E650000}"/>
    <cellStyle name="Verknüpfte Zelle 151 2" xfId="20721" xr:uid="{00000000-0005-0000-0000-00003F650000}"/>
    <cellStyle name="Verknüpfte Zelle 151_est. MEAT" xfId="26565" xr:uid="{00000000-0005-0000-0000-000040650000}"/>
    <cellStyle name="Verknüpfte Zelle 152" xfId="20658" xr:uid="{00000000-0005-0000-0000-000041650000}"/>
    <cellStyle name="Verknüpfte Zelle 16" xfId="11307" xr:uid="{00000000-0005-0000-0000-000042650000}"/>
    <cellStyle name="Verknüpfte Zelle 16 2" xfId="20722" xr:uid="{00000000-0005-0000-0000-000043650000}"/>
    <cellStyle name="Verknüpfte Zelle 16_est. MEAT" xfId="26566" xr:uid="{00000000-0005-0000-0000-000044650000}"/>
    <cellStyle name="Verknüpfte Zelle 17" xfId="11308" xr:uid="{00000000-0005-0000-0000-000045650000}"/>
    <cellStyle name="Verknüpfte Zelle 17 2" xfId="20723" xr:uid="{00000000-0005-0000-0000-000046650000}"/>
    <cellStyle name="Verknüpfte Zelle 17_est. MEAT" xfId="26567" xr:uid="{00000000-0005-0000-0000-000047650000}"/>
    <cellStyle name="Verknüpfte Zelle 18" xfId="11309" xr:uid="{00000000-0005-0000-0000-000048650000}"/>
    <cellStyle name="Verknüpfte Zelle 18 2" xfId="20724" xr:uid="{00000000-0005-0000-0000-000049650000}"/>
    <cellStyle name="Verknüpfte Zelle 18_est. MEAT" xfId="26568" xr:uid="{00000000-0005-0000-0000-00004A650000}"/>
    <cellStyle name="Verknüpfte Zelle 19" xfId="11310" xr:uid="{00000000-0005-0000-0000-00004B650000}"/>
    <cellStyle name="Verknüpfte Zelle 19 2" xfId="20725" xr:uid="{00000000-0005-0000-0000-00004C650000}"/>
    <cellStyle name="Verknüpfte Zelle 19_est. MEAT" xfId="26569" xr:uid="{00000000-0005-0000-0000-00004D650000}"/>
    <cellStyle name="Verknüpfte Zelle 2" xfId="11311" xr:uid="{00000000-0005-0000-0000-00004E650000}"/>
    <cellStyle name="Verknüpfte Zelle 2 2" xfId="11312" xr:uid="{00000000-0005-0000-0000-00004F650000}"/>
    <cellStyle name="Verknüpfte Zelle 2 2 2" xfId="20727" xr:uid="{00000000-0005-0000-0000-000050650000}"/>
    <cellStyle name="Verknüpfte Zelle 2 2_est. MEAT" xfId="26570" xr:uid="{00000000-0005-0000-0000-000051650000}"/>
    <cellStyle name="Verknüpfte Zelle 2 3" xfId="20726" xr:uid="{00000000-0005-0000-0000-000052650000}"/>
    <cellStyle name="Verknüpfte Zelle 2_2012-2019" xfId="13436" xr:uid="{00000000-0005-0000-0000-000053650000}"/>
    <cellStyle name="Verknüpfte Zelle 20" xfId="11313" xr:uid="{00000000-0005-0000-0000-000054650000}"/>
    <cellStyle name="Verknüpfte Zelle 20 2" xfId="20728" xr:uid="{00000000-0005-0000-0000-000055650000}"/>
    <cellStyle name="Verknüpfte Zelle 20_est. MEAT" xfId="26571" xr:uid="{00000000-0005-0000-0000-000056650000}"/>
    <cellStyle name="Verknüpfte Zelle 21" xfId="11314" xr:uid="{00000000-0005-0000-0000-000057650000}"/>
    <cellStyle name="Verknüpfte Zelle 21 2" xfId="20729" xr:uid="{00000000-0005-0000-0000-000058650000}"/>
    <cellStyle name="Verknüpfte Zelle 21_est. MEAT" xfId="26572" xr:uid="{00000000-0005-0000-0000-000059650000}"/>
    <cellStyle name="Verknüpfte Zelle 22" xfId="11315" xr:uid="{00000000-0005-0000-0000-00005A650000}"/>
    <cellStyle name="Verknüpfte Zelle 22 2" xfId="20730" xr:uid="{00000000-0005-0000-0000-00005B650000}"/>
    <cellStyle name="Verknüpfte Zelle 22_est. MEAT" xfId="26573" xr:uid="{00000000-0005-0000-0000-00005C650000}"/>
    <cellStyle name="Verknüpfte Zelle 23" xfId="11316" xr:uid="{00000000-0005-0000-0000-00005D650000}"/>
    <cellStyle name="Verknüpfte Zelle 23 2" xfId="20731" xr:uid="{00000000-0005-0000-0000-00005E650000}"/>
    <cellStyle name="Verknüpfte Zelle 23_est. MEAT" xfId="26574" xr:uid="{00000000-0005-0000-0000-00005F650000}"/>
    <cellStyle name="Verknüpfte Zelle 24" xfId="11317" xr:uid="{00000000-0005-0000-0000-000060650000}"/>
    <cellStyle name="Verknüpfte Zelle 24 2" xfId="20732" xr:uid="{00000000-0005-0000-0000-000061650000}"/>
    <cellStyle name="Verknüpfte Zelle 24_est. MEAT" xfId="26575" xr:uid="{00000000-0005-0000-0000-000062650000}"/>
    <cellStyle name="Verknüpfte Zelle 25" xfId="11318" xr:uid="{00000000-0005-0000-0000-000063650000}"/>
    <cellStyle name="Verknüpfte Zelle 25 2" xfId="20733" xr:uid="{00000000-0005-0000-0000-000064650000}"/>
    <cellStyle name="Verknüpfte Zelle 25_est. MEAT" xfId="26576" xr:uid="{00000000-0005-0000-0000-000065650000}"/>
    <cellStyle name="Verknüpfte Zelle 26" xfId="11319" xr:uid="{00000000-0005-0000-0000-000066650000}"/>
    <cellStyle name="Verknüpfte Zelle 26 2" xfId="20734" xr:uid="{00000000-0005-0000-0000-000067650000}"/>
    <cellStyle name="Verknüpfte Zelle 26_est. MEAT" xfId="26577" xr:uid="{00000000-0005-0000-0000-000068650000}"/>
    <cellStyle name="Verknüpfte Zelle 27" xfId="11320" xr:uid="{00000000-0005-0000-0000-000069650000}"/>
    <cellStyle name="Verknüpfte Zelle 27 2" xfId="20735" xr:uid="{00000000-0005-0000-0000-00006A650000}"/>
    <cellStyle name="Verknüpfte Zelle 27_est. MEAT" xfId="26578" xr:uid="{00000000-0005-0000-0000-00006B650000}"/>
    <cellStyle name="Verknüpfte Zelle 28" xfId="11321" xr:uid="{00000000-0005-0000-0000-00006C650000}"/>
    <cellStyle name="Verknüpfte Zelle 28 2" xfId="20736" xr:uid="{00000000-0005-0000-0000-00006D650000}"/>
    <cellStyle name="Verknüpfte Zelle 28_est. MEAT" xfId="26579" xr:uid="{00000000-0005-0000-0000-00006E650000}"/>
    <cellStyle name="Verknüpfte Zelle 29" xfId="11322" xr:uid="{00000000-0005-0000-0000-00006F650000}"/>
    <cellStyle name="Verknüpfte Zelle 29 2" xfId="20737" xr:uid="{00000000-0005-0000-0000-000070650000}"/>
    <cellStyle name="Verknüpfte Zelle 29_est. MEAT" xfId="26580" xr:uid="{00000000-0005-0000-0000-000071650000}"/>
    <cellStyle name="Verknüpfte Zelle 3" xfId="11323" xr:uid="{00000000-0005-0000-0000-000072650000}"/>
    <cellStyle name="Verknüpfte Zelle 3 2" xfId="11324" xr:uid="{00000000-0005-0000-0000-000073650000}"/>
    <cellStyle name="Verknüpfte Zelle 3 2 2" xfId="20739" xr:uid="{00000000-0005-0000-0000-000074650000}"/>
    <cellStyle name="Verknüpfte Zelle 3 2_est. MEAT" xfId="26581" xr:uid="{00000000-0005-0000-0000-000075650000}"/>
    <cellStyle name="Verknüpfte Zelle 3 3" xfId="20738" xr:uid="{00000000-0005-0000-0000-000076650000}"/>
    <cellStyle name="Verknüpfte Zelle 3_2012-2019" xfId="13437" xr:uid="{00000000-0005-0000-0000-000077650000}"/>
    <cellStyle name="Verknüpfte Zelle 30" xfId="11325" xr:uid="{00000000-0005-0000-0000-000078650000}"/>
    <cellStyle name="Verknüpfte Zelle 30 2" xfId="20740" xr:uid="{00000000-0005-0000-0000-000079650000}"/>
    <cellStyle name="Verknüpfte Zelle 30_est. MEAT" xfId="26582" xr:uid="{00000000-0005-0000-0000-00007A650000}"/>
    <cellStyle name="Verknüpfte Zelle 31" xfId="11326" xr:uid="{00000000-0005-0000-0000-00007B650000}"/>
    <cellStyle name="Verknüpfte Zelle 31 2" xfId="20741" xr:uid="{00000000-0005-0000-0000-00007C650000}"/>
    <cellStyle name="Verknüpfte Zelle 31_est. MEAT" xfId="26583" xr:uid="{00000000-0005-0000-0000-00007D650000}"/>
    <cellStyle name="Verknüpfte Zelle 32" xfId="11327" xr:uid="{00000000-0005-0000-0000-00007E650000}"/>
    <cellStyle name="Verknüpfte Zelle 32 2" xfId="20742" xr:uid="{00000000-0005-0000-0000-00007F650000}"/>
    <cellStyle name="Verknüpfte Zelle 32_est. MEAT" xfId="26584" xr:uid="{00000000-0005-0000-0000-000080650000}"/>
    <cellStyle name="Verknüpfte Zelle 33" xfId="11328" xr:uid="{00000000-0005-0000-0000-000081650000}"/>
    <cellStyle name="Verknüpfte Zelle 33 2" xfId="20743" xr:uid="{00000000-0005-0000-0000-000082650000}"/>
    <cellStyle name="Verknüpfte Zelle 33_est. MEAT" xfId="26585" xr:uid="{00000000-0005-0000-0000-000083650000}"/>
    <cellStyle name="Verknüpfte Zelle 34" xfId="11329" xr:uid="{00000000-0005-0000-0000-000084650000}"/>
    <cellStyle name="Verknüpfte Zelle 34 2" xfId="20744" xr:uid="{00000000-0005-0000-0000-000085650000}"/>
    <cellStyle name="Verknüpfte Zelle 34_est. MEAT" xfId="26586" xr:uid="{00000000-0005-0000-0000-000086650000}"/>
    <cellStyle name="Verknüpfte Zelle 35" xfId="11330" xr:uid="{00000000-0005-0000-0000-000087650000}"/>
    <cellStyle name="Verknüpfte Zelle 35 2" xfId="20745" xr:uid="{00000000-0005-0000-0000-000088650000}"/>
    <cellStyle name="Verknüpfte Zelle 35_est. MEAT" xfId="26587" xr:uid="{00000000-0005-0000-0000-000089650000}"/>
    <cellStyle name="Verknüpfte Zelle 36" xfId="11331" xr:uid="{00000000-0005-0000-0000-00008A650000}"/>
    <cellStyle name="Verknüpfte Zelle 36 2" xfId="20746" xr:uid="{00000000-0005-0000-0000-00008B650000}"/>
    <cellStyle name="Verknüpfte Zelle 36_est. MEAT" xfId="26588" xr:uid="{00000000-0005-0000-0000-00008C650000}"/>
    <cellStyle name="Verknüpfte Zelle 37" xfId="11332" xr:uid="{00000000-0005-0000-0000-00008D650000}"/>
    <cellStyle name="Verknüpfte Zelle 37 2" xfId="20747" xr:uid="{00000000-0005-0000-0000-00008E650000}"/>
    <cellStyle name="Verknüpfte Zelle 37_est. MEAT" xfId="26589" xr:uid="{00000000-0005-0000-0000-00008F650000}"/>
    <cellStyle name="Verknüpfte Zelle 38" xfId="11333" xr:uid="{00000000-0005-0000-0000-000090650000}"/>
    <cellStyle name="Verknüpfte Zelle 38 2" xfId="20748" xr:uid="{00000000-0005-0000-0000-000091650000}"/>
    <cellStyle name="Verknüpfte Zelle 38_est. MEAT" xfId="26590" xr:uid="{00000000-0005-0000-0000-000092650000}"/>
    <cellStyle name="Verknüpfte Zelle 39" xfId="11334" xr:uid="{00000000-0005-0000-0000-000093650000}"/>
    <cellStyle name="Verknüpfte Zelle 39 2" xfId="20749" xr:uid="{00000000-0005-0000-0000-000094650000}"/>
    <cellStyle name="Verknüpfte Zelle 39_est. MEAT" xfId="26591" xr:uid="{00000000-0005-0000-0000-000095650000}"/>
    <cellStyle name="Verknüpfte Zelle 4" xfId="11335" xr:uid="{00000000-0005-0000-0000-000096650000}"/>
    <cellStyle name="Verknüpfte Zelle 4 2" xfId="11336" xr:uid="{00000000-0005-0000-0000-000097650000}"/>
    <cellStyle name="Verknüpfte Zelle 4 2 2" xfId="20751" xr:uid="{00000000-0005-0000-0000-000098650000}"/>
    <cellStyle name="Verknüpfte Zelle 4 2_est. MEAT" xfId="26592" xr:uid="{00000000-0005-0000-0000-000099650000}"/>
    <cellStyle name="Verknüpfte Zelle 4 3" xfId="20750" xr:uid="{00000000-0005-0000-0000-00009A650000}"/>
    <cellStyle name="Verknüpfte Zelle 4_2012-2019" xfId="13438" xr:uid="{00000000-0005-0000-0000-00009B650000}"/>
    <cellStyle name="Verknüpfte Zelle 40" xfId="11337" xr:uid="{00000000-0005-0000-0000-00009C650000}"/>
    <cellStyle name="Verknüpfte Zelle 40 2" xfId="20752" xr:uid="{00000000-0005-0000-0000-00009D650000}"/>
    <cellStyle name="Verknüpfte Zelle 40_est. MEAT" xfId="26593" xr:uid="{00000000-0005-0000-0000-00009E650000}"/>
    <cellStyle name="Verknüpfte Zelle 41" xfId="11338" xr:uid="{00000000-0005-0000-0000-00009F650000}"/>
    <cellStyle name="Verknüpfte Zelle 41 2" xfId="20753" xr:uid="{00000000-0005-0000-0000-0000A0650000}"/>
    <cellStyle name="Verknüpfte Zelle 41_est. MEAT" xfId="26594" xr:uid="{00000000-0005-0000-0000-0000A1650000}"/>
    <cellStyle name="Verknüpfte Zelle 42" xfId="11339" xr:uid="{00000000-0005-0000-0000-0000A2650000}"/>
    <cellStyle name="Verknüpfte Zelle 42 2" xfId="20754" xr:uid="{00000000-0005-0000-0000-0000A3650000}"/>
    <cellStyle name="Verknüpfte Zelle 42_est. MEAT" xfId="26595" xr:uid="{00000000-0005-0000-0000-0000A4650000}"/>
    <cellStyle name="Verknüpfte Zelle 43" xfId="11340" xr:uid="{00000000-0005-0000-0000-0000A5650000}"/>
    <cellStyle name="Verknüpfte Zelle 43 2" xfId="20755" xr:uid="{00000000-0005-0000-0000-0000A6650000}"/>
    <cellStyle name="Verknüpfte Zelle 43_est. MEAT" xfId="26596" xr:uid="{00000000-0005-0000-0000-0000A7650000}"/>
    <cellStyle name="Verknüpfte Zelle 44" xfId="11341" xr:uid="{00000000-0005-0000-0000-0000A8650000}"/>
    <cellStyle name="Verknüpfte Zelle 44 2" xfId="20756" xr:uid="{00000000-0005-0000-0000-0000A9650000}"/>
    <cellStyle name="Verknüpfte Zelle 44_est. MEAT" xfId="26597" xr:uid="{00000000-0005-0000-0000-0000AA650000}"/>
    <cellStyle name="Verknüpfte Zelle 45" xfId="11342" xr:uid="{00000000-0005-0000-0000-0000AB650000}"/>
    <cellStyle name="Verknüpfte Zelle 45 2" xfId="20757" xr:uid="{00000000-0005-0000-0000-0000AC650000}"/>
    <cellStyle name="Verknüpfte Zelle 45_est. MEAT" xfId="26598" xr:uid="{00000000-0005-0000-0000-0000AD650000}"/>
    <cellStyle name="Verknüpfte Zelle 46" xfId="11343" xr:uid="{00000000-0005-0000-0000-0000AE650000}"/>
    <cellStyle name="Verknüpfte Zelle 46 2" xfId="20758" xr:uid="{00000000-0005-0000-0000-0000AF650000}"/>
    <cellStyle name="Verknüpfte Zelle 46_est. MEAT" xfId="26599" xr:uid="{00000000-0005-0000-0000-0000B0650000}"/>
    <cellStyle name="Verknüpfte Zelle 47" xfId="11344" xr:uid="{00000000-0005-0000-0000-0000B1650000}"/>
    <cellStyle name="Verknüpfte Zelle 47 2" xfId="20759" xr:uid="{00000000-0005-0000-0000-0000B2650000}"/>
    <cellStyle name="Verknüpfte Zelle 47_est. MEAT" xfId="26600" xr:uid="{00000000-0005-0000-0000-0000B3650000}"/>
    <cellStyle name="Verknüpfte Zelle 48" xfId="11345" xr:uid="{00000000-0005-0000-0000-0000B4650000}"/>
    <cellStyle name="Verknüpfte Zelle 48 2" xfId="20760" xr:uid="{00000000-0005-0000-0000-0000B5650000}"/>
    <cellStyle name="Verknüpfte Zelle 48_est. MEAT" xfId="26601" xr:uid="{00000000-0005-0000-0000-0000B6650000}"/>
    <cellStyle name="Verknüpfte Zelle 49" xfId="11346" xr:uid="{00000000-0005-0000-0000-0000B7650000}"/>
    <cellStyle name="Verknüpfte Zelle 49 2" xfId="20761" xr:uid="{00000000-0005-0000-0000-0000B8650000}"/>
    <cellStyle name="Verknüpfte Zelle 49_est. MEAT" xfId="26602" xr:uid="{00000000-0005-0000-0000-0000B9650000}"/>
    <cellStyle name="Verknüpfte Zelle 5" xfId="11347" xr:uid="{00000000-0005-0000-0000-0000BA650000}"/>
    <cellStyle name="Verknüpfte Zelle 5 2" xfId="11348" xr:uid="{00000000-0005-0000-0000-0000BB650000}"/>
    <cellStyle name="Verknüpfte Zelle 5 2 2" xfId="20763" xr:uid="{00000000-0005-0000-0000-0000BC650000}"/>
    <cellStyle name="Verknüpfte Zelle 5 2_est. MEAT" xfId="26603" xr:uid="{00000000-0005-0000-0000-0000BD650000}"/>
    <cellStyle name="Verknüpfte Zelle 5 3" xfId="20762" xr:uid="{00000000-0005-0000-0000-0000BE650000}"/>
    <cellStyle name="Verknüpfte Zelle 5_2012-2019" xfId="13439" xr:uid="{00000000-0005-0000-0000-0000BF650000}"/>
    <cellStyle name="Verknüpfte Zelle 50" xfId="11349" xr:uid="{00000000-0005-0000-0000-0000C0650000}"/>
    <cellStyle name="Verknüpfte Zelle 50 2" xfId="20764" xr:uid="{00000000-0005-0000-0000-0000C1650000}"/>
    <cellStyle name="Verknüpfte Zelle 50_est. MEAT" xfId="26604" xr:uid="{00000000-0005-0000-0000-0000C2650000}"/>
    <cellStyle name="Verknüpfte Zelle 51" xfId="11350" xr:uid="{00000000-0005-0000-0000-0000C3650000}"/>
    <cellStyle name="Verknüpfte Zelle 51 2" xfId="20765" xr:uid="{00000000-0005-0000-0000-0000C4650000}"/>
    <cellStyle name="Verknüpfte Zelle 51_est. MEAT" xfId="26605" xr:uid="{00000000-0005-0000-0000-0000C5650000}"/>
    <cellStyle name="Verknüpfte Zelle 52" xfId="11351" xr:uid="{00000000-0005-0000-0000-0000C6650000}"/>
    <cellStyle name="Verknüpfte Zelle 52 2" xfId="20766" xr:uid="{00000000-0005-0000-0000-0000C7650000}"/>
    <cellStyle name="Verknüpfte Zelle 52_est. MEAT" xfId="26606" xr:uid="{00000000-0005-0000-0000-0000C8650000}"/>
    <cellStyle name="Verknüpfte Zelle 53" xfId="11352" xr:uid="{00000000-0005-0000-0000-0000C9650000}"/>
    <cellStyle name="Verknüpfte Zelle 53 2" xfId="20767" xr:uid="{00000000-0005-0000-0000-0000CA650000}"/>
    <cellStyle name="Verknüpfte Zelle 53_est. MEAT" xfId="26607" xr:uid="{00000000-0005-0000-0000-0000CB650000}"/>
    <cellStyle name="Verknüpfte Zelle 54" xfId="11353" xr:uid="{00000000-0005-0000-0000-0000CC650000}"/>
    <cellStyle name="Verknüpfte Zelle 54 2" xfId="20768" xr:uid="{00000000-0005-0000-0000-0000CD650000}"/>
    <cellStyle name="Verknüpfte Zelle 54_est. MEAT" xfId="26608" xr:uid="{00000000-0005-0000-0000-0000CE650000}"/>
    <cellStyle name="Verknüpfte Zelle 55" xfId="11354" xr:uid="{00000000-0005-0000-0000-0000CF650000}"/>
    <cellStyle name="Verknüpfte Zelle 55 2" xfId="20769" xr:uid="{00000000-0005-0000-0000-0000D0650000}"/>
    <cellStyle name="Verknüpfte Zelle 55_est. MEAT" xfId="26609" xr:uid="{00000000-0005-0000-0000-0000D1650000}"/>
    <cellStyle name="Verknüpfte Zelle 56" xfId="11355" xr:uid="{00000000-0005-0000-0000-0000D2650000}"/>
    <cellStyle name="Verknüpfte Zelle 56 2" xfId="20770" xr:uid="{00000000-0005-0000-0000-0000D3650000}"/>
    <cellStyle name="Verknüpfte Zelle 56_est. MEAT" xfId="26610" xr:uid="{00000000-0005-0000-0000-0000D4650000}"/>
    <cellStyle name="Verknüpfte Zelle 57" xfId="11356" xr:uid="{00000000-0005-0000-0000-0000D5650000}"/>
    <cellStyle name="Verknüpfte Zelle 57 2" xfId="20771" xr:uid="{00000000-0005-0000-0000-0000D6650000}"/>
    <cellStyle name="Verknüpfte Zelle 57_est. MEAT" xfId="26611" xr:uid="{00000000-0005-0000-0000-0000D7650000}"/>
    <cellStyle name="Verknüpfte Zelle 58" xfId="11357" xr:uid="{00000000-0005-0000-0000-0000D8650000}"/>
    <cellStyle name="Verknüpfte Zelle 58 2" xfId="20772" xr:uid="{00000000-0005-0000-0000-0000D9650000}"/>
    <cellStyle name="Verknüpfte Zelle 58_est. MEAT" xfId="26612" xr:uid="{00000000-0005-0000-0000-0000DA650000}"/>
    <cellStyle name="Verknüpfte Zelle 59" xfId="11358" xr:uid="{00000000-0005-0000-0000-0000DB650000}"/>
    <cellStyle name="Verknüpfte Zelle 59 2" xfId="20773" xr:uid="{00000000-0005-0000-0000-0000DC650000}"/>
    <cellStyle name="Verknüpfte Zelle 59_est. MEAT" xfId="26613" xr:uid="{00000000-0005-0000-0000-0000DD650000}"/>
    <cellStyle name="Verknüpfte Zelle 6" xfId="11359" xr:uid="{00000000-0005-0000-0000-0000DE650000}"/>
    <cellStyle name="Verknüpfte Zelle 6 2" xfId="11360" xr:uid="{00000000-0005-0000-0000-0000DF650000}"/>
    <cellStyle name="Verknüpfte Zelle 6 2 2" xfId="20775" xr:uid="{00000000-0005-0000-0000-0000E0650000}"/>
    <cellStyle name="Verknüpfte Zelle 6 2_est. MEAT" xfId="26614" xr:uid="{00000000-0005-0000-0000-0000E1650000}"/>
    <cellStyle name="Verknüpfte Zelle 6 3" xfId="20774" xr:uid="{00000000-0005-0000-0000-0000E2650000}"/>
    <cellStyle name="Verknüpfte Zelle 6_2012-2019" xfId="13440" xr:uid="{00000000-0005-0000-0000-0000E3650000}"/>
    <cellStyle name="Verknüpfte Zelle 60" xfId="11361" xr:uid="{00000000-0005-0000-0000-0000E4650000}"/>
    <cellStyle name="Verknüpfte Zelle 60 2" xfId="20776" xr:uid="{00000000-0005-0000-0000-0000E5650000}"/>
    <cellStyle name="Verknüpfte Zelle 60_est. MEAT" xfId="26615" xr:uid="{00000000-0005-0000-0000-0000E6650000}"/>
    <cellStyle name="Verknüpfte Zelle 61" xfId="11362" xr:uid="{00000000-0005-0000-0000-0000E7650000}"/>
    <cellStyle name="Verknüpfte Zelle 61 2" xfId="20777" xr:uid="{00000000-0005-0000-0000-0000E8650000}"/>
    <cellStyle name="Verknüpfte Zelle 61_est. MEAT" xfId="26616" xr:uid="{00000000-0005-0000-0000-0000E9650000}"/>
    <cellStyle name="Verknüpfte Zelle 62" xfId="11363" xr:uid="{00000000-0005-0000-0000-0000EA650000}"/>
    <cellStyle name="Verknüpfte Zelle 62 2" xfId="20778" xr:uid="{00000000-0005-0000-0000-0000EB650000}"/>
    <cellStyle name="Verknüpfte Zelle 62_est. MEAT" xfId="26617" xr:uid="{00000000-0005-0000-0000-0000EC650000}"/>
    <cellStyle name="Verknüpfte Zelle 63" xfId="11364" xr:uid="{00000000-0005-0000-0000-0000ED650000}"/>
    <cellStyle name="Verknüpfte Zelle 63 2" xfId="20779" xr:uid="{00000000-0005-0000-0000-0000EE650000}"/>
    <cellStyle name="Verknüpfte Zelle 63_est. MEAT" xfId="26618" xr:uid="{00000000-0005-0000-0000-0000EF650000}"/>
    <cellStyle name="Verknüpfte Zelle 64" xfId="11365" xr:uid="{00000000-0005-0000-0000-0000F0650000}"/>
    <cellStyle name="Verknüpfte Zelle 64 2" xfId="20780" xr:uid="{00000000-0005-0000-0000-0000F1650000}"/>
    <cellStyle name="Verknüpfte Zelle 64_est. MEAT" xfId="26619" xr:uid="{00000000-0005-0000-0000-0000F2650000}"/>
    <cellStyle name="Verknüpfte Zelle 65" xfId="11366" xr:uid="{00000000-0005-0000-0000-0000F3650000}"/>
    <cellStyle name="Verknüpfte Zelle 65 2" xfId="20781" xr:uid="{00000000-0005-0000-0000-0000F4650000}"/>
    <cellStyle name="Verknüpfte Zelle 65_est. MEAT" xfId="26620" xr:uid="{00000000-0005-0000-0000-0000F5650000}"/>
    <cellStyle name="Verknüpfte Zelle 66" xfId="11367" xr:uid="{00000000-0005-0000-0000-0000F6650000}"/>
    <cellStyle name="Verknüpfte Zelle 66 2" xfId="20782" xr:uid="{00000000-0005-0000-0000-0000F7650000}"/>
    <cellStyle name="Verknüpfte Zelle 66_est. MEAT" xfId="26621" xr:uid="{00000000-0005-0000-0000-0000F8650000}"/>
    <cellStyle name="Verknüpfte Zelle 67" xfId="11368" xr:uid="{00000000-0005-0000-0000-0000F9650000}"/>
    <cellStyle name="Verknüpfte Zelle 67 2" xfId="20783" xr:uid="{00000000-0005-0000-0000-0000FA650000}"/>
    <cellStyle name="Verknüpfte Zelle 67_est. MEAT" xfId="26622" xr:uid="{00000000-0005-0000-0000-0000FB650000}"/>
    <cellStyle name="Verknüpfte Zelle 68" xfId="11369" xr:uid="{00000000-0005-0000-0000-0000FC650000}"/>
    <cellStyle name="Verknüpfte Zelle 68 2" xfId="20784" xr:uid="{00000000-0005-0000-0000-0000FD650000}"/>
    <cellStyle name="Verknüpfte Zelle 68_est. MEAT" xfId="26623" xr:uid="{00000000-0005-0000-0000-0000FE650000}"/>
    <cellStyle name="Verknüpfte Zelle 69" xfId="11370" xr:uid="{00000000-0005-0000-0000-0000FF650000}"/>
    <cellStyle name="Verknüpfte Zelle 69 2" xfId="20785" xr:uid="{00000000-0005-0000-0000-000000660000}"/>
    <cellStyle name="Verknüpfte Zelle 69_est. MEAT" xfId="26624" xr:uid="{00000000-0005-0000-0000-000001660000}"/>
    <cellStyle name="Verknüpfte Zelle 7" xfId="11371" xr:uid="{00000000-0005-0000-0000-000002660000}"/>
    <cellStyle name="Verknüpfte Zelle 7 2" xfId="11372" xr:uid="{00000000-0005-0000-0000-000003660000}"/>
    <cellStyle name="Verknüpfte Zelle 7 2 2" xfId="20787" xr:uid="{00000000-0005-0000-0000-000004660000}"/>
    <cellStyle name="Verknüpfte Zelle 7 2_est. MEAT" xfId="26625" xr:uid="{00000000-0005-0000-0000-000005660000}"/>
    <cellStyle name="Verknüpfte Zelle 7 3" xfId="20786" xr:uid="{00000000-0005-0000-0000-000006660000}"/>
    <cellStyle name="Verknüpfte Zelle 7_2012-2019" xfId="13441" xr:uid="{00000000-0005-0000-0000-000007660000}"/>
    <cellStyle name="Verknüpfte Zelle 70" xfId="11373" xr:uid="{00000000-0005-0000-0000-000008660000}"/>
    <cellStyle name="Verknüpfte Zelle 70 2" xfId="20788" xr:uid="{00000000-0005-0000-0000-000009660000}"/>
    <cellStyle name="Verknüpfte Zelle 70_est. MEAT" xfId="26626" xr:uid="{00000000-0005-0000-0000-00000A660000}"/>
    <cellStyle name="Verknüpfte Zelle 71" xfId="11374" xr:uid="{00000000-0005-0000-0000-00000B660000}"/>
    <cellStyle name="Verknüpfte Zelle 71 2" xfId="20789" xr:uid="{00000000-0005-0000-0000-00000C660000}"/>
    <cellStyle name="Verknüpfte Zelle 71_est. MEAT" xfId="26627" xr:uid="{00000000-0005-0000-0000-00000D660000}"/>
    <cellStyle name="Verknüpfte Zelle 72" xfId="11375" xr:uid="{00000000-0005-0000-0000-00000E660000}"/>
    <cellStyle name="Verknüpfte Zelle 72 2" xfId="20790" xr:uid="{00000000-0005-0000-0000-00000F660000}"/>
    <cellStyle name="Verknüpfte Zelle 72_est. MEAT" xfId="26628" xr:uid="{00000000-0005-0000-0000-000010660000}"/>
    <cellStyle name="Verknüpfte Zelle 73" xfId="11376" xr:uid="{00000000-0005-0000-0000-000011660000}"/>
    <cellStyle name="Verknüpfte Zelle 73 2" xfId="20791" xr:uid="{00000000-0005-0000-0000-000012660000}"/>
    <cellStyle name="Verknüpfte Zelle 73_est. MEAT" xfId="26629" xr:uid="{00000000-0005-0000-0000-000013660000}"/>
    <cellStyle name="Verknüpfte Zelle 74" xfId="11377" xr:uid="{00000000-0005-0000-0000-000014660000}"/>
    <cellStyle name="Verknüpfte Zelle 74 2" xfId="20792" xr:uid="{00000000-0005-0000-0000-000015660000}"/>
    <cellStyle name="Verknüpfte Zelle 74_est. MEAT" xfId="26630" xr:uid="{00000000-0005-0000-0000-000016660000}"/>
    <cellStyle name="Verknüpfte Zelle 75" xfId="11378" xr:uid="{00000000-0005-0000-0000-000017660000}"/>
    <cellStyle name="Verknüpfte Zelle 75 2" xfId="20793" xr:uid="{00000000-0005-0000-0000-000018660000}"/>
    <cellStyle name="Verknüpfte Zelle 75_est. MEAT" xfId="26631" xr:uid="{00000000-0005-0000-0000-000019660000}"/>
    <cellStyle name="Verknüpfte Zelle 76" xfId="11379" xr:uid="{00000000-0005-0000-0000-00001A660000}"/>
    <cellStyle name="Verknüpfte Zelle 76 2" xfId="20794" xr:uid="{00000000-0005-0000-0000-00001B660000}"/>
    <cellStyle name="Verknüpfte Zelle 76_est. MEAT" xfId="26632" xr:uid="{00000000-0005-0000-0000-00001C660000}"/>
    <cellStyle name="Verknüpfte Zelle 77" xfId="11380" xr:uid="{00000000-0005-0000-0000-00001D660000}"/>
    <cellStyle name="Verknüpfte Zelle 77 2" xfId="20795" xr:uid="{00000000-0005-0000-0000-00001E660000}"/>
    <cellStyle name="Verknüpfte Zelle 77_est. MEAT" xfId="26633" xr:uid="{00000000-0005-0000-0000-00001F660000}"/>
    <cellStyle name="Verknüpfte Zelle 78" xfId="11381" xr:uid="{00000000-0005-0000-0000-000020660000}"/>
    <cellStyle name="Verknüpfte Zelle 78 2" xfId="20796" xr:uid="{00000000-0005-0000-0000-000021660000}"/>
    <cellStyle name="Verknüpfte Zelle 78_est. MEAT" xfId="26634" xr:uid="{00000000-0005-0000-0000-000022660000}"/>
    <cellStyle name="Verknüpfte Zelle 79" xfId="11382" xr:uid="{00000000-0005-0000-0000-000023660000}"/>
    <cellStyle name="Verknüpfte Zelle 79 2" xfId="20797" xr:uid="{00000000-0005-0000-0000-000024660000}"/>
    <cellStyle name="Verknüpfte Zelle 79_est. MEAT" xfId="26635" xr:uid="{00000000-0005-0000-0000-000025660000}"/>
    <cellStyle name="Verknüpfte Zelle 8" xfId="11383" xr:uid="{00000000-0005-0000-0000-000026660000}"/>
    <cellStyle name="Verknüpfte Zelle 8 2" xfId="11384" xr:uid="{00000000-0005-0000-0000-000027660000}"/>
    <cellStyle name="Verknüpfte Zelle 8 2 2" xfId="20799" xr:uid="{00000000-0005-0000-0000-000028660000}"/>
    <cellStyle name="Verknüpfte Zelle 8 2_est. MEAT" xfId="26636" xr:uid="{00000000-0005-0000-0000-000029660000}"/>
    <cellStyle name="Verknüpfte Zelle 8 3" xfId="20798" xr:uid="{00000000-0005-0000-0000-00002A660000}"/>
    <cellStyle name="Verknüpfte Zelle 8_2012-2019" xfId="13442" xr:uid="{00000000-0005-0000-0000-00002B660000}"/>
    <cellStyle name="Verknüpfte Zelle 80" xfId="11385" xr:uid="{00000000-0005-0000-0000-00002C660000}"/>
    <cellStyle name="Verknüpfte Zelle 80 2" xfId="20800" xr:uid="{00000000-0005-0000-0000-00002D660000}"/>
    <cellStyle name="Verknüpfte Zelle 80_est. MEAT" xfId="26637" xr:uid="{00000000-0005-0000-0000-00002E660000}"/>
    <cellStyle name="Verknüpfte Zelle 81" xfId="11386" xr:uid="{00000000-0005-0000-0000-00002F660000}"/>
    <cellStyle name="Verknüpfte Zelle 81 2" xfId="20801" xr:uid="{00000000-0005-0000-0000-000030660000}"/>
    <cellStyle name="Verknüpfte Zelle 81_est. MEAT" xfId="26638" xr:uid="{00000000-0005-0000-0000-000031660000}"/>
    <cellStyle name="Verknüpfte Zelle 82" xfId="11387" xr:uid="{00000000-0005-0000-0000-000032660000}"/>
    <cellStyle name="Verknüpfte Zelle 82 2" xfId="20802" xr:uid="{00000000-0005-0000-0000-000033660000}"/>
    <cellStyle name="Verknüpfte Zelle 82_est. MEAT" xfId="26639" xr:uid="{00000000-0005-0000-0000-000034660000}"/>
    <cellStyle name="Verknüpfte Zelle 83" xfId="11388" xr:uid="{00000000-0005-0000-0000-000035660000}"/>
    <cellStyle name="Verknüpfte Zelle 83 2" xfId="20803" xr:uid="{00000000-0005-0000-0000-000036660000}"/>
    <cellStyle name="Verknüpfte Zelle 83_est. MEAT" xfId="26640" xr:uid="{00000000-0005-0000-0000-000037660000}"/>
    <cellStyle name="Verknüpfte Zelle 84" xfId="11389" xr:uid="{00000000-0005-0000-0000-000038660000}"/>
    <cellStyle name="Verknüpfte Zelle 84 2" xfId="20804" xr:uid="{00000000-0005-0000-0000-000039660000}"/>
    <cellStyle name="Verknüpfte Zelle 84_est. MEAT" xfId="26641" xr:uid="{00000000-0005-0000-0000-00003A660000}"/>
    <cellStyle name="Verknüpfte Zelle 85" xfId="11390" xr:uid="{00000000-0005-0000-0000-00003B660000}"/>
    <cellStyle name="Verknüpfte Zelle 85 2" xfId="20805" xr:uid="{00000000-0005-0000-0000-00003C660000}"/>
    <cellStyle name="Verknüpfte Zelle 85_est. MEAT" xfId="26642" xr:uid="{00000000-0005-0000-0000-00003D660000}"/>
    <cellStyle name="Verknüpfte Zelle 86" xfId="11391" xr:uid="{00000000-0005-0000-0000-00003E660000}"/>
    <cellStyle name="Verknüpfte Zelle 86 2" xfId="20806" xr:uid="{00000000-0005-0000-0000-00003F660000}"/>
    <cellStyle name="Verknüpfte Zelle 86_est. MEAT" xfId="26643" xr:uid="{00000000-0005-0000-0000-000040660000}"/>
    <cellStyle name="Verknüpfte Zelle 87" xfId="11392" xr:uid="{00000000-0005-0000-0000-000041660000}"/>
    <cellStyle name="Verknüpfte Zelle 87 2" xfId="20807" xr:uid="{00000000-0005-0000-0000-000042660000}"/>
    <cellStyle name="Verknüpfte Zelle 87_est. MEAT" xfId="26644" xr:uid="{00000000-0005-0000-0000-000043660000}"/>
    <cellStyle name="Verknüpfte Zelle 88" xfId="11393" xr:uid="{00000000-0005-0000-0000-000044660000}"/>
    <cellStyle name="Verknüpfte Zelle 88 2" xfId="20808" xr:uid="{00000000-0005-0000-0000-000045660000}"/>
    <cellStyle name="Verknüpfte Zelle 88_est. MEAT" xfId="26645" xr:uid="{00000000-0005-0000-0000-000046660000}"/>
    <cellStyle name="Verknüpfte Zelle 89" xfId="11394" xr:uid="{00000000-0005-0000-0000-000047660000}"/>
    <cellStyle name="Verknüpfte Zelle 89 2" xfId="20809" xr:uid="{00000000-0005-0000-0000-000048660000}"/>
    <cellStyle name="Verknüpfte Zelle 89_est. MEAT" xfId="26646" xr:uid="{00000000-0005-0000-0000-000049660000}"/>
    <cellStyle name="Verknüpfte Zelle 9" xfId="11395" xr:uid="{00000000-0005-0000-0000-00004A660000}"/>
    <cellStyle name="Verknüpfte Zelle 9 2" xfId="11396" xr:uid="{00000000-0005-0000-0000-00004B660000}"/>
    <cellStyle name="Verknüpfte Zelle 9 2 2" xfId="20811" xr:uid="{00000000-0005-0000-0000-00004C660000}"/>
    <cellStyle name="Verknüpfte Zelle 9 2_est. MEAT" xfId="26647" xr:uid="{00000000-0005-0000-0000-00004D660000}"/>
    <cellStyle name="Verknüpfte Zelle 9 3" xfId="20810" xr:uid="{00000000-0005-0000-0000-00004E660000}"/>
    <cellStyle name="Verknüpfte Zelle 9_2012-2019" xfId="13443" xr:uid="{00000000-0005-0000-0000-00004F660000}"/>
    <cellStyle name="Verknüpfte Zelle 90" xfId="11397" xr:uid="{00000000-0005-0000-0000-000050660000}"/>
    <cellStyle name="Verknüpfte Zelle 90 2" xfId="20812" xr:uid="{00000000-0005-0000-0000-000051660000}"/>
    <cellStyle name="Verknüpfte Zelle 90_est. MEAT" xfId="26648" xr:uid="{00000000-0005-0000-0000-000052660000}"/>
    <cellStyle name="Verknüpfte Zelle 91" xfId="11398" xr:uid="{00000000-0005-0000-0000-000053660000}"/>
    <cellStyle name="Verknüpfte Zelle 91 2" xfId="20813" xr:uid="{00000000-0005-0000-0000-000054660000}"/>
    <cellStyle name="Verknüpfte Zelle 91_est. MEAT" xfId="26649" xr:uid="{00000000-0005-0000-0000-000055660000}"/>
    <cellStyle name="Verknüpfte Zelle 92" xfId="11399" xr:uid="{00000000-0005-0000-0000-000056660000}"/>
    <cellStyle name="Verknüpfte Zelle 92 2" xfId="20814" xr:uid="{00000000-0005-0000-0000-000057660000}"/>
    <cellStyle name="Verknüpfte Zelle 92_est. MEAT" xfId="26650" xr:uid="{00000000-0005-0000-0000-000058660000}"/>
    <cellStyle name="Verknüpfte Zelle 93" xfId="11400" xr:uid="{00000000-0005-0000-0000-000059660000}"/>
    <cellStyle name="Verknüpfte Zelle 93 2" xfId="20815" xr:uid="{00000000-0005-0000-0000-00005A660000}"/>
    <cellStyle name="Verknüpfte Zelle 93_est. MEAT" xfId="26651" xr:uid="{00000000-0005-0000-0000-00005B660000}"/>
    <cellStyle name="Verknüpfte Zelle 94" xfId="11401" xr:uid="{00000000-0005-0000-0000-00005C660000}"/>
    <cellStyle name="Verknüpfte Zelle 94 2" xfId="20816" xr:uid="{00000000-0005-0000-0000-00005D660000}"/>
    <cellStyle name="Verknüpfte Zelle 94_est. MEAT" xfId="26652" xr:uid="{00000000-0005-0000-0000-00005E660000}"/>
    <cellStyle name="Verknüpfte Zelle 95" xfId="11402" xr:uid="{00000000-0005-0000-0000-00005F660000}"/>
    <cellStyle name="Verknüpfte Zelle 95 2" xfId="20817" xr:uid="{00000000-0005-0000-0000-000060660000}"/>
    <cellStyle name="Verknüpfte Zelle 95_est. MEAT" xfId="26653" xr:uid="{00000000-0005-0000-0000-000061660000}"/>
    <cellStyle name="Verknüpfte Zelle 96" xfId="11403" xr:uid="{00000000-0005-0000-0000-000062660000}"/>
    <cellStyle name="Verknüpfte Zelle 96 2" xfId="20818" xr:uid="{00000000-0005-0000-0000-000063660000}"/>
    <cellStyle name="Verknüpfte Zelle 96_est. MEAT" xfId="26654" xr:uid="{00000000-0005-0000-0000-000064660000}"/>
    <cellStyle name="Verknüpfte Zelle 97" xfId="11404" xr:uid="{00000000-0005-0000-0000-000065660000}"/>
    <cellStyle name="Verknüpfte Zelle 97 2" xfId="20819" xr:uid="{00000000-0005-0000-0000-000066660000}"/>
    <cellStyle name="Verknüpfte Zelle 97_est. MEAT" xfId="26655" xr:uid="{00000000-0005-0000-0000-000067660000}"/>
    <cellStyle name="Verknüpfte Zelle 98" xfId="11405" xr:uid="{00000000-0005-0000-0000-000068660000}"/>
    <cellStyle name="Verknüpfte Zelle 98 2" xfId="20820" xr:uid="{00000000-0005-0000-0000-000069660000}"/>
    <cellStyle name="Verknüpfte Zelle 98_est. MEAT" xfId="26656" xr:uid="{00000000-0005-0000-0000-00006A660000}"/>
    <cellStyle name="Verknüpfte Zelle 99" xfId="11406" xr:uid="{00000000-0005-0000-0000-00006B660000}"/>
    <cellStyle name="Verknüpfte Zelle 99 2" xfId="20821" xr:uid="{00000000-0005-0000-0000-00006C660000}"/>
    <cellStyle name="Verknüpfte Zelle 99_est. MEAT" xfId="26657" xr:uid="{00000000-0005-0000-0000-00006D660000}"/>
    <cellStyle name="Verknüpfte Zelle_2012-2019" xfId="13430" xr:uid="{00000000-0005-0000-0000-00006E660000}"/>
    <cellStyle name="Währung 2" xfId="11407" xr:uid="{00000000-0005-0000-0000-000070660000}"/>
    <cellStyle name="Währung 2 2" xfId="20822" xr:uid="{00000000-0005-0000-0000-000071660000}"/>
    <cellStyle name="Währung 2_est. MEAT" xfId="26658" xr:uid="{00000000-0005-0000-0000-000072660000}"/>
    <cellStyle name="Währung 3" xfId="11408" xr:uid="{00000000-0005-0000-0000-000073660000}"/>
    <cellStyle name="Währung 3 2" xfId="20823" xr:uid="{00000000-0005-0000-0000-000074660000}"/>
    <cellStyle name="Währung 3_est. MEAT" xfId="26659" xr:uid="{00000000-0005-0000-0000-000075660000}"/>
    <cellStyle name="Warnender Text" xfId="11409" xr:uid="{00000000-0005-0000-0000-000076660000}"/>
    <cellStyle name="Warnender Text 10" xfId="11410" xr:uid="{00000000-0005-0000-0000-000077660000}"/>
    <cellStyle name="Warnender Text 10 2" xfId="20825" xr:uid="{00000000-0005-0000-0000-000078660000}"/>
    <cellStyle name="Warnender Text 10_est. MEAT" xfId="26660" xr:uid="{00000000-0005-0000-0000-000079660000}"/>
    <cellStyle name="Warnender Text 100" xfId="11411" xr:uid="{00000000-0005-0000-0000-00007A660000}"/>
    <cellStyle name="Warnender Text 100 2" xfId="20826" xr:uid="{00000000-0005-0000-0000-00007B660000}"/>
    <cellStyle name="Warnender Text 100_est. MEAT" xfId="26661" xr:uid="{00000000-0005-0000-0000-00007C660000}"/>
    <cellStyle name="Warnender Text 101" xfId="11412" xr:uid="{00000000-0005-0000-0000-00007D660000}"/>
    <cellStyle name="Warnender Text 101 2" xfId="20827" xr:uid="{00000000-0005-0000-0000-00007E660000}"/>
    <cellStyle name="Warnender Text 101_est. MEAT" xfId="26662" xr:uid="{00000000-0005-0000-0000-00007F660000}"/>
    <cellStyle name="Warnender Text 102" xfId="11413" xr:uid="{00000000-0005-0000-0000-000080660000}"/>
    <cellStyle name="Warnender Text 102 2" xfId="20828" xr:uid="{00000000-0005-0000-0000-000081660000}"/>
    <cellStyle name="Warnender Text 102_est. MEAT" xfId="26663" xr:uid="{00000000-0005-0000-0000-000082660000}"/>
    <cellStyle name="Warnender Text 103" xfId="11414" xr:uid="{00000000-0005-0000-0000-000083660000}"/>
    <cellStyle name="Warnender Text 103 2" xfId="20829" xr:uid="{00000000-0005-0000-0000-000084660000}"/>
    <cellStyle name="Warnender Text 103_est. MEAT" xfId="26664" xr:uid="{00000000-0005-0000-0000-000085660000}"/>
    <cellStyle name="Warnender Text 104" xfId="11415" xr:uid="{00000000-0005-0000-0000-000086660000}"/>
    <cellStyle name="Warnender Text 104 2" xfId="20830" xr:uid="{00000000-0005-0000-0000-000087660000}"/>
    <cellStyle name="Warnender Text 104_est. MEAT" xfId="26665" xr:uid="{00000000-0005-0000-0000-000088660000}"/>
    <cellStyle name="Warnender Text 105" xfId="11416" xr:uid="{00000000-0005-0000-0000-000089660000}"/>
    <cellStyle name="Warnender Text 105 2" xfId="20831" xr:uid="{00000000-0005-0000-0000-00008A660000}"/>
    <cellStyle name="Warnender Text 105_est. MEAT" xfId="26666" xr:uid="{00000000-0005-0000-0000-00008B660000}"/>
    <cellStyle name="Warnender Text 106" xfId="11417" xr:uid="{00000000-0005-0000-0000-00008C660000}"/>
    <cellStyle name="Warnender Text 106 2" xfId="20832" xr:uid="{00000000-0005-0000-0000-00008D660000}"/>
    <cellStyle name="Warnender Text 106_est. MEAT" xfId="26667" xr:uid="{00000000-0005-0000-0000-00008E660000}"/>
    <cellStyle name="Warnender Text 107" xfId="11418" xr:uid="{00000000-0005-0000-0000-00008F660000}"/>
    <cellStyle name="Warnender Text 107 2" xfId="20833" xr:uid="{00000000-0005-0000-0000-000090660000}"/>
    <cellStyle name="Warnender Text 107_est. MEAT" xfId="26668" xr:uid="{00000000-0005-0000-0000-000091660000}"/>
    <cellStyle name="Warnender Text 108" xfId="20824" xr:uid="{00000000-0005-0000-0000-000092660000}"/>
    <cellStyle name="Warnender Text 11" xfId="11419" xr:uid="{00000000-0005-0000-0000-000093660000}"/>
    <cellStyle name="Warnender Text 11 2" xfId="20834" xr:uid="{00000000-0005-0000-0000-000094660000}"/>
    <cellStyle name="Warnender Text 11_est. MEAT" xfId="26669" xr:uid="{00000000-0005-0000-0000-000095660000}"/>
    <cellStyle name="Warnender Text 12" xfId="11420" xr:uid="{00000000-0005-0000-0000-000096660000}"/>
    <cellStyle name="Warnender Text 12 2" xfId="20835" xr:uid="{00000000-0005-0000-0000-000097660000}"/>
    <cellStyle name="Warnender Text 12_est. MEAT" xfId="26670" xr:uid="{00000000-0005-0000-0000-000098660000}"/>
    <cellStyle name="Warnender Text 13" xfId="11421" xr:uid="{00000000-0005-0000-0000-000099660000}"/>
    <cellStyle name="Warnender Text 13 2" xfId="20836" xr:uid="{00000000-0005-0000-0000-00009A660000}"/>
    <cellStyle name="Warnender Text 13_est. MEAT" xfId="26671" xr:uid="{00000000-0005-0000-0000-00009B660000}"/>
    <cellStyle name="Warnender Text 14" xfId="11422" xr:uid="{00000000-0005-0000-0000-00009C660000}"/>
    <cellStyle name="Warnender Text 14 2" xfId="20837" xr:uid="{00000000-0005-0000-0000-00009D660000}"/>
    <cellStyle name="Warnender Text 14_est. MEAT" xfId="26672" xr:uid="{00000000-0005-0000-0000-00009E660000}"/>
    <cellStyle name="Warnender Text 15" xfId="11423" xr:uid="{00000000-0005-0000-0000-00009F660000}"/>
    <cellStyle name="Warnender Text 15 2" xfId="20838" xr:uid="{00000000-0005-0000-0000-0000A0660000}"/>
    <cellStyle name="Warnender Text 15_est. MEAT" xfId="26673" xr:uid="{00000000-0005-0000-0000-0000A1660000}"/>
    <cellStyle name="Warnender Text 16" xfId="11424" xr:uid="{00000000-0005-0000-0000-0000A2660000}"/>
    <cellStyle name="Warnender Text 16 2" xfId="20839" xr:uid="{00000000-0005-0000-0000-0000A3660000}"/>
    <cellStyle name="Warnender Text 16_est. MEAT" xfId="26674" xr:uid="{00000000-0005-0000-0000-0000A4660000}"/>
    <cellStyle name="Warnender Text 17" xfId="11425" xr:uid="{00000000-0005-0000-0000-0000A5660000}"/>
    <cellStyle name="Warnender Text 17 2" xfId="20840" xr:uid="{00000000-0005-0000-0000-0000A6660000}"/>
    <cellStyle name="Warnender Text 17_est. MEAT" xfId="26675" xr:uid="{00000000-0005-0000-0000-0000A7660000}"/>
    <cellStyle name="Warnender Text 18" xfId="11426" xr:uid="{00000000-0005-0000-0000-0000A8660000}"/>
    <cellStyle name="Warnender Text 18 2" xfId="20841" xr:uid="{00000000-0005-0000-0000-0000A9660000}"/>
    <cellStyle name="Warnender Text 18_est. MEAT" xfId="26676" xr:uid="{00000000-0005-0000-0000-0000AA660000}"/>
    <cellStyle name="Warnender Text 19" xfId="11427" xr:uid="{00000000-0005-0000-0000-0000AB660000}"/>
    <cellStyle name="Warnender Text 19 2" xfId="20842" xr:uid="{00000000-0005-0000-0000-0000AC660000}"/>
    <cellStyle name="Warnender Text 19_est. MEAT" xfId="26677" xr:uid="{00000000-0005-0000-0000-0000AD660000}"/>
    <cellStyle name="Warnender Text 2" xfId="11428" xr:uid="{00000000-0005-0000-0000-0000AE660000}"/>
    <cellStyle name="Warnender Text 2 2" xfId="20843" xr:uid="{00000000-0005-0000-0000-0000AF660000}"/>
    <cellStyle name="Warnender Text 2_est. MEAT" xfId="26678" xr:uid="{00000000-0005-0000-0000-0000B0660000}"/>
    <cellStyle name="Warnender Text 20" xfId="11429" xr:uid="{00000000-0005-0000-0000-0000B1660000}"/>
    <cellStyle name="Warnender Text 20 2" xfId="20844" xr:uid="{00000000-0005-0000-0000-0000B2660000}"/>
    <cellStyle name="Warnender Text 20_est. MEAT" xfId="26679" xr:uid="{00000000-0005-0000-0000-0000B3660000}"/>
    <cellStyle name="Warnender Text 21" xfId="11430" xr:uid="{00000000-0005-0000-0000-0000B4660000}"/>
    <cellStyle name="Warnender Text 21 2" xfId="20845" xr:uid="{00000000-0005-0000-0000-0000B5660000}"/>
    <cellStyle name="Warnender Text 21_est. MEAT" xfId="26680" xr:uid="{00000000-0005-0000-0000-0000B6660000}"/>
    <cellStyle name="Warnender Text 22" xfId="11431" xr:uid="{00000000-0005-0000-0000-0000B7660000}"/>
    <cellStyle name="Warnender Text 22 2" xfId="20846" xr:uid="{00000000-0005-0000-0000-0000B8660000}"/>
    <cellStyle name="Warnender Text 22_est. MEAT" xfId="26681" xr:uid="{00000000-0005-0000-0000-0000B9660000}"/>
    <cellStyle name="Warnender Text 23" xfId="11432" xr:uid="{00000000-0005-0000-0000-0000BA660000}"/>
    <cellStyle name="Warnender Text 23 2" xfId="20847" xr:uid="{00000000-0005-0000-0000-0000BB660000}"/>
    <cellStyle name="Warnender Text 23_est. MEAT" xfId="26682" xr:uid="{00000000-0005-0000-0000-0000BC660000}"/>
    <cellStyle name="Warnender Text 24" xfId="11433" xr:uid="{00000000-0005-0000-0000-0000BD660000}"/>
    <cellStyle name="Warnender Text 24 2" xfId="20848" xr:uid="{00000000-0005-0000-0000-0000BE660000}"/>
    <cellStyle name="Warnender Text 24_est. MEAT" xfId="26683" xr:uid="{00000000-0005-0000-0000-0000BF660000}"/>
    <cellStyle name="Warnender Text 25" xfId="11434" xr:uid="{00000000-0005-0000-0000-0000C0660000}"/>
    <cellStyle name="Warnender Text 25 2" xfId="20849" xr:uid="{00000000-0005-0000-0000-0000C1660000}"/>
    <cellStyle name="Warnender Text 25_est. MEAT" xfId="26684" xr:uid="{00000000-0005-0000-0000-0000C2660000}"/>
    <cellStyle name="Warnender Text 26" xfId="11435" xr:uid="{00000000-0005-0000-0000-0000C3660000}"/>
    <cellStyle name="Warnender Text 26 2" xfId="20850" xr:uid="{00000000-0005-0000-0000-0000C4660000}"/>
    <cellStyle name="Warnender Text 26_est. MEAT" xfId="26685" xr:uid="{00000000-0005-0000-0000-0000C5660000}"/>
    <cellStyle name="Warnender Text 27" xfId="11436" xr:uid="{00000000-0005-0000-0000-0000C6660000}"/>
    <cellStyle name="Warnender Text 27 2" xfId="20851" xr:uid="{00000000-0005-0000-0000-0000C7660000}"/>
    <cellStyle name="Warnender Text 27_est. MEAT" xfId="26686" xr:uid="{00000000-0005-0000-0000-0000C8660000}"/>
    <cellStyle name="Warnender Text 28" xfId="11437" xr:uid="{00000000-0005-0000-0000-0000C9660000}"/>
    <cellStyle name="Warnender Text 28 2" xfId="20852" xr:uid="{00000000-0005-0000-0000-0000CA660000}"/>
    <cellStyle name="Warnender Text 28_est. MEAT" xfId="26687" xr:uid="{00000000-0005-0000-0000-0000CB660000}"/>
    <cellStyle name="Warnender Text 29" xfId="11438" xr:uid="{00000000-0005-0000-0000-0000CC660000}"/>
    <cellStyle name="Warnender Text 29 2" xfId="20853" xr:uid="{00000000-0005-0000-0000-0000CD660000}"/>
    <cellStyle name="Warnender Text 29_est. MEAT" xfId="26688" xr:uid="{00000000-0005-0000-0000-0000CE660000}"/>
    <cellStyle name="Warnender Text 3" xfId="11439" xr:uid="{00000000-0005-0000-0000-0000CF660000}"/>
    <cellStyle name="Warnender Text 3 2" xfId="20854" xr:uid="{00000000-0005-0000-0000-0000D0660000}"/>
    <cellStyle name="Warnender Text 3_est. MEAT" xfId="26689" xr:uid="{00000000-0005-0000-0000-0000D1660000}"/>
    <cellStyle name="Warnender Text 30" xfId="11440" xr:uid="{00000000-0005-0000-0000-0000D2660000}"/>
    <cellStyle name="Warnender Text 30 2" xfId="20855" xr:uid="{00000000-0005-0000-0000-0000D3660000}"/>
    <cellStyle name="Warnender Text 30_est. MEAT" xfId="26690" xr:uid="{00000000-0005-0000-0000-0000D4660000}"/>
    <cellStyle name="Warnender Text 31" xfId="11441" xr:uid="{00000000-0005-0000-0000-0000D5660000}"/>
    <cellStyle name="Warnender Text 31 2" xfId="20856" xr:uid="{00000000-0005-0000-0000-0000D6660000}"/>
    <cellStyle name="Warnender Text 31_est. MEAT" xfId="26691" xr:uid="{00000000-0005-0000-0000-0000D7660000}"/>
    <cellStyle name="Warnender Text 32" xfId="11442" xr:uid="{00000000-0005-0000-0000-0000D8660000}"/>
    <cellStyle name="Warnender Text 32 2" xfId="20857" xr:uid="{00000000-0005-0000-0000-0000D9660000}"/>
    <cellStyle name="Warnender Text 32_est. MEAT" xfId="26692" xr:uid="{00000000-0005-0000-0000-0000DA660000}"/>
    <cellStyle name="Warnender Text 33" xfId="11443" xr:uid="{00000000-0005-0000-0000-0000DB660000}"/>
    <cellStyle name="Warnender Text 33 2" xfId="20858" xr:uid="{00000000-0005-0000-0000-0000DC660000}"/>
    <cellStyle name="Warnender Text 33_est. MEAT" xfId="26693" xr:uid="{00000000-0005-0000-0000-0000DD660000}"/>
    <cellStyle name="Warnender Text 34" xfId="11444" xr:uid="{00000000-0005-0000-0000-0000DE660000}"/>
    <cellStyle name="Warnender Text 34 2" xfId="20859" xr:uid="{00000000-0005-0000-0000-0000DF660000}"/>
    <cellStyle name="Warnender Text 34_est. MEAT" xfId="26694" xr:uid="{00000000-0005-0000-0000-0000E0660000}"/>
    <cellStyle name="Warnender Text 35" xfId="11445" xr:uid="{00000000-0005-0000-0000-0000E1660000}"/>
    <cellStyle name="Warnender Text 35 2" xfId="20860" xr:uid="{00000000-0005-0000-0000-0000E2660000}"/>
    <cellStyle name="Warnender Text 35_est. MEAT" xfId="26695" xr:uid="{00000000-0005-0000-0000-0000E3660000}"/>
    <cellStyle name="Warnender Text 36" xfId="11446" xr:uid="{00000000-0005-0000-0000-0000E4660000}"/>
    <cellStyle name="Warnender Text 36 2" xfId="20861" xr:uid="{00000000-0005-0000-0000-0000E5660000}"/>
    <cellStyle name="Warnender Text 36_est. MEAT" xfId="26696" xr:uid="{00000000-0005-0000-0000-0000E6660000}"/>
    <cellStyle name="Warnender Text 37" xfId="11447" xr:uid="{00000000-0005-0000-0000-0000E7660000}"/>
    <cellStyle name="Warnender Text 37 2" xfId="20862" xr:uid="{00000000-0005-0000-0000-0000E8660000}"/>
    <cellStyle name="Warnender Text 37_est. MEAT" xfId="26697" xr:uid="{00000000-0005-0000-0000-0000E9660000}"/>
    <cellStyle name="Warnender Text 38" xfId="11448" xr:uid="{00000000-0005-0000-0000-0000EA660000}"/>
    <cellStyle name="Warnender Text 38 2" xfId="20863" xr:uid="{00000000-0005-0000-0000-0000EB660000}"/>
    <cellStyle name="Warnender Text 38_est. MEAT" xfId="26698" xr:uid="{00000000-0005-0000-0000-0000EC660000}"/>
    <cellStyle name="Warnender Text 39" xfId="11449" xr:uid="{00000000-0005-0000-0000-0000ED660000}"/>
    <cellStyle name="Warnender Text 39 2" xfId="20864" xr:uid="{00000000-0005-0000-0000-0000EE660000}"/>
    <cellStyle name="Warnender Text 39_est. MEAT" xfId="26699" xr:uid="{00000000-0005-0000-0000-0000EF660000}"/>
    <cellStyle name="Warnender Text 4" xfId="11450" xr:uid="{00000000-0005-0000-0000-0000F0660000}"/>
    <cellStyle name="Warnender Text 4 2" xfId="20865" xr:uid="{00000000-0005-0000-0000-0000F1660000}"/>
    <cellStyle name="Warnender Text 4_est. MEAT" xfId="26700" xr:uid="{00000000-0005-0000-0000-0000F2660000}"/>
    <cellStyle name="Warnender Text 40" xfId="11451" xr:uid="{00000000-0005-0000-0000-0000F3660000}"/>
    <cellStyle name="Warnender Text 40 2" xfId="20866" xr:uid="{00000000-0005-0000-0000-0000F4660000}"/>
    <cellStyle name="Warnender Text 40_est. MEAT" xfId="26701" xr:uid="{00000000-0005-0000-0000-0000F5660000}"/>
    <cellStyle name="Warnender Text 41" xfId="11452" xr:uid="{00000000-0005-0000-0000-0000F6660000}"/>
    <cellStyle name="Warnender Text 41 2" xfId="20867" xr:uid="{00000000-0005-0000-0000-0000F7660000}"/>
    <cellStyle name="Warnender Text 41_est. MEAT" xfId="26702" xr:uid="{00000000-0005-0000-0000-0000F8660000}"/>
    <cellStyle name="Warnender Text 42" xfId="11453" xr:uid="{00000000-0005-0000-0000-0000F9660000}"/>
    <cellStyle name="Warnender Text 42 2" xfId="20868" xr:uid="{00000000-0005-0000-0000-0000FA660000}"/>
    <cellStyle name="Warnender Text 42_est. MEAT" xfId="26703" xr:uid="{00000000-0005-0000-0000-0000FB660000}"/>
    <cellStyle name="Warnender Text 43" xfId="11454" xr:uid="{00000000-0005-0000-0000-0000FC660000}"/>
    <cellStyle name="Warnender Text 43 2" xfId="20869" xr:uid="{00000000-0005-0000-0000-0000FD660000}"/>
    <cellStyle name="Warnender Text 43_est. MEAT" xfId="26704" xr:uid="{00000000-0005-0000-0000-0000FE660000}"/>
    <cellStyle name="Warnender Text 44" xfId="11455" xr:uid="{00000000-0005-0000-0000-0000FF660000}"/>
    <cellStyle name="Warnender Text 44 2" xfId="20870" xr:uid="{00000000-0005-0000-0000-000000670000}"/>
    <cellStyle name="Warnender Text 44_est. MEAT" xfId="26705" xr:uid="{00000000-0005-0000-0000-000001670000}"/>
    <cellStyle name="Warnender Text 45" xfId="11456" xr:uid="{00000000-0005-0000-0000-000002670000}"/>
    <cellStyle name="Warnender Text 45 2" xfId="20871" xr:uid="{00000000-0005-0000-0000-000003670000}"/>
    <cellStyle name="Warnender Text 45_est. MEAT" xfId="26706" xr:uid="{00000000-0005-0000-0000-000004670000}"/>
    <cellStyle name="Warnender Text 46" xfId="11457" xr:uid="{00000000-0005-0000-0000-000005670000}"/>
    <cellStyle name="Warnender Text 46 2" xfId="20872" xr:uid="{00000000-0005-0000-0000-000006670000}"/>
    <cellStyle name="Warnender Text 46_est. MEAT" xfId="26707" xr:uid="{00000000-0005-0000-0000-000007670000}"/>
    <cellStyle name="Warnender Text 47" xfId="11458" xr:uid="{00000000-0005-0000-0000-000008670000}"/>
    <cellStyle name="Warnender Text 47 2" xfId="20873" xr:uid="{00000000-0005-0000-0000-000009670000}"/>
    <cellStyle name="Warnender Text 47_est. MEAT" xfId="26708" xr:uid="{00000000-0005-0000-0000-00000A670000}"/>
    <cellStyle name="Warnender Text 48" xfId="11459" xr:uid="{00000000-0005-0000-0000-00000B670000}"/>
    <cellStyle name="Warnender Text 48 2" xfId="20874" xr:uid="{00000000-0005-0000-0000-00000C670000}"/>
    <cellStyle name="Warnender Text 48_est. MEAT" xfId="26709" xr:uid="{00000000-0005-0000-0000-00000D670000}"/>
    <cellStyle name="Warnender Text 49" xfId="11460" xr:uid="{00000000-0005-0000-0000-00000E670000}"/>
    <cellStyle name="Warnender Text 49 2" xfId="20875" xr:uid="{00000000-0005-0000-0000-00000F670000}"/>
    <cellStyle name="Warnender Text 49_est. MEAT" xfId="26710" xr:uid="{00000000-0005-0000-0000-000010670000}"/>
    <cellStyle name="Warnender Text 5" xfId="11461" xr:uid="{00000000-0005-0000-0000-000011670000}"/>
    <cellStyle name="Warnender Text 5 2" xfId="20876" xr:uid="{00000000-0005-0000-0000-000012670000}"/>
    <cellStyle name="Warnender Text 5_est. MEAT" xfId="26711" xr:uid="{00000000-0005-0000-0000-000013670000}"/>
    <cellStyle name="Warnender Text 50" xfId="11462" xr:uid="{00000000-0005-0000-0000-000014670000}"/>
    <cellStyle name="Warnender Text 50 2" xfId="20877" xr:uid="{00000000-0005-0000-0000-000015670000}"/>
    <cellStyle name="Warnender Text 50_est. MEAT" xfId="26712" xr:uid="{00000000-0005-0000-0000-000016670000}"/>
    <cellStyle name="Warnender Text 51" xfId="11463" xr:uid="{00000000-0005-0000-0000-000017670000}"/>
    <cellStyle name="Warnender Text 51 2" xfId="20878" xr:uid="{00000000-0005-0000-0000-000018670000}"/>
    <cellStyle name="Warnender Text 51_est. MEAT" xfId="26713" xr:uid="{00000000-0005-0000-0000-000019670000}"/>
    <cellStyle name="Warnender Text 52" xfId="11464" xr:uid="{00000000-0005-0000-0000-00001A670000}"/>
    <cellStyle name="Warnender Text 52 2" xfId="20879" xr:uid="{00000000-0005-0000-0000-00001B670000}"/>
    <cellStyle name="Warnender Text 52_est. MEAT" xfId="26714" xr:uid="{00000000-0005-0000-0000-00001C670000}"/>
    <cellStyle name="Warnender Text 53" xfId="11465" xr:uid="{00000000-0005-0000-0000-00001D670000}"/>
    <cellStyle name="Warnender Text 53 2" xfId="20880" xr:uid="{00000000-0005-0000-0000-00001E670000}"/>
    <cellStyle name="Warnender Text 53_est. MEAT" xfId="26715" xr:uid="{00000000-0005-0000-0000-00001F670000}"/>
    <cellStyle name="Warnender Text 54" xfId="11466" xr:uid="{00000000-0005-0000-0000-000020670000}"/>
    <cellStyle name="Warnender Text 54 2" xfId="20881" xr:uid="{00000000-0005-0000-0000-000021670000}"/>
    <cellStyle name="Warnender Text 54_est. MEAT" xfId="26716" xr:uid="{00000000-0005-0000-0000-000022670000}"/>
    <cellStyle name="Warnender Text 55" xfId="11467" xr:uid="{00000000-0005-0000-0000-000023670000}"/>
    <cellStyle name="Warnender Text 55 2" xfId="20882" xr:uid="{00000000-0005-0000-0000-000024670000}"/>
    <cellStyle name="Warnender Text 55_est. MEAT" xfId="26717" xr:uid="{00000000-0005-0000-0000-000025670000}"/>
    <cellStyle name="Warnender Text 56" xfId="11468" xr:uid="{00000000-0005-0000-0000-000026670000}"/>
    <cellStyle name="Warnender Text 56 2" xfId="20883" xr:uid="{00000000-0005-0000-0000-000027670000}"/>
    <cellStyle name="Warnender Text 56_est. MEAT" xfId="26718" xr:uid="{00000000-0005-0000-0000-000028670000}"/>
    <cellStyle name="Warnender Text 57" xfId="11469" xr:uid="{00000000-0005-0000-0000-000029670000}"/>
    <cellStyle name="Warnender Text 57 2" xfId="20884" xr:uid="{00000000-0005-0000-0000-00002A670000}"/>
    <cellStyle name="Warnender Text 57_est. MEAT" xfId="26719" xr:uid="{00000000-0005-0000-0000-00002B670000}"/>
    <cellStyle name="Warnender Text 58" xfId="11470" xr:uid="{00000000-0005-0000-0000-00002C670000}"/>
    <cellStyle name="Warnender Text 58 2" xfId="20885" xr:uid="{00000000-0005-0000-0000-00002D670000}"/>
    <cellStyle name="Warnender Text 58_est. MEAT" xfId="26720" xr:uid="{00000000-0005-0000-0000-00002E670000}"/>
    <cellStyle name="Warnender Text 59" xfId="11471" xr:uid="{00000000-0005-0000-0000-00002F670000}"/>
    <cellStyle name="Warnender Text 59 2" xfId="20886" xr:uid="{00000000-0005-0000-0000-000030670000}"/>
    <cellStyle name="Warnender Text 59_est. MEAT" xfId="26721" xr:uid="{00000000-0005-0000-0000-000031670000}"/>
    <cellStyle name="Warnender Text 6" xfId="11472" xr:uid="{00000000-0005-0000-0000-000032670000}"/>
    <cellStyle name="Warnender Text 6 2" xfId="20887" xr:uid="{00000000-0005-0000-0000-000033670000}"/>
    <cellStyle name="Warnender Text 6_est. MEAT" xfId="26722" xr:uid="{00000000-0005-0000-0000-000034670000}"/>
    <cellStyle name="Warnender Text 60" xfId="11473" xr:uid="{00000000-0005-0000-0000-000035670000}"/>
    <cellStyle name="Warnender Text 60 2" xfId="20888" xr:uid="{00000000-0005-0000-0000-000036670000}"/>
    <cellStyle name="Warnender Text 60_est. MEAT" xfId="26723" xr:uid="{00000000-0005-0000-0000-000037670000}"/>
    <cellStyle name="Warnender Text 61" xfId="11474" xr:uid="{00000000-0005-0000-0000-000038670000}"/>
    <cellStyle name="Warnender Text 61 2" xfId="20889" xr:uid="{00000000-0005-0000-0000-000039670000}"/>
    <cellStyle name="Warnender Text 61_est. MEAT" xfId="26724" xr:uid="{00000000-0005-0000-0000-00003A670000}"/>
    <cellStyle name="Warnender Text 62" xfId="11475" xr:uid="{00000000-0005-0000-0000-00003B670000}"/>
    <cellStyle name="Warnender Text 62 2" xfId="20890" xr:uid="{00000000-0005-0000-0000-00003C670000}"/>
    <cellStyle name="Warnender Text 62_est. MEAT" xfId="26725" xr:uid="{00000000-0005-0000-0000-00003D670000}"/>
    <cellStyle name="Warnender Text 63" xfId="11476" xr:uid="{00000000-0005-0000-0000-00003E670000}"/>
    <cellStyle name="Warnender Text 63 2" xfId="20891" xr:uid="{00000000-0005-0000-0000-00003F670000}"/>
    <cellStyle name="Warnender Text 63_est. MEAT" xfId="26726" xr:uid="{00000000-0005-0000-0000-000040670000}"/>
    <cellStyle name="Warnender Text 64" xfId="11477" xr:uid="{00000000-0005-0000-0000-000041670000}"/>
    <cellStyle name="Warnender Text 64 2" xfId="20892" xr:uid="{00000000-0005-0000-0000-000042670000}"/>
    <cellStyle name="Warnender Text 64_est. MEAT" xfId="26727" xr:uid="{00000000-0005-0000-0000-000043670000}"/>
    <cellStyle name="Warnender Text 65" xfId="11478" xr:uid="{00000000-0005-0000-0000-000044670000}"/>
    <cellStyle name="Warnender Text 65 2" xfId="20893" xr:uid="{00000000-0005-0000-0000-000045670000}"/>
    <cellStyle name="Warnender Text 65_est. MEAT" xfId="26728" xr:uid="{00000000-0005-0000-0000-000046670000}"/>
    <cellStyle name="Warnender Text 66" xfId="11479" xr:uid="{00000000-0005-0000-0000-000047670000}"/>
    <cellStyle name="Warnender Text 66 2" xfId="20894" xr:uid="{00000000-0005-0000-0000-000048670000}"/>
    <cellStyle name="Warnender Text 66_est. MEAT" xfId="26729" xr:uid="{00000000-0005-0000-0000-000049670000}"/>
    <cellStyle name="Warnender Text 67" xfId="11480" xr:uid="{00000000-0005-0000-0000-00004A670000}"/>
    <cellStyle name="Warnender Text 67 2" xfId="20895" xr:uid="{00000000-0005-0000-0000-00004B670000}"/>
    <cellStyle name="Warnender Text 67_est. MEAT" xfId="26730" xr:uid="{00000000-0005-0000-0000-00004C670000}"/>
    <cellStyle name="Warnender Text 68" xfId="11481" xr:uid="{00000000-0005-0000-0000-00004D670000}"/>
    <cellStyle name="Warnender Text 68 2" xfId="20896" xr:uid="{00000000-0005-0000-0000-00004E670000}"/>
    <cellStyle name="Warnender Text 68_est. MEAT" xfId="26731" xr:uid="{00000000-0005-0000-0000-00004F670000}"/>
    <cellStyle name="Warnender Text 69" xfId="11482" xr:uid="{00000000-0005-0000-0000-000050670000}"/>
    <cellStyle name="Warnender Text 69 2" xfId="20897" xr:uid="{00000000-0005-0000-0000-000051670000}"/>
    <cellStyle name="Warnender Text 69_est. MEAT" xfId="26732" xr:uid="{00000000-0005-0000-0000-000052670000}"/>
    <cellStyle name="Warnender Text 7" xfId="11483" xr:uid="{00000000-0005-0000-0000-000053670000}"/>
    <cellStyle name="Warnender Text 7 2" xfId="20898" xr:uid="{00000000-0005-0000-0000-000054670000}"/>
    <cellStyle name="Warnender Text 7_est. MEAT" xfId="26733" xr:uid="{00000000-0005-0000-0000-000055670000}"/>
    <cellStyle name="Warnender Text 70" xfId="11484" xr:uid="{00000000-0005-0000-0000-000056670000}"/>
    <cellStyle name="Warnender Text 70 2" xfId="20899" xr:uid="{00000000-0005-0000-0000-000057670000}"/>
    <cellStyle name="Warnender Text 70_est. MEAT" xfId="26734" xr:uid="{00000000-0005-0000-0000-000058670000}"/>
    <cellStyle name="Warnender Text 71" xfId="11485" xr:uid="{00000000-0005-0000-0000-000059670000}"/>
    <cellStyle name="Warnender Text 71 2" xfId="20900" xr:uid="{00000000-0005-0000-0000-00005A670000}"/>
    <cellStyle name="Warnender Text 71_est. MEAT" xfId="26735" xr:uid="{00000000-0005-0000-0000-00005B670000}"/>
    <cellStyle name="Warnender Text 72" xfId="11486" xr:uid="{00000000-0005-0000-0000-00005C670000}"/>
    <cellStyle name="Warnender Text 72 2" xfId="20901" xr:uid="{00000000-0005-0000-0000-00005D670000}"/>
    <cellStyle name="Warnender Text 72_est. MEAT" xfId="26736" xr:uid="{00000000-0005-0000-0000-00005E670000}"/>
    <cellStyle name="Warnender Text 73" xfId="11487" xr:uid="{00000000-0005-0000-0000-00005F670000}"/>
    <cellStyle name="Warnender Text 73 2" xfId="20902" xr:uid="{00000000-0005-0000-0000-000060670000}"/>
    <cellStyle name="Warnender Text 73_est. MEAT" xfId="26737" xr:uid="{00000000-0005-0000-0000-000061670000}"/>
    <cellStyle name="Warnender Text 74" xfId="11488" xr:uid="{00000000-0005-0000-0000-000062670000}"/>
    <cellStyle name="Warnender Text 74 2" xfId="20903" xr:uid="{00000000-0005-0000-0000-000063670000}"/>
    <cellStyle name="Warnender Text 74_est. MEAT" xfId="26738" xr:uid="{00000000-0005-0000-0000-000064670000}"/>
    <cellStyle name="Warnender Text 75" xfId="11489" xr:uid="{00000000-0005-0000-0000-000065670000}"/>
    <cellStyle name="Warnender Text 75 2" xfId="20904" xr:uid="{00000000-0005-0000-0000-000066670000}"/>
    <cellStyle name="Warnender Text 75_est. MEAT" xfId="26739" xr:uid="{00000000-0005-0000-0000-000067670000}"/>
    <cellStyle name="Warnender Text 76" xfId="11490" xr:uid="{00000000-0005-0000-0000-000068670000}"/>
    <cellStyle name="Warnender Text 76 2" xfId="20905" xr:uid="{00000000-0005-0000-0000-000069670000}"/>
    <cellStyle name="Warnender Text 76_est. MEAT" xfId="26740" xr:uid="{00000000-0005-0000-0000-00006A670000}"/>
    <cellStyle name="Warnender Text 77" xfId="11491" xr:uid="{00000000-0005-0000-0000-00006B670000}"/>
    <cellStyle name="Warnender Text 77 2" xfId="20906" xr:uid="{00000000-0005-0000-0000-00006C670000}"/>
    <cellStyle name="Warnender Text 77_est. MEAT" xfId="26741" xr:uid="{00000000-0005-0000-0000-00006D670000}"/>
    <cellStyle name="Warnender Text 78" xfId="11492" xr:uid="{00000000-0005-0000-0000-00006E670000}"/>
    <cellStyle name="Warnender Text 78 2" xfId="20907" xr:uid="{00000000-0005-0000-0000-00006F670000}"/>
    <cellStyle name="Warnender Text 78_est. MEAT" xfId="26742" xr:uid="{00000000-0005-0000-0000-000070670000}"/>
    <cellStyle name="Warnender Text 79" xfId="11493" xr:uid="{00000000-0005-0000-0000-000071670000}"/>
    <cellStyle name="Warnender Text 79 2" xfId="20908" xr:uid="{00000000-0005-0000-0000-000072670000}"/>
    <cellStyle name="Warnender Text 79_est. MEAT" xfId="26743" xr:uid="{00000000-0005-0000-0000-000073670000}"/>
    <cellStyle name="Warnender Text 8" xfId="11494" xr:uid="{00000000-0005-0000-0000-000074670000}"/>
    <cellStyle name="Warnender Text 8 2" xfId="20909" xr:uid="{00000000-0005-0000-0000-000075670000}"/>
    <cellStyle name="Warnender Text 8_est. MEAT" xfId="26744" xr:uid="{00000000-0005-0000-0000-000076670000}"/>
    <cellStyle name="Warnender Text 80" xfId="11495" xr:uid="{00000000-0005-0000-0000-000077670000}"/>
    <cellStyle name="Warnender Text 80 2" xfId="20910" xr:uid="{00000000-0005-0000-0000-000078670000}"/>
    <cellStyle name="Warnender Text 80_est. MEAT" xfId="26745" xr:uid="{00000000-0005-0000-0000-000079670000}"/>
    <cellStyle name="Warnender Text 81" xfId="11496" xr:uid="{00000000-0005-0000-0000-00007A670000}"/>
    <cellStyle name="Warnender Text 81 2" xfId="20911" xr:uid="{00000000-0005-0000-0000-00007B670000}"/>
    <cellStyle name="Warnender Text 81_est. MEAT" xfId="26746" xr:uid="{00000000-0005-0000-0000-00007C670000}"/>
    <cellStyle name="Warnender Text 82" xfId="11497" xr:uid="{00000000-0005-0000-0000-00007D670000}"/>
    <cellStyle name="Warnender Text 82 2" xfId="20912" xr:uid="{00000000-0005-0000-0000-00007E670000}"/>
    <cellStyle name="Warnender Text 82_est. MEAT" xfId="26747" xr:uid="{00000000-0005-0000-0000-00007F670000}"/>
    <cellStyle name="Warnender Text 83" xfId="11498" xr:uid="{00000000-0005-0000-0000-000080670000}"/>
    <cellStyle name="Warnender Text 83 2" xfId="20913" xr:uid="{00000000-0005-0000-0000-000081670000}"/>
    <cellStyle name="Warnender Text 83_est. MEAT" xfId="26748" xr:uid="{00000000-0005-0000-0000-000082670000}"/>
    <cellStyle name="Warnender Text 84" xfId="11499" xr:uid="{00000000-0005-0000-0000-000083670000}"/>
    <cellStyle name="Warnender Text 84 2" xfId="20914" xr:uid="{00000000-0005-0000-0000-000084670000}"/>
    <cellStyle name="Warnender Text 84_est. MEAT" xfId="26749" xr:uid="{00000000-0005-0000-0000-000085670000}"/>
    <cellStyle name="Warnender Text 85" xfId="11500" xr:uid="{00000000-0005-0000-0000-000086670000}"/>
    <cellStyle name="Warnender Text 85 2" xfId="20915" xr:uid="{00000000-0005-0000-0000-000087670000}"/>
    <cellStyle name="Warnender Text 85_est. MEAT" xfId="26750" xr:uid="{00000000-0005-0000-0000-000088670000}"/>
    <cellStyle name="Warnender Text 86" xfId="11501" xr:uid="{00000000-0005-0000-0000-000089670000}"/>
    <cellStyle name="Warnender Text 86 2" xfId="20916" xr:uid="{00000000-0005-0000-0000-00008A670000}"/>
    <cellStyle name="Warnender Text 86_est. MEAT" xfId="26751" xr:uid="{00000000-0005-0000-0000-00008B670000}"/>
    <cellStyle name="Warnender Text 87" xfId="11502" xr:uid="{00000000-0005-0000-0000-00008C670000}"/>
    <cellStyle name="Warnender Text 87 2" xfId="20917" xr:uid="{00000000-0005-0000-0000-00008D670000}"/>
    <cellStyle name="Warnender Text 87_est. MEAT" xfId="26752" xr:uid="{00000000-0005-0000-0000-00008E670000}"/>
    <cellStyle name="Warnender Text 88" xfId="11503" xr:uid="{00000000-0005-0000-0000-00008F670000}"/>
    <cellStyle name="Warnender Text 88 2" xfId="20918" xr:uid="{00000000-0005-0000-0000-000090670000}"/>
    <cellStyle name="Warnender Text 88_est. MEAT" xfId="26753" xr:uid="{00000000-0005-0000-0000-000091670000}"/>
    <cellStyle name="Warnender Text 89" xfId="11504" xr:uid="{00000000-0005-0000-0000-000092670000}"/>
    <cellStyle name="Warnender Text 89 2" xfId="20919" xr:uid="{00000000-0005-0000-0000-000093670000}"/>
    <cellStyle name="Warnender Text 89_est. MEAT" xfId="26754" xr:uid="{00000000-0005-0000-0000-000094670000}"/>
    <cellStyle name="Warnender Text 9" xfId="11505" xr:uid="{00000000-0005-0000-0000-000095670000}"/>
    <cellStyle name="Warnender Text 9 2" xfId="20920" xr:uid="{00000000-0005-0000-0000-000096670000}"/>
    <cellStyle name="Warnender Text 9_est. MEAT" xfId="26755" xr:uid="{00000000-0005-0000-0000-000097670000}"/>
    <cellStyle name="Warnender Text 90" xfId="11506" xr:uid="{00000000-0005-0000-0000-000098670000}"/>
    <cellStyle name="Warnender Text 90 2" xfId="20921" xr:uid="{00000000-0005-0000-0000-000099670000}"/>
    <cellStyle name="Warnender Text 90_est. MEAT" xfId="26756" xr:uid="{00000000-0005-0000-0000-00009A670000}"/>
    <cellStyle name="Warnender Text 91" xfId="11507" xr:uid="{00000000-0005-0000-0000-00009B670000}"/>
    <cellStyle name="Warnender Text 91 2" xfId="20922" xr:uid="{00000000-0005-0000-0000-00009C670000}"/>
    <cellStyle name="Warnender Text 91_est. MEAT" xfId="26757" xr:uid="{00000000-0005-0000-0000-00009D670000}"/>
    <cellStyle name="Warnender Text 92" xfId="11508" xr:uid="{00000000-0005-0000-0000-00009E670000}"/>
    <cellStyle name="Warnender Text 92 2" xfId="20923" xr:uid="{00000000-0005-0000-0000-00009F670000}"/>
    <cellStyle name="Warnender Text 92_est. MEAT" xfId="26758" xr:uid="{00000000-0005-0000-0000-0000A0670000}"/>
    <cellStyle name="Warnender Text 93" xfId="11509" xr:uid="{00000000-0005-0000-0000-0000A1670000}"/>
    <cellStyle name="Warnender Text 93 2" xfId="20924" xr:uid="{00000000-0005-0000-0000-0000A2670000}"/>
    <cellStyle name="Warnender Text 93_est. MEAT" xfId="26759" xr:uid="{00000000-0005-0000-0000-0000A3670000}"/>
    <cellStyle name="Warnender Text 94" xfId="11510" xr:uid="{00000000-0005-0000-0000-0000A4670000}"/>
    <cellStyle name="Warnender Text 94 2" xfId="20925" xr:uid="{00000000-0005-0000-0000-0000A5670000}"/>
    <cellStyle name="Warnender Text 94_est. MEAT" xfId="26760" xr:uid="{00000000-0005-0000-0000-0000A6670000}"/>
    <cellStyle name="Warnender Text 95" xfId="11511" xr:uid="{00000000-0005-0000-0000-0000A7670000}"/>
    <cellStyle name="Warnender Text 95 2" xfId="20926" xr:uid="{00000000-0005-0000-0000-0000A8670000}"/>
    <cellStyle name="Warnender Text 95_est. MEAT" xfId="26761" xr:uid="{00000000-0005-0000-0000-0000A9670000}"/>
    <cellStyle name="Warnender Text 96" xfId="11512" xr:uid="{00000000-0005-0000-0000-0000AA670000}"/>
    <cellStyle name="Warnender Text 96 2" xfId="20927" xr:uid="{00000000-0005-0000-0000-0000AB670000}"/>
    <cellStyle name="Warnender Text 96_est. MEAT" xfId="26762" xr:uid="{00000000-0005-0000-0000-0000AC670000}"/>
    <cellStyle name="Warnender Text 97" xfId="11513" xr:uid="{00000000-0005-0000-0000-0000AD670000}"/>
    <cellStyle name="Warnender Text 97 2" xfId="20928" xr:uid="{00000000-0005-0000-0000-0000AE670000}"/>
    <cellStyle name="Warnender Text 97_est. MEAT" xfId="26763" xr:uid="{00000000-0005-0000-0000-0000AF670000}"/>
    <cellStyle name="Warnender Text 98" xfId="11514" xr:uid="{00000000-0005-0000-0000-0000B0670000}"/>
    <cellStyle name="Warnender Text 98 2" xfId="20929" xr:uid="{00000000-0005-0000-0000-0000B1670000}"/>
    <cellStyle name="Warnender Text 98_est. MEAT" xfId="26764" xr:uid="{00000000-0005-0000-0000-0000B2670000}"/>
    <cellStyle name="Warnender Text 99" xfId="11515" xr:uid="{00000000-0005-0000-0000-0000B3670000}"/>
    <cellStyle name="Warnender Text 99 2" xfId="20930" xr:uid="{00000000-0005-0000-0000-0000B4670000}"/>
    <cellStyle name="Warnender Text 99_est. MEAT" xfId="26765" xr:uid="{00000000-0005-0000-0000-0000B5670000}"/>
    <cellStyle name="Warnender Text_2012-2019" xfId="13444" xr:uid="{00000000-0005-0000-0000-0000B6670000}"/>
    <cellStyle name="Warning Text 2" xfId="11516" xr:uid="{00000000-0005-0000-0000-0000B7670000}"/>
    <cellStyle name="Warning Text 2 2" xfId="20931" xr:uid="{00000000-0005-0000-0000-0000B8670000}"/>
    <cellStyle name="Warning Text 2_est. MEAT" xfId="26766" xr:uid="{00000000-0005-0000-0000-0000B9670000}"/>
    <cellStyle name="Zeilenbruch" xfId="11517" xr:uid="{00000000-0005-0000-0000-0000BA670000}"/>
    <cellStyle name="Zeilenbruch 2" xfId="20932" xr:uid="{00000000-0005-0000-0000-0000BB670000}"/>
    <cellStyle name="Zeilenbruch_est. MEAT" xfId="26767" xr:uid="{00000000-0005-0000-0000-0000BC670000}"/>
    <cellStyle name="Zelle überprüfen" xfId="11518" xr:uid="{00000000-0005-0000-0000-0000BD670000}"/>
    <cellStyle name="Zelle überprüfen 10" xfId="11519" xr:uid="{00000000-0005-0000-0000-0000BE670000}"/>
    <cellStyle name="Zelle überprüfen 10 2" xfId="20934" xr:uid="{00000000-0005-0000-0000-0000BF670000}"/>
    <cellStyle name="Zelle überprüfen 10_est. MEAT" xfId="26768" xr:uid="{00000000-0005-0000-0000-0000C0670000}"/>
    <cellStyle name="Zelle überprüfen 100" xfId="11520" xr:uid="{00000000-0005-0000-0000-0000C1670000}"/>
    <cellStyle name="Zelle überprüfen 100 2" xfId="20935" xr:uid="{00000000-0005-0000-0000-0000C2670000}"/>
    <cellStyle name="Zelle überprüfen 100_est. MEAT" xfId="26769" xr:uid="{00000000-0005-0000-0000-0000C3670000}"/>
    <cellStyle name="Zelle überprüfen 101" xfId="11521" xr:uid="{00000000-0005-0000-0000-0000C4670000}"/>
    <cellStyle name="Zelle überprüfen 101 2" xfId="20936" xr:uid="{00000000-0005-0000-0000-0000C5670000}"/>
    <cellStyle name="Zelle überprüfen 101_est. MEAT" xfId="26770" xr:uid="{00000000-0005-0000-0000-0000C6670000}"/>
    <cellStyle name="Zelle überprüfen 102" xfId="11522" xr:uid="{00000000-0005-0000-0000-0000C7670000}"/>
    <cellStyle name="Zelle überprüfen 102 2" xfId="20937" xr:uid="{00000000-0005-0000-0000-0000C8670000}"/>
    <cellStyle name="Zelle überprüfen 102_est. MEAT" xfId="26771" xr:uid="{00000000-0005-0000-0000-0000C9670000}"/>
    <cellStyle name="Zelle überprüfen 103" xfId="11523" xr:uid="{00000000-0005-0000-0000-0000CA670000}"/>
    <cellStyle name="Zelle überprüfen 103 2" xfId="20938" xr:uid="{00000000-0005-0000-0000-0000CB670000}"/>
    <cellStyle name="Zelle überprüfen 103_est. MEAT" xfId="26772" xr:uid="{00000000-0005-0000-0000-0000CC670000}"/>
    <cellStyle name="Zelle überprüfen 104" xfId="11524" xr:uid="{00000000-0005-0000-0000-0000CD670000}"/>
    <cellStyle name="Zelle überprüfen 104 2" xfId="20939" xr:uid="{00000000-0005-0000-0000-0000CE670000}"/>
    <cellStyle name="Zelle überprüfen 104_est. MEAT" xfId="26773" xr:uid="{00000000-0005-0000-0000-0000CF670000}"/>
    <cellStyle name="Zelle überprüfen 105" xfId="11525" xr:uid="{00000000-0005-0000-0000-0000D0670000}"/>
    <cellStyle name="Zelle überprüfen 105 2" xfId="20940" xr:uid="{00000000-0005-0000-0000-0000D1670000}"/>
    <cellStyle name="Zelle überprüfen 105_est. MEAT" xfId="26774" xr:uid="{00000000-0005-0000-0000-0000D2670000}"/>
    <cellStyle name="Zelle überprüfen 106" xfId="11526" xr:uid="{00000000-0005-0000-0000-0000D3670000}"/>
    <cellStyle name="Zelle überprüfen 106 2" xfId="20941" xr:uid="{00000000-0005-0000-0000-0000D4670000}"/>
    <cellStyle name="Zelle überprüfen 106_est. MEAT" xfId="26775" xr:uid="{00000000-0005-0000-0000-0000D5670000}"/>
    <cellStyle name="Zelle überprüfen 107" xfId="11527" xr:uid="{00000000-0005-0000-0000-0000D6670000}"/>
    <cellStyle name="Zelle überprüfen 107 2" xfId="20942" xr:uid="{00000000-0005-0000-0000-0000D7670000}"/>
    <cellStyle name="Zelle überprüfen 107_est. MEAT" xfId="26776" xr:uid="{00000000-0005-0000-0000-0000D8670000}"/>
    <cellStyle name="Zelle überprüfen 108" xfId="20933" xr:uid="{00000000-0005-0000-0000-0000D9670000}"/>
    <cellStyle name="Zelle überprüfen 11" xfId="11528" xr:uid="{00000000-0005-0000-0000-0000DA670000}"/>
    <cellStyle name="Zelle überprüfen 11 2" xfId="20943" xr:uid="{00000000-0005-0000-0000-0000DB670000}"/>
    <cellStyle name="Zelle überprüfen 11_est. MEAT" xfId="26777" xr:uid="{00000000-0005-0000-0000-0000DC670000}"/>
    <cellStyle name="Zelle überprüfen 12" xfId="11529" xr:uid="{00000000-0005-0000-0000-0000DD670000}"/>
    <cellStyle name="Zelle überprüfen 12 2" xfId="20944" xr:uid="{00000000-0005-0000-0000-0000DE670000}"/>
    <cellStyle name="Zelle überprüfen 12_est. MEAT" xfId="26778" xr:uid="{00000000-0005-0000-0000-0000DF670000}"/>
    <cellStyle name="Zelle überprüfen 13" xfId="11530" xr:uid="{00000000-0005-0000-0000-0000E0670000}"/>
    <cellStyle name="Zelle überprüfen 13 2" xfId="20945" xr:uid="{00000000-0005-0000-0000-0000E1670000}"/>
    <cellStyle name="Zelle überprüfen 13_est. MEAT" xfId="26779" xr:uid="{00000000-0005-0000-0000-0000E2670000}"/>
    <cellStyle name="Zelle überprüfen 14" xfId="11531" xr:uid="{00000000-0005-0000-0000-0000E3670000}"/>
    <cellStyle name="Zelle überprüfen 14 2" xfId="20946" xr:uid="{00000000-0005-0000-0000-0000E4670000}"/>
    <cellStyle name="Zelle überprüfen 14_est. MEAT" xfId="26780" xr:uid="{00000000-0005-0000-0000-0000E5670000}"/>
    <cellStyle name="Zelle überprüfen 15" xfId="11532" xr:uid="{00000000-0005-0000-0000-0000E6670000}"/>
    <cellStyle name="Zelle überprüfen 15 2" xfId="20947" xr:uid="{00000000-0005-0000-0000-0000E7670000}"/>
    <cellStyle name="Zelle überprüfen 15_est. MEAT" xfId="26781" xr:uid="{00000000-0005-0000-0000-0000E8670000}"/>
    <cellStyle name="Zelle überprüfen 16" xfId="11533" xr:uid="{00000000-0005-0000-0000-0000E9670000}"/>
    <cellStyle name="Zelle überprüfen 16 2" xfId="20948" xr:uid="{00000000-0005-0000-0000-0000EA670000}"/>
    <cellStyle name="Zelle überprüfen 16_est. MEAT" xfId="26782" xr:uid="{00000000-0005-0000-0000-0000EB670000}"/>
    <cellStyle name="Zelle überprüfen 17" xfId="11534" xr:uid="{00000000-0005-0000-0000-0000EC670000}"/>
    <cellStyle name="Zelle überprüfen 17 2" xfId="20949" xr:uid="{00000000-0005-0000-0000-0000ED670000}"/>
    <cellStyle name="Zelle überprüfen 17_est. MEAT" xfId="26783" xr:uid="{00000000-0005-0000-0000-0000EE670000}"/>
    <cellStyle name="Zelle überprüfen 18" xfId="11535" xr:uid="{00000000-0005-0000-0000-0000EF670000}"/>
    <cellStyle name="Zelle überprüfen 18 2" xfId="20950" xr:uid="{00000000-0005-0000-0000-0000F0670000}"/>
    <cellStyle name="Zelle überprüfen 18_est. MEAT" xfId="26784" xr:uid="{00000000-0005-0000-0000-0000F1670000}"/>
    <cellStyle name="Zelle überprüfen 19" xfId="11536" xr:uid="{00000000-0005-0000-0000-0000F2670000}"/>
    <cellStyle name="Zelle überprüfen 19 2" xfId="20951" xr:uid="{00000000-0005-0000-0000-0000F3670000}"/>
    <cellStyle name="Zelle überprüfen 19_est. MEAT" xfId="26785" xr:uid="{00000000-0005-0000-0000-0000F4670000}"/>
    <cellStyle name="Zelle überprüfen 2" xfId="11537" xr:uid="{00000000-0005-0000-0000-0000F5670000}"/>
    <cellStyle name="Zelle überprüfen 2 2" xfId="20952" xr:uid="{00000000-0005-0000-0000-0000F6670000}"/>
    <cellStyle name="Zelle überprüfen 2_est. MEAT" xfId="26786" xr:uid="{00000000-0005-0000-0000-0000F7670000}"/>
    <cellStyle name="Zelle überprüfen 20" xfId="11538" xr:uid="{00000000-0005-0000-0000-0000F8670000}"/>
    <cellStyle name="Zelle überprüfen 20 2" xfId="20953" xr:uid="{00000000-0005-0000-0000-0000F9670000}"/>
    <cellStyle name="Zelle überprüfen 20_est. MEAT" xfId="26787" xr:uid="{00000000-0005-0000-0000-0000FA670000}"/>
    <cellStyle name="Zelle überprüfen 21" xfId="11539" xr:uid="{00000000-0005-0000-0000-0000FB670000}"/>
    <cellStyle name="Zelle überprüfen 21 2" xfId="20954" xr:uid="{00000000-0005-0000-0000-0000FC670000}"/>
    <cellStyle name="Zelle überprüfen 21_est. MEAT" xfId="26788" xr:uid="{00000000-0005-0000-0000-0000FD670000}"/>
    <cellStyle name="Zelle überprüfen 22" xfId="11540" xr:uid="{00000000-0005-0000-0000-0000FE670000}"/>
    <cellStyle name="Zelle überprüfen 22 2" xfId="20955" xr:uid="{00000000-0005-0000-0000-0000FF670000}"/>
    <cellStyle name="Zelle überprüfen 22_est. MEAT" xfId="26789" xr:uid="{00000000-0005-0000-0000-000000680000}"/>
    <cellStyle name="Zelle überprüfen 23" xfId="11541" xr:uid="{00000000-0005-0000-0000-000001680000}"/>
    <cellStyle name="Zelle überprüfen 23 2" xfId="20956" xr:uid="{00000000-0005-0000-0000-000002680000}"/>
    <cellStyle name="Zelle überprüfen 23_est. MEAT" xfId="26790" xr:uid="{00000000-0005-0000-0000-000003680000}"/>
    <cellStyle name="Zelle überprüfen 24" xfId="11542" xr:uid="{00000000-0005-0000-0000-000004680000}"/>
    <cellStyle name="Zelle überprüfen 24 2" xfId="20957" xr:uid="{00000000-0005-0000-0000-000005680000}"/>
    <cellStyle name="Zelle überprüfen 24_est. MEAT" xfId="26791" xr:uid="{00000000-0005-0000-0000-000006680000}"/>
    <cellStyle name="Zelle überprüfen 25" xfId="11543" xr:uid="{00000000-0005-0000-0000-000007680000}"/>
    <cellStyle name="Zelle überprüfen 25 2" xfId="20958" xr:uid="{00000000-0005-0000-0000-000008680000}"/>
    <cellStyle name="Zelle überprüfen 25_est. MEAT" xfId="26792" xr:uid="{00000000-0005-0000-0000-000009680000}"/>
    <cellStyle name="Zelle überprüfen 26" xfId="11544" xr:uid="{00000000-0005-0000-0000-00000A680000}"/>
    <cellStyle name="Zelle überprüfen 26 2" xfId="20959" xr:uid="{00000000-0005-0000-0000-00000B680000}"/>
    <cellStyle name="Zelle überprüfen 26_est. MEAT" xfId="26793" xr:uid="{00000000-0005-0000-0000-00000C680000}"/>
    <cellStyle name="Zelle überprüfen 27" xfId="11545" xr:uid="{00000000-0005-0000-0000-00000D680000}"/>
    <cellStyle name="Zelle überprüfen 27 2" xfId="20960" xr:uid="{00000000-0005-0000-0000-00000E680000}"/>
    <cellStyle name="Zelle überprüfen 27_est. MEAT" xfId="26794" xr:uid="{00000000-0005-0000-0000-00000F680000}"/>
    <cellStyle name="Zelle überprüfen 28" xfId="11546" xr:uid="{00000000-0005-0000-0000-000010680000}"/>
    <cellStyle name="Zelle überprüfen 28 2" xfId="20961" xr:uid="{00000000-0005-0000-0000-000011680000}"/>
    <cellStyle name="Zelle überprüfen 28_est. MEAT" xfId="26795" xr:uid="{00000000-0005-0000-0000-000012680000}"/>
    <cellStyle name="Zelle überprüfen 29" xfId="11547" xr:uid="{00000000-0005-0000-0000-000013680000}"/>
    <cellStyle name="Zelle überprüfen 29 2" xfId="20962" xr:uid="{00000000-0005-0000-0000-000014680000}"/>
    <cellStyle name="Zelle überprüfen 29_est. MEAT" xfId="26796" xr:uid="{00000000-0005-0000-0000-000015680000}"/>
    <cellStyle name="Zelle überprüfen 3" xfId="11548" xr:uid="{00000000-0005-0000-0000-000016680000}"/>
    <cellStyle name="Zelle überprüfen 3 2" xfId="20963" xr:uid="{00000000-0005-0000-0000-000017680000}"/>
    <cellStyle name="Zelle überprüfen 3_est. MEAT" xfId="26797" xr:uid="{00000000-0005-0000-0000-000018680000}"/>
    <cellStyle name="Zelle überprüfen 30" xfId="11549" xr:uid="{00000000-0005-0000-0000-000019680000}"/>
    <cellStyle name="Zelle überprüfen 30 2" xfId="20964" xr:uid="{00000000-0005-0000-0000-00001A680000}"/>
    <cellStyle name="Zelle überprüfen 30_est. MEAT" xfId="26798" xr:uid="{00000000-0005-0000-0000-00001B680000}"/>
    <cellStyle name="Zelle überprüfen 31" xfId="11550" xr:uid="{00000000-0005-0000-0000-00001C680000}"/>
    <cellStyle name="Zelle überprüfen 31 2" xfId="20965" xr:uid="{00000000-0005-0000-0000-00001D680000}"/>
    <cellStyle name="Zelle überprüfen 31_est. MEAT" xfId="26799" xr:uid="{00000000-0005-0000-0000-00001E680000}"/>
    <cellStyle name="Zelle überprüfen 32" xfId="11551" xr:uid="{00000000-0005-0000-0000-00001F680000}"/>
    <cellStyle name="Zelle überprüfen 32 2" xfId="20966" xr:uid="{00000000-0005-0000-0000-000020680000}"/>
    <cellStyle name="Zelle überprüfen 32_est. MEAT" xfId="26800" xr:uid="{00000000-0005-0000-0000-000021680000}"/>
    <cellStyle name="Zelle überprüfen 33" xfId="11552" xr:uid="{00000000-0005-0000-0000-000022680000}"/>
    <cellStyle name="Zelle überprüfen 33 2" xfId="20967" xr:uid="{00000000-0005-0000-0000-000023680000}"/>
    <cellStyle name="Zelle überprüfen 33_est. MEAT" xfId="26801" xr:uid="{00000000-0005-0000-0000-000024680000}"/>
    <cellStyle name="Zelle überprüfen 34" xfId="11553" xr:uid="{00000000-0005-0000-0000-000025680000}"/>
    <cellStyle name="Zelle überprüfen 34 2" xfId="20968" xr:uid="{00000000-0005-0000-0000-000026680000}"/>
    <cellStyle name="Zelle überprüfen 34_est. MEAT" xfId="26802" xr:uid="{00000000-0005-0000-0000-000027680000}"/>
    <cellStyle name="Zelle überprüfen 35" xfId="11554" xr:uid="{00000000-0005-0000-0000-000028680000}"/>
    <cellStyle name="Zelle überprüfen 35 2" xfId="20969" xr:uid="{00000000-0005-0000-0000-000029680000}"/>
    <cellStyle name="Zelle überprüfen 35_est. MEAT" xfId="26803" xr:uid="{00000000-0005-0000-0000-00002A680000}"/>
    <cellStyle name="Zelle überprüfen 36" xfId="11555" xr:uid="{00000000-0005-0000-0000-00002B680000}"/>
    <cellStyle name="Zelle überprüfen 36 2" xfId="20970" xr:uid="{00000000-0005-0000-0000-00002C680000}"/>
    <cellStyle name="Zelle überprüfen 36_est. MEAT" xfId="26804" xr:uid="{00000000-0005-0000-0000-00002D680000}"/>
    <cellStyle name="Zelle überprüfen 37" xfId="11556" xr:uid="{00000000-0005-0000-0000-00002E680000}"/>
    <cellStyle name="Zelle überprüfen 37 2" xfId="20971" xr:uid="{00000000-0005-0000-0000-00002F680000}"/>
    <cellStyle name="Zelle überprüfen 37_est. MEAT" xfId="26805" xr:uid="{00000000-0005-0000-0000-000030680000}"/>
    <cellStyle name="Zelle überprüfen 38" xfId="11557" xr:uid="{00000000-0005-0000-0000-000031680000}"/>
    <cellStyle name="Zelle überprüfen 38 2" xfId="20972" xr:uid="{00000000-0005-0000-0000-000032680000}"/>
    <cellStyle name="Zelle überprüfen 38_est. MEAT" xfId="26806" xr:uid="{00000000-0005-0000-0000-000033680000}"/>
    <cellStyle name="Zelle überprüfen 39" xfId="11558" xr:uid="{00000000-0005-0000-0000-000034680000}"/>
    <cellStyle name="Zelle überprüfen 39 2" xfId="20973" xr:uid="{00000000-0005-0000-0000-000035680000}"/>
    <cellStyle name="Zelle überprüfen 39_est. MEAT" xfId="26807" xr:uid="{00000000-0005-0000-0000-000036680000}"/>
    <cellStyle name="Zelle überprüfen 4" xfId="11559" xr:uid="{00000000-0005-0000-0000-000037680000}"/>
    <cellStyle name="Zelle überprüfen 4 2" xfId="20974" xr:uid="{00000000-0005-0000-0000-000038680000}"/>
    <cellStyle name="Zelle überprüfen 4_est. MEAT" xfId="26808" xr:uid="{00000000-0005-0000-0000-000039680000}"/>
    <cellStyle name="Zelle überprüfen 40" xfId="11560" xr:uid="{00000000-0005-0000-0000-00003A680000}"/>
    <cellStyle name="Zelle überprüfen 40 2" xfId="20975" xr:uid="{00000000-0005-0000-0000-00003B680000}"/>
    <cellStyle name="Zelle überprüfen 40_est. MEAT" xfId="26809" xr:uid="{00000000-0005-0000-0000-00003C680000}"/>
    <cellStyle name="Zelle überprüfen 41" xfId="11561" xr:uid="{00000000-0005-0000-0000-00003D680000}"/>
    <cellStyle name="Zelle überprüfen 41 2" xfId="20976" xr:uid="{00000000-0005-0000-0000-00003E680000}"/>
    <cellStyle name="Zelle überprüfen 41_est. MEAT" xfId="26810" xr:uid="{00000000-0005-0000-0000-00003F680000}"/>
    <cellStyle name="Zelle überprüfen 42" xfId="11562" xr:uid="{00000000-0005-0000-0000-000040680000}"/>
    <cellStyle name="Zelle überprüfen 42 2" xfId="20977" xr:uid="{00000000-0005-0000-0000-000041680000}"/>
    <cellStyle name="Zelle überprüfen 42_est. MEAT" xfId="26811" xr:uid="{00000000-0005-0000-0000-000042680000}"/>
    <cellStyle name="Zelle überprüfen 43" xfId="11563" xr:uid="{00000000-0005-0000-0000-000043680000}"/>
    <cellStyle name="Zelle überprüfen 43 2" xfId="20978" xr:uid="{00000000-0005-0000-0000-000044680000}"/>
    <cellStyle name="Zelle überprüfen 43_est. MEAT" xfId="26812" xr:uid="{00000000-0005-0000-0000-000045680000}"/>
    <cellStyle name="Zelle überprüfen 44" xfId="11564" xr:uid="{00000000-0005-0000-0000-000046680000}"/>
    <cellStyle name="Zelle überprüfen 44 2" xfId="20979" xr:uid="{00000000-0005-0000-0000-000047680000}"/>
    <cellStyle name="Zelle überprüfen 44_est. MEAT" xfId="26813" xr:uid="{00000000-0005-0000-0000-000048680000}"/>
    <cellStyle name="Zelle überprüfen 45" xfId="11565" xr:uid="{00000000-0005-0000-0000-000049680000}"/>
    <cellStyle name="Zelle überprüfen 45 2" xfId="20980" xr:uid="{00000000-0005-0000-0000-00004A680000}"/>
    <cellStyle name="Zelle überprüfen 45_est. MEAT" xfId="26814" xr:uid="{00000000-0005-0000-0000-00004B680000}"/>
    <cellStyle name="Zelle überprüfen 46" xfId="11566" xr:uid="{00000000-0005-0000-0000-00004C680000}"/>
    <cellStyle name="Zelle überprüfen 46 2" xfId="20981" xr:uid="{00000000-0005-0000-0000-00004D680000}"/>
    <cellStyle name="Zelle überprüfen 46_est. MEAT" xfId="26815" xr:uid="{00000000-0005-0000-0000-00004E680000}"/>
    <cellStyle name="Zelle überprüfen 47" xfId="11567" xr:uid="{00000000-0005-0000-0000-00004F680000}"/>
    <cellStyle name="Zelle überprüfen 47 2" xfId="20982" xr:uid="{00000000-0005-0000-0000-000050680000}"/>
    <cellStyle name="Zelle überprüfen 47_est. MEAT" xfId="26816" xr:uid="{00000000-0005-0000-0000-000051680000}"/>
    <cellStyle name="Zelle überprüfen 48" xfId="11568" xr:uid="{00000000-0005-0000-0000-000052680000}"/>
    <cellStyle name="Zelle überprüfen 48 2" xfId="20983" xr:uid="{00000000-0005-0000-0000-000053680000}"/>
    <cellStyle name="Zelle überprüfen 48_est. MEAT" xfId="26817" xr:uid="{00000000-0005-0000-0000-000054680000}"/>
    <cellStyle name="Zelle überprüfen 49" xfId="11569" xr:uid="{00000000-0005-0000-0000-000055680000}"/>
    <cellStyle name="Zelle überprüfen 49 2" xfId="20984" xr:uid="{00000000-0005-0000-0000-000056680000}"/>
    <cellStyle name="Zelle überprüfen 49_est. MEAT" xfId="26818" xr:uid="{00000000-0005-0000-0000-000057680000}"/>
    <cellStyle name="Zelle überprüfen 5" xfId="11570" xr:uid="{00000000-0005-0000-0000-000058680000}"/>
    <cellStyle name="Zelle überprüfen 5 2" xfId="20985" xr:uid="{00000000-0005-0000-0000-000059680000}"/>
    <cellStyle name="Zelle überprüfen 5_est. MEAT" xfId="26819" xr:uid="{00000000-0005-0000-0000-00005A680000}"/>
    <cellStyle name="Zelle überprüfen 50" xfId="11571" xr:uid="{00000000-0005-0000-0000-00005B680000}"/>
    <cellStyle name="Zelle überprüfen 50 2" xfId="20986" xr:uid="{00000000-0005-0000-0000-00005C680000}"/>
    <cellStyle name="Zelle überprüfen 50_est. MEAT" xfId="26820" xr:uid="{00000000-0005-0000-0000-00005D680000}"/>
    <cellStyle name="Zelle überprüfen 51" xfId="11572" xr:uid="{00000000-0005-0000-0000-00005E680000}"/>
    <cellStyle name="Zelle überprüfen 51 2" xfId="20987" xr:uid="{00000000-0005-0000-0000-00005F680000}"/>
    <cellStyle name="Zelle überprüfen 51_est. MEAT" xfId="26821" xr:uid="{00000000-0005-0000-0000-000060680000}"/>
    <cellStyle name="Zelle überprüfen 52" xfId="11573" xr:uid="{00000000-0005-0000-0000-000061680000}"/>
    <cellStyle name="Zelle überprüfen 52 2" xfId="20988" xr:uid="{00000000-0005-0000-0000-000062680000}"/>
    <cellStyle name="Zelle überprüfen 52_est. MEAT" xfId="26822" xr:uid="{00000000-0005-0000-0000-000063680000}"/>
    <cellStyle name="Zelle überprüfen 53" xfId="11574" xr:uid="{00000000-0005-0000-0000-000064680000}"/>
    <cellStyle name="Zelle überprüfen 53 2" xfId="20989" xr:uid="{00000000-0005-0000-0000-000065680000}"/>
    <cellStyle name="Zelle überprüfen 53_est. MEAT" xfId="26823" xr:uid="{00000000-0005-0000-0000-000066680000}"/>
    <cellStyle name="Zelle überprüfen 54" xfId="11575" xr:uid="{00000000-0005-0000-0000-000067680000}"/>
    <cellStyle name="Zelle überprüfen 54 2" xfId="20990" xr:uid="{00000000-0005-0000-0000-000068680000}"/>
    <cellStyle name="Zelle überprüfen 54_est. MEAT" xfId="26824" xr:uid="{00000000-0005-0000-0000-000069680000}"/>
    <cellStyle name="Zelle überprüfen 55" xfId="11576" xr:uid="{00000000-0005-0000-0000-00006A680000}"/>
    <cellStyle name="Zelle überprüfen 55 2" xfId="20991" xr:uid="{00000000-0005-0000-0000-00006B680000}"/>
    <cellStyle name="Zelle überprüfen 55_est. MEAT" xfId="26825" xr:uid="{00000000-0005-0000-0000-00006C680000}"/>
    <cellStyle name="Zelle überprüfen 56" xfId="11577" xr:uid="{00000000-0005-0000-0000-00006D680000}"/>
    <cellStyle name="Zelle überprüfen 56 2" xfId="20992" xr:uid="{00000000-0005-0000-0000-00006E680000}"/>
    <cellStyle name="Zelle überprüfen 56_est. MEAT" xfId="26826" xr:uid="{00000000-0005-0000-0000-00006F680000}"/>
    <cellStyle name="Zelle überprüfen 57" xfId="11578" xr:uid="{00000000-0005-0000-0000-000070680000}"/>
    <cellStyle name="Zelle überprüfen 57 2" xfId="20993" xr:uid="{00000000-0005-0000-0000-000071680000}"/>
    <cellStyle name="Zelle überprüfen 57_est. MEAT" xfId="26827" xr:uid="{00000000-0005-0000-0000-000072680000}"/>
    <cellStyle name="Zelle überprüfen 58" xfId="11579" xr:uid="{00000000-0005-0000-0000-000073680000}"/>
    <cellStyle name="Zelle überprüfen 58 2" xfId="20994" xr:uid="{00000000-0005-0000-0000-000074680000}"/>
    <cellStyle name="Zelle überprüfen 58_est. MEAT" xfId="26828" xr:uid="{00000000-0005-0000-0000-000075680000}"/>
    <cellStyle name="Zelle überprüfen 59" xfId="11580" xr:uid="{00000000-0005-0000-0000-000076680000}"/>
    <cellStyle name="Zelle überprüfen 59 2" xfId="20995" xr:uid="{00000000-0005-0000-0000-000077680000}"/>
    <cellStyle name="Zelle überprüfen 59_est. MEAT" xfId="26829" xr:uid="{00000000-0005-0000-0000-000078680000}"/>
    <cellStyle name="Zelle überprüfen 6" xfId="11581" xr:uid="{00000000-0005-0000-0000-000079680000}"/>
    <cellStyle name="Zelle überprüfen 6 2" xfId="20996" xr:uid="{00000000-0005-0000-0000-00007A680000}"/>
    <cellStyle name="Zelle überprüfen 6_est. MEAT" xfId="26830" xr:uid="{00000000-0005-0000-0000-00007B680000}"/>
    <cellStyle name="Zelle überprüfen 60" xfId="11582" xr:uid="{00000000-0005-0000-0000-00007C680000}"/>
    <cellStyle name="Zelle überprüfen 60 2" xfId="20997" xr:uid="{00000000-0005-0000-0000-00007D680000}"/>
    <cellStyle name="Zelle überprüfen 60_est. MEAT" xfId="26831" xr:uid="{00000000-0005-0000-0000-00007E680000}"/>
    <cellStyle name="Zelle überprüfen 61" xfId="11583" xr:uid="{00000000-0005-0000-0000-00007F680000}"/>
    <cellStyle name="Zelle überprüfen 61 2" xfId="20998" xr:uid="{00000000-0005-0000-0000-000080680000}"/>
    <cellStyle name="Zelle überprüfen 61_est. MEAT" xfId="26832" xr:uid="{00000000-0005-0000-0000-000081680000}"/>
    <cellStyle name="Zelle überprüfen 62" xfId="11584" xr:uid="{00000000-0005-0000-0000-000082680000}"/>
    <cellStyle name="Zelle überprüfen 62 2" xfId="20999" xr:uid="{00000000-0005-0000-0000-000083680000}"/>
    <cellStyle name="Zelle überprüfen 62_est. MEAT" xfId="26833" xr:uid="{00000000-0005-0000-0000-000084680000}"/>
    <cellStyle name="Zelle überprüfen 63" xfId="11585" xr:uid="{00000000-0005-0000-0000-000085680000}"/>
    <cellStyle name="Zelle überprüfen 63 2" xfId="21000" xr:uid="{00000000-0005-0000-0000-000086680000}"/>
    <cellStyle name="Zelle überprüfen 63_est. MEAT" xfId="26834" xr:uid="{00000000-0005-0000-0000-000087680000}"/>
    <cellStyle name="Zelle überprüfen 64" xfId="11586" xr:uid="{00000000-0005-0000-0000-000088680000}"/>
    <cellStyle name="Zelle überprüfen 64 2" xfId="21001" xr:uid="{00000000-0005-0000-0000-000089680000}"/>
    <cellStyle name="Zelle überprüfen 64_est. MEAT" xfId="26835" xr:uid="{00000000-0005-0000-0000-00008A680000}"/>
    <cellStyle name="Zelle überprüfen 65" xfId="11587" xr:uid="{00000000-0005-0000-0000-00008B680000}"/>
    <cellStyle name="Zelle überprüfen 65 2" xfId="21002" xr:uid="{00000000-0005-0000-0000-00008C680000}"/>
    <cellStyle name="Zelle überprüfen 65_est. MEAT" xfId="26836" xr:uid="{00000000-0005-0000-0000-00008D680000}"/>
    <cellStyle name="Zelle überprüfen 66" xfId="11588" xr:uid="{00000000-0005-0000-0000-00008E680000}"/>
    <cellStyle name="Zelle überprüfen 66 2" xfId="21003" xr:uid="{00000000-0005-0000-0000-00008F680000}"/>
    <cellStyle name="Zelle überprüfen 66_est. MEAT" xfId="26837" xr:uid="{00000000-0005-0000-0000-000090680000}"/>
    <cellStyle name="Zelle überprüfen 67" xfId="11589" xr:uid="{00000000-0005-0000-0000-000091680000}"/>
    <cellStyle name="Zelle überprüfen 67 2" xfId="21004" xr:uid="{00000000-0005-0000-0000-000092680000}"/>
    <cellStyle name="Zelle überprüfen 67_est. MEAT" xfId="26838" xr:uid="{00000000-0005-0000-0000-000093680000}"/>
    <cellStyle name="Zelle überprüfen 68" xfId="11590" xr:uid="{00000000-0005-0000-0000-000094680000}"/>
    <cellStyle name="Zelle überprüfen 68 2" xfId="21005" xr:uid="{00000000-0005-0000-0000-000095680000}"/>
    <cellStyle name="Zelle überprüfen 68_est. MEAT" xfId="26839" xr:uid="{00000000-0005-0000-0000-000096680000}"/>
    <cellStyle name="Zelle überprüfen 69" xfId="11591" xr:uid="{00000000-0005-0000-0000-000097680000}"/>
    <cellStyle name="Zelle überprüfen 69 2" xfId="21006" xr:uid="{00000000-0005-0000-0000-000098680000}"/>
    <cellStyle name="Zelle überprüfen 69_est. MEAT" xfId="26840" xr:uid="{00000000-0005-0000-0000-000099680000}"/>
    <cellStyle name="Zelle überprüfen 7" xfId="11592" xr:uid="{00000000-0005-0000-0000-00009A680000}"/>
    <cellStyle name="Zelle überprüfen 7 2" xfId="21007" xr:uid="{00000000-0005-0000-0000-00009B680000}"/>
    <cellStyle name="Zelle überprüfen 7_est. MEAT" xfId="26841" xr:uid="{00000000-0005-0000-0000-00009C680000}"/>
    <cellStyle name="Zelle überprüfen 70" xfId="11593" xr:uid="{00000000-0005-0000-0000-00009D680000}"/>
    <cellStyle name="Zelle überprüfen 70 2" xfId="21008" xr:uid="{00000000-0005-0000-0000-00009E680000}"/>
    <cellStyle name="Zelle überprüfen 70_est. MEAT" xfId="26842" xr:uid="{00000000-0005-0000-0000-00009F680000}"/>
    <cellStyle name="Zelle überprüfen 71" xfId="11594" xr:uid="{00000000-0005-0000-0000-0000A0680000}"/>
    <cellStyle name="Zelle überprüfen 71 2" xfId="21009" xr:uid="{00000000-0005-0000-0000-0000A1680000}"/>
    <cellStyle name="Zelle überprüfen 71_est. MEAT" xfId="26843" xr:uid="{00000000-0005-0000-0000-0000A2680000}"/>
    <cellStyle name="Zelle überprüfen 72" xfId="11595" xr:uid="{00000000-0005-0000-0000-0000A3680000}"/>
    <cellStyle name="Zelle überprüfen 72 2" xfId="21010" xr:uid="{00000000-0005-0000-0000-0000A4680000}"/>
    <cellStyle name="Zelle überprüfen 72_est. MEAT" xfId="26844" xr:uid="{00000000-0005-0000-0000-0000A5680000}"/>
    <cellStyle name="Zelle überprüfen 73" xfId="11596" xr:uid="{00000000-0005-0000-0000-0000A6680000}"/>
    <cellStyle name="Zelle überprüfen 73 2" xfId="21011" xr:uid="{00000000-0005-0000-0000-0000A7680000}"/>
    <cellStyle name="Zelle überprüfen 73_est. MEAT" xfId="26845" xr:uid="{00000000-0005-0000-0000-0000A8680000}"/>
    <cellStyle name="Zelle überprüfen 74" xfId="11597" xr:uid="{00000000-0005-0000-0000-0000A9680000}"/>
    <cellStyle name="Zelle überprüfen 74 2" xfId="21012" xr:uid="{00000000-0005-0000-0000-0000AA680000}"/>
    <cellStyle name="Zelle überprüfen 74_est. MEAT" xfId="26846" xr:uid="{00000000-0005-0000-0000-0000AB680000}"/>
    <cellStyle name="Zelle überprüfen 75" xfId="11598" xr:uid="{00000000-0005-0000-0000-0000AC680000}"/>
    <cellStyle name="Zelle überprüfen 75 2" xfId="21013" xr:uid="{00000000-0005-0000-0000-0000AD680000}"/>
    <cellStyle name="Zelle überprüfen 75_est. MEAT" xfId="26847" xr:uid="{00000000-0005-0000-0000-0000AE680000}"/>
    <cellStyle name="Zelle überprüfen 76" xfId="11599" xr:uid="{00000000-0005-0000-0000-0000AF680000}"/>
    <cellStyle name="Zelle überprüfen 76 2" xfId="21014" xr:uid="{00000000-0005-0000-0000-0000B0680000}"/>
    <cellStyle name="Zelle überprüfen 76_est. MEAT" xfId="26848" xr:uid="{00000000-0005-0000-0000-0000B1680000}"/>
    <cellStyle name="Zelle überprüfen 77" xfId="11600" xr:uid="{00000000-0005-0000-0000-0000B2680000}"/>
    <cellStyle name="Zelle überprüfen 77 2" xfId="21015" xr:uid="{00000000-0005-0000-0000-0000B3680000}"/>
    <cellStyle name="Zelle überprüfen 77_est. MEAT" xfId="26849" xr:uid="{00000000-0005-0000-0000-0000B4680000}"/>
    <cellStyle name="Zelle überprüfen 78" xfId="11601" xr:uid="{00000000-0005-0000-0000-0000B5680000}"/>
    <cellStyle name="Zelle überprüfen 78 2" xfId="21016" xr:uid="{00000000-0005-0000-0000-0000B6680000}"/>
    <cellStyle name="Zelle überprüfen 78_est. MEAT" xfId="26850" xr:uid="{00000000-0005-0000-0000-0000B7680000}"/>
    <cellStyle name="Zelle überprüfen 79" xfId="11602" xr:uid="{00000000-0005-0000-0000-0000B8680000}"/>
    <cellStyle name="Zelle überprüfen 79 2" xfId="21017" xr:uid="{00000000-0005-0000-0000-0000B9680000}"/>
    <cellStyle name="Zelle überprüfen 79_est. MEAT" xfId="26851" xr:uid="{00000000-0005-0000-0000-0000BA680000}"/>
    <cellStyle name="Zelle überprüfen 8" xfId="11603" xr:uid="{00000000-0005-0000-0000-0000BB680000}"/>
    <cellStyle name="Zelle überprüfen 8 2" xfId="21018" xr:uid="{00000000-0005-0000-0000-0000BC680000}"/>
    <cellStyle name="Zelle überprüfen 8_est. MEAT" xfId="26852" xr:uid="{00000000-0005-0000-0000-0000BD680000}"/>
    <cellStyle name="Zelle überprüfen 80" xfId="11604" xr:uid="{00000000-0005-0000-0000-0000BE680000}"/>
    <cellStyle name="Zelle überprüfen 80 2" xfId="21019" xr:uid="{00000000-0005-0000-0000-0000BF680000}"/>
    <cellStyle name="Zelle überprüfen 80_est. MEAT" xfId="26853" xr:uid="{00000000-0005-0000-0000-0000C0680000}"/>
    <cellStyle name="Zelle überprüfen 81" xfId="11605" xr:uid="{00000000-0005-0000-0000-0000C1680000}"/>
    <cellStyle name="Zelle überprüfen 81 2" xfId="21020" xr:uid="{00000000-0005-0000-0000-0000C2680000}"/>
    <cellStyle name="Zelle überprüfen 81_est. MEAT" xfId="26854" xr:uid="{00000000-0005-0000-0000-0000C3680000}"/>
    <cellStyle name="Zelle überprüfen 82" xfId="11606" xr:uid="{00000000-0005-0000-0000-0000C4680000}"/>
    <cellStyle name="Zelle überprüfen 82 2" xfId="21021" xr:uid="{00000000-0005-0000-0000-0000C5680000}"/>
    <cellStyle name="Zelle überprüfen 82_est. MEAT" xfId="26855" xr:uid="{00000000-0005-0000-0000-0000C6680000}"/>
    <cellStyle name="Zelle überprüfen 83" xfId="11607" xr:uid="{00000000-0005-0000-0000-0000C7680000}"/>
    <cellStyle name="Zelle überprüfen 83 2" xfId="21022" xr:uid="{00000000-0005-0000-0000-0000C8680000}"/>
    <cellStyle name="Zelle überprüfen 83_est. MEAT" xfId="26856" xr:uid="{00000000-0005-0000-0000-0000C9680000}"/>
    <cellStyle name="Zelle überprüfen 84" xfId="11608" xr:uid="{00000000-0005-0000-0000-0000CA680000}"/>
    <cellStyle name="Zelle überprüfen 84 2" xfId="21023" xr:uid="{00000000-0005-0000-0000-0000CB680000}"/>
    <cellStyle name="Zelle überprüfen 84_est. MEAT" xfId="26857" xr:uid="{00000000-0005-0000-0000-0000CC680000}"/>
    <cellStyle name="Zelle überprüfen 85" xfId="11609" xr:uid="{00000000-0005-0000-0000-0000CD680000}"/>
    <cellStyle name="Zelle überprüfen 85 2" xfId="21024" xr:uid="{00000000-0005-0000-0000-0000CE680000}"/>
    <cellStyle name="Zelle überprüfen 85_est. MEAT" xfId="26858" xr:uid="{00000000-0005-0000-0000-0000CF680000}"/>
    <cellStyle name="Zelle überprüfen 86" xfId="11610" xr:uid="{00000000-0005-0000-0000-0000D0680000}"/>
    <cellStyle name="Zelle überprüfen 86 2" xfId="21025" xr:uid="{00000000-0005-0000-0000-0000D1680000}"/>
    <cellStyle name="Zelle überprüfen 86_est. MEAT" xfId="26859" xr:uid="{00000000-0005-0000-0000-0000D2680000}"/>
    <cellStyle name="Zelle überprüfen 87" xfId="11611" xr:uid="{00000000-0005-0000-0000-0000D3680000}"/>
    <cellStyle name="Zelle überprüfen 87 2" xfId="21026" xr:uid="{00000000-0005-0000-0000-0000D4680000}"/>
    <cellStyle name="Zelle überprüfen 87_est. MEAT" xfId="26860" xr:uid="{00000000-0005-0000-0000-0000D5680000}"/>
    <cellStyle name="Zelle überprüfen 88" xfId="11612" xr:uid="{00000000-0005-0000-0000-0000D6680000}"/>
    <cellStyle name="Zelle überprüfen 88 2" xfId="21027" xr:uid="{00000000-0005-0000-0000-0000D7680000}"/>
    <cellStyle name="Zelle überprüfen 88_est. MEAT" xfId="26861" xr:uid="{00000000-0005-0000-0000-0000D8680000}"/>
    <cellStyle name="Zelle überprüfen 89" xfId="11613" xr:uid="{00000000-0005-0000-0000-0000D9680000}"/>
    <cellStyle name="Zelle überprüfen 89 2" xfId="21028" xr:uid="{00000000-0005-0000-0000-0000DA680000}"/>
    <cellStyle name="Zelle überprüfen 89_est. MEAT" xfId="26862" xr:uid="{00000000-0005-0000-0000-0000DB680000}"/>
    <cellStyle name="Zelle überprüfen 9" xfId="11614" xr:uid="{00000000-0005-0000-0000-0000DC680000}"/>
    <cellStyle name="Zelle überprüfen 9 2" xfId="21029" xr:uid="{00000000-0005-0000-0000-0000DD680000}"/>
    <cellStyle name="Zelle überprüfen 9_est. MEAT" xfId="26863" xr:uid="{00000000-0005-0000-0000-0000DE680000}"/>
    <cellStyle name="Zelle überprüfen 90" xfId="11615" xr:uid="{00000000-0005-0000-0000-0000DF680000}"/>
    <cellStyle name="Zelle überprüfen 90 2" xfId="21030" xr:uid="{00000000-0005-0000-0000-0000E0680000}"/>
    <cellStyle name="Zelle überprüfen 90_est. MEAT" xfId="26864" xr:uid="{00000000-0005-0000-0000-0000E1680000}"/>
    <cellStyle name="Zelle überprüfen 91" xfId="11616" xr:uid="{00000000-0005-0000-0000-0000E2680000}"/>
    <cellStyle name="Zelle überprüfen 91 2" xfId="21031" xr:uid="{00000000-0005-0000-0000-0000E3680000}"/>
    <cellStyle name="Zelle überprüfen 91_est. MEAT" xfId="26865" xr:uid="{00000000-0005-0000-0000-0000E4680000}"/>
    <cellStyle name="Zelle überprüfen 92" xfId="11617" xr:uid="{00000000-0005-0000-0000-0000E5680000}"/>
    <cellStyle name="Zelle überprüfen 92 2" xfId="21032" xr:uid="{00000000-0005-0000-0000-0000E6680000}"/>
    <cellStyle name="Zelle überprüfen 92_est. MEAT" xfId="26866" xr:uid="{00000000-0005-0000-0000-0000E7680000}"/>
    <cellStyle name="Zelle überprüfen 93" xfId="11618" xr:uid="{00000000-0005-0000-0000-0000E8680000}"/>
    <cellStyle name="Zelle überprüfen 93 2" xfId="21033" xr:uid="{00000000-0005-0000-0000-0000E9680000}"/>
    <cellStyle name="Zelle überprüfen 93_est. MEAT" xfId="26867" xr:uid="{00000000-0005-0000-0000-0000EA680000}"/>
    <cellStyle name="Zelle überprüfen 94" xfId="11619" xr:uid="{00000000-0005-0000-0000-0000EB680000}"/>
    <cellStyle name="Zelle überprüfen 94 2" xfId="21034" xr:uid="{00000000-0005-0000-0000-0000EC680000}"/>
    <cellStyle name="Zelle überprüfen 94_est. MEAT" xfId="26868" xr:uid="{00000000-0005-0000-0000-0000ED680000}"/>
    <cellStyle name="Zelle überprüfen 95" xfId="11620" xr:uid="{00000000-0005-0000-0000-0000EE680000}"/>
    <cellStyle name="Zelle überprüfen 95 2" xfId="21035" xr:uid="{00000000-0005-0000-0000-0000EF680000}"/>
    <cellStyle name="Zelle überprüfen 95_est. MEAT" xfId="26869" xr:uid="{00000000-0005-0000-0000-0000F0680000}"/>
    <cellStyle name="Zelle überprüfen 96" xfId="11621" xr:uid="{00000000-0005-0000-0000-0000F1680000}"/>
    <cellStyle name="Zelle überprüfen 96 2" xfId="21036" xr:uid="{00000000-0005-0000-0000-0000F2680000}"/>
    <cellStyle name="Zelle überprüfen 96_est. MEAT" xfId="26870" xr:uid="{00000000-0005-0000-0000-0000F3680000}"/>
    <cellStyle name="Zelle überprüfen 97" xfId="11622" xr:uid="{00000000-0005-0000-0000-0000F4680000}"/>
    <cellStyle name="Zelle überprüfen 97 2" xfId="21037" xr:uid="{00000000-0005-0000-0000-0000F5680000}"/>
    <cellStyle name="Zelle überprüfen 97_est. MEAT" xfId="26871" xr:uid="{00000000-0005-0000-0000-0000F6680000}"/>
    <cellStyle name="Zelle überprüfen 98" xfId="11623" xr:uid="{00000000-0005-0000-0000-0000F7680000}"/>
    <cellStyle name="Zelle überprüfen 98 2" xfId="21038" xr:uid="{00000000-0005-0000-0000-0000F8680000}"/>
    <cellStyle name="Zelle überprüfen 98_est. MEAT" xfId="26872" xr:uid="{00000000-0005-0000-0000-0000F9680000}"/>
    <cellStyle name="Zelle überprüfen 99" xfId="11624" xr:uid="{00000000-0005-0000-0000-0000FA680000}"/>
    <cellStyle name="Zelle überprüfen 99 2" xfId="21039" xr:uid="{00000000-0005-0000-0000-0000FB680000}"/>
    <cellStyle name="Zelle überprüfen 99_est. MEAT" xfId="26873" xr:uid="{00000000-0005-0000-0000-0000FC680000}"/>
    <cellStyle name="Zelle überprüfen_2012-2019" xfId="13445" xr:uid="{00000000-0005-0000-0000-0000FD680000}"/>
    <cellStyle name="zentr(hoch,quer)" xfId="11625" xr:uid="{00000000-0005-0000-0000-0000FE680000}"/>
    <cellStyle name="zentr(hoch,quer) 2" xfId="21040" xr:uid="{00000000-0005-0000-0000-0000FF680000}"/>
    <cellStyle name="zentr(hoch,quer)_est. MEAT" xfId="26874" xr:uid="{00000000-0005-0000-0000-000000690000}"/>
  </cellStyles>
  <dxfs count="789"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numFmt numFmtId="4" formatCode="#,##0.00"/>
      <border diagonalUp="0" diagonalDown="0" outline="0">
        <left/>
        <right/>
        <top/>
        <bottom/>
      </border>
    </dxf>
    <dxf>
      <numFmt numFmtId="4" formatCode="#,##0.00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7030A0"/>
        </patternFill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ont>
        <color rgb="FF00B05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ont>
        <color rgb="FFFF0000"/>
      </font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numFmt numFmtId="169" formatCode="_-* #,##0\ &quot;€&quot;_-;\-* #,##0\ &quot;€&quot;_-;_-* &quot;-&quot;??\ &quot;€&quot;_-;_-@_-"/>
    </dxf>
    <dxf>
      <numFmt numFmtId="169" formatCode="_-* #,##0\ &quot;€&quot;_-;\-* #,##0\ &quot;€&quot;_-;_-* &quot;-&quot;??\ &quot;€&quot;_-;_-@_-"/>
    </dxf>
    <dxf>
      <numFmt numFmtId="169" formatCode="_-* #,##0\ &quot;€&quot;_-;\-* #,##0\ &quot;€&quot;_-;_-* &quot;-&quot;??\ &quot;€&quot;_-;_-@_-"/>
    </dxf>
    <dxf>
      <numFmt numFmtId="169" formatCode="_-* #,##0\ &quot;€&quot;_-;\-* #,##0\ &quot;€&quot;_-;_-* &quot;-&quot;??\ &quot;€&quot;_-;_-@_-"/>
    </dxf>
    <dxf>
      <font>
        <b/>
        <i val="0"/>
        <color rgb="FFFF0000"/>
      </font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C5D9F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numFmt numFmtId="13" formatCode="0%"/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* #,##0\ &quot;€&quot;_-;\-* #,##0\ &quot;€&quot;_-;_-* &quot;-&quot;??\ &quot;€&quot;_-;_-@_-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8" formatCode="dd/mm/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\ &quot;€&quot;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_-* #,##0\ &quot;€&quot;_-;\-* #,##0\ &quot;€&quot;_-;_-* &quot;-&quot;??\ &quot;€&quot;_-;_-@_-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#,##0\ &quot;€&quot;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8" formatCode="dd/mm/yy;@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8" formatCode="dd/mm/yy;@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5D9F1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8DB4E2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ont>
        <color rgb="FFFF0000"/>
      </font>
    </dxf>
    <dxf>
      <font>
        <color rgb="FFFF0000"/>
      </font>
    </dxf>
    <dxf>
      <fill>
        <patternFill patternType="darkDown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</dxf>
    <dxf>
      <fill>
        <patternFill>
          <fgColor indexed="64"/>
          <bgColor rgb="FF203764"/>
        </patternFill>
      </fill>
    </dxf>
  </dxfs>
  <tableStyles count="0" defaultTableStyle="TableStyleMedium2" defaultPivotStyle="PivotStyleLight16"/>
  <colors>
    <mruColors>
      <color rgb="FFC5D9F1"/>
      <color rgb="FF203764"/>
      <color rgb="FF808080"/>
      <color rgb="FFB7B5DD"/>
      <color rgb="FFB7B579"/>
      <color rgb="FFB4C6E7"/>
      <color rgb="FF4A7EBB"/>
      <color rgb="FFFABF2B"/>
      <color rgb="FFDCE6F1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6962228097102E-2"/>
          <c:y val="5.1486873493331316E-2"/>
          <c:w val="0.83312661762263718"/>
          <c:h val="0.88439912636819673"/>
        </c:manualLayout>
      </c:layout>
      <c:barChart>
        <c:barDir val="col"/>
        <c:grouping val="clustered"/>
        <c:varyColors val="0"/>
        <c:ser>
          <c:idx val="6"/>
          <c:order val="0"/>
          <c:tx>
            <c:strRef>
              <c:f>'Weekly Data'!$B$2</c:f>
              <c:strCache>
                <c:ptCount val="1"/>
                <c:pt idx="0">
                  <c:v> Devis 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</c:spPr>
          <c:invertIfNegative val="0"/>
          <c:val>
            <c:numRef>
              <c:f>'Weekly Data'!$C$2:$BB$2</c:f>
              <c:numCache>
                <c:formatCode>_-* #\ ##0\ [$€-407]_-;\-* #\ ##0\ [$€-407]_-;_-* "-"??\ [$€-407]_-;_-@_-</c:formatCode>
                <c:ptCount val="52"/>
                <c:pt idx="0">
                  <c:v>12719</c:v>
                </c:pt>
                <c:pt idx="1">
                  <c:v>43355</c:v>
                </c:pt>
                <c:pt idx="2">
                  <c:v>27121</c:v>
                </c:pt>
                <c:pt idx="3">
                  <c:v>660</c:v>
                </c:pt>
                <c:pt idx="4">
                  <c:v>21496</c:v>
                </c:pt>
                <c:pt idx="5">
                  <c:v>14804</c:v>
                </c:pt>
                <c:pt idx="6">
                  <c:v>71457.399999999994</c:v>
                </c:pt>
                <c:pt idx="7">
                  <c:v>1915</c:v>
                </c:pt>
                <c:pt idx="8">
                  <c:v>23765</c:v>
                </c:pt>
                <c:pt idx="9">
                  <c:v>5007</c:v>
                </c:pt>
                <c:pt idx="10">
                  <c:v>26736</c:v>
                </c:pt>
                <c:pt idx="11">
                  <c:v>707</c:v>
                </c:pt>
                <c:pt idx="12">
                  <c:v>3180</c:v>
                </c:pt>
                <c:pt idx="13">
                  <c:v>18533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5F-407A-AB49-8157494358D7}"/>
            </c:ext>
          </c:extLst>
        </c:ser>
        <c:ser>
          <c:idx val="0"/>
          <c:order val="1"/>
          <c:tx>
            <c:strRef>
              <c:f>'Weekly Data'!$B$3</c:f>
              <c:strCache>
                <c:ptCount val="1"/>
                <c:pt idx="0">
                  <c:v> Cmde 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invertIfNegative val="0"/>
          <c:val>
            <c:numRef>
              <c:f>'Weekly Data'!$C$3:$BB$3</c:f>
              <c:numCache>
                <c:formatCode>_-* #\ ##0\ [$€-407]_-;\-* #\ ##0\ [$€-407]_-;_-* "-"??\ [$€-407]_-;_-@_-</c:formatCode>
                <c:ptCount val="52"/>
                <c:pt idx="0">
                  <c:v>0</c:v>
                </c:pt>
                <c:pt idx="1">
                  <c:v>12384</c:v>
                </c:pt>
                <c:pt idx="2">
                  <c:v>660</c:v>
                </c:pt>
                <c:pt idx="3">
                  <c:v>8736</c:v>
                </c:pt>
                <c:pt idx="4">
                  <c:v>5150</c:v>
                </c:pt>
                <c:pt idx="5">
                  <c:v>3180</c:v>
                </c:pt>
                <c:pt idx="6">
                  <c:v>77275</c:v>
                </c:pt>
                <c:pt idx="7">
                  <c:v>33077</c:v>
                </c:pt>
                <c:pt idx="8">
                  <c:v>8097</c:v>
                </c:pt>
                <c:pt idx="9">
                  <c:v>13676</c:v>
                </c:pt>
                <c:pt idx="10">
                  <c:v>2396</c:v>
                </c:pt>
                <c:pt idx="11">
                  <c:v>12223</c:v>
                </c:pt>
                <c:pt idx="12">
                  <c:v>1386</c:v>
                </c:pt>
                <c:pt idx="13">
                  <c:v>15131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5F-407A-AB49-8157494358D7}"/>
            </c:ext>
          </c:extLst>
        </c:ser>
        <c:ser>
          <c:idx val="2"/>
          <c:order val="2"/>
          <c:tx>
            <c:strRef>
              <c:f>'Weekly Data'!$B$4</c:f>
              <c:strCache>
                <c:ptCount val="1"/>
                <c:pt idx="0">
                  <c:v> CA 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invertIfNegative val="0"/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Data'!$C$4:$BB$4</c:f>
              <c:numCache>
                <c:formatCode>_-* #\ ##0\ [$€-407]_-;\-* #\ ##0\ [$€-407]_-;_-* "-"??\ [$€-407]_-;_-@_-</c:formatCode>
                <c:ptCount val="52"/>
                <c:pt idx="0">
                  <c:v>0</c:v>
                </c:pt>
                <c:pt idx="1">
                  <c:v>3180</c:v>
                </c:pt>
                <c:pt idx="2">
                  <c:v>5516</c:v>
                </c:pt>
                <c:pt idx="3">
                  <c:v>0</c:v>
                </c:pt>
                <c:pt idx="4">
                  <c:v>660</c:v>
                </c:pt>
                <c:pt idx="5">
                  <c:v>20605</c:v>
                </c:pt>
                <c:pt idx="6">
                  <c:v>5085</c:v>
                </c:pt>
                <c:pt idx="7">
                  <c:v>6347</c:v>
                </c:pt>
                <c:pt idx="8">
                  <c:v>6416</c:v>
                </c:pt>
                <c:pt idx="9">
                  <c:v>5883.5</c:v>
                </c:pt>
                <c:pt idx="10">
                  <c:v>5120</c:v>
                </c:pt>
                <c:pt idx="11">
                  <c:v>14389</c:v>
                </c:pt>
                <c:pt idx="12">
                  <c:v>20320</c:v>
                </c:pt>
                <c:pt idx="13">
                  <c:v>15309</c:v>
                </c:pt>
                <c:pt idx="14">
                  <c:v>385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5F-407A-AB49-815749435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785216"/>
        <c:axId val="187786752"/>
      </c:barChart>
      <c:lineChart>
        <c:grouping val="standard"/>
        <c:varyColors val="0"/>
        <c:ser>
          <c:idx val="3"/>
          <c:order val="3"/>
          <c:tx>
            <c:strRef>
              <c:f>'Weekly Data'!$B$5</c:f>
              <c:strCache>
                <c:ptCount val="1"/>
                <c:pt idx="0">
                  <c:v> Expected Target OI </c:v>
                </c:pt>
              </c:strCache>
            </c:strRef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  <a:prstDash val="dash"/>
            </a:ln>
          </c:spPr>
          <c:marker>
            <c:symbol val="none"/>
          </c:marker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Data'!$C$5:$BB$5</c:f>
            </c:numRef>
          </c:val>
          <c:smooth val="0"/>
          <c:extLst>
            <c:ext xmlns:c16="http://schemas.microsoft.com/office/drawing/2014/chart" uri="{C3380CC4-5D6E-409C-BE32-E72D297353CC}">
              <c16:uniqueId val="{00000003-CC5F-407A-AB49-8157494358D7}"/>
            </c:ext>
          </c:extLst>
        </c:ser>
        <c:ser>
          <c:idx val="4"/>
          <c:order val="4"/>
          <c:tx>
            <c:strRef>
              <c:f>'Weekly Data'!$B$6</c:f>
              <c:strCache>
                <c:ptCount val="1"/>
                <c:pt idx="0">
                  <c:v> Expected Target Revenue 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val>
            <c:numRef>
              <c:f>'Weekly Data'!$C$6:$BB$6</c:f>
            </c:numRef>
          </c:val>
          <c:smooth val="0"/>
          <c:extLst>
            <c:ext xmlns:c16="http://schemas.microsoft.com/office/drawing/2014/chart" uri="{C3380CC4-5D6E-409C-BE32-E72D297353CC}">
              <c16:uniqueId val="{00000004-CC5F-407A-AB49-8157494358D7}"/>
            </c:ext>
          </c:extLst>
        </c:ser>
        <c:ser>
          <c:idx val="1"/>
          <c:order val="5"/>
          <c:tx>
            <c:strRef>
              <c:f>'Weekly Data'!$B$13</c:f>
              <c:strCache>
                <c:ptCount val="1"/>
                <c:pt idx="0">
                  <c:v>Backlog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  <a:prstDash val="sysDot"/>
            </a:ln>
          </c:spPr>
          <c:marker>
            <c:symbol val="none"/>
          </c:marker>
          <c:val>
            <c:numRef>
              <c:f>'Weekly Data'!$C$13:$BB$13</c:f>
              <c:numCache>
                <c:formatCode>_-* #\ ##0\ [$€-407]_-;\-* #\ ##0\ [$€-407]_-;_-* "-"??\ [$€-407]_-;_-@_-</c:formatCode>
                <c:ptCount val="52"/>
                <c:pt idx="0" formatCode="_-* #\ ##0\ &quot;€&quot;_-;\-* #\ ##0\ &quot;€&quot;_-;_-* &quot;-&quot;??\ &quot;€&quot;_-;_-@_-">
                  <c:v>39254</c:v>
                </c:pt>
                <c:pt idx="1">
                  <c:v>48458</c:v>
                </c:pt>
                <c:pt idx="2">
                  <c:v>43602</c:v>
                </c:pt>
                <c:pt idx="3">
                  <c:v>52338</c:v>
                </c:pt>
                <c:pt idx="4">
                  <c:v>56828</c:v>
                </c:pt>
                <c:pt idx="5">
                  <c:v>39403</c:v>
                </c:pt>
                <c:pt idx="6">
                  <c:v>111593</c:v>
                </c:pt>
                <c:pt idx="7">
                  <c:v>138323</c:v>
                </c:pt>
                <c:pt idx="8">
                  <c:v>140004</c:v>
                </c:pt>
                <c:pt idx="9">
                  <c:v>147796.5</c:v>
                </c:pt>
                <c:pt idx="10">
                  <c:v>145072.5</c:v>
                </c:pt>
                <c:pt idx="11">
                  <c:v>142906.5</c:v>
                </c:pt>
                <c:pt idx="12">
                  <c:v>123972.5</c:v>
                </c:pt>
                <c:pt idx="13">
                  <c:v>123794.5</c:v>
                </c:pt>
                <c:pt idx="14">
                  <c:v>123409.5</c:v>
                </c:pt>
                <c:pt idx="15">
                  <c:v>123409.5</c:v>
                </c:pt>
                <c:pt idx="16">
                  <c:v>123409.5</c:v>
                </c:pt>
                <c:pt idx="17">
                  <c:v>123409.5</c:v>
                </c:pt>
                <c:pt idx="18">
                  <c:v>123409.5</c:v>
                </c:pt>
                <c:pt idx="19">
                  <c:v>123409.5</c:v>
                </c:pt>
                <c:pt idx="20">
                  <c:v>123409.5</c:v>
                </c:pt>
                <c:pt idx="21">
                  <c:v>123409.5</c:v>
                </c:pt>
                <c:pt idx="22">
                  <c:v>123409.5</c:v>
                </c:pt>
                <c:pt idx="23">
                  <c:v>123409.5</c:v>
                </c:pt>
                <c:pt idx="24">
                  <c:v>123409.5</c:v>
                </c:pt>
                <c:pt idx="25">
                  <c:v>123409.5</c:v>
                </c:pt>
                <c:pt idx="26">
                  <c:v>123409.5</c:v>
                </c:pt>
                <c:pt idx="27">
                  <c:v>123409.5</c:v>
                </c:pt>
                <c:pt idx="28">
                  <c:v>123409.5</c:v>
                </c:pt>
                <c:pt idx="29">
                  <c:v>123409.5</c:v>
                </c:pt>
                <c:pt idx="30">
                  <c:v>123409.5</c:v>
                </c:pt>
                <c:pt idx="31">
                  <c:v>123409.5</c:v>
                </c:pt>
                <c:pt idx="32">
                  <c:v>123409.5</c:v>
                </c:pt>
                <c:pt idx="33">
                  <c:v>123409.5</c:v>
                </c:pt>
                <c:pt idx="34">
                  <c:v>123409.5</c:v>
                </c:pt>
                <c:pt idx="35">
                  <c:v>123409.5</c:v>
                </c:pt>
                <c:pt idx="36">
                  <c:v>123409.5</c:v>
                </c:pt>
                <c:pt idx="37">
                  <c:v>123409.5</c:v>
                </c:pt>
                <c:pt idx="38">
                  <c:v>123409.5</c:v>
                </c:pt>
                <c:pt idx="39">
                  <c:v>123409.5</c:v>
                </c:pt>
                <c:pt idx="40">
                  <c:v>123409.5</c:v>
                </c:pt>
                <c:pt idx="41">
                  <c:v>123409.5</c:v>
                </c:pt>
                <c:pt idx="42">
                  <c:v>123409.5</c:v>
                </c:pt>
                <c:pt idx="43">
                  <c:v>123409.5</c:v>
                </c:pt>
                <c:pt idx="44">
                  <c:v>123409.5</c:v>
                </c:pt>
                <c:pt idx="45">
                  <c:v>123409.5</c:v>
                </c:pt>
                <c:pt idx="46">
                  <c:v>123409.5</c:v>
                </c:pt>
                <c:pt idx="47">
                  <c:v>123409.5</c:v>
                </c:pt>
                <c:pt idx="48">
                  <c:v>123409.5</c:v>
                </c:pt>
                <c:pt idx="49">
                  <c:v>123409.5</c:v>
                </c:pt>
                <c:pt idx="50">
                  <c:v>123409.5</c:v>
                </c:pt>
                <c:pt idx="51">
                  <c:v>123409.5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5F-407A-AB49-815749435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785216"/>
        <c:axId val="187786752"/>
      </c:lineChart>
      <c:catAx>
        <c:axId val="187785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87786752"/>
        <c:crosses val="autoZero"/>
        <c:auto val="1"/>
        <c:lblAlgn val="ctr"/>
        <c:lblOffset val="100"/>
        <c:noMultiLvlLbl val="0"/>
      </c:catAx>
      <c:valAx>
        <c:axId val="187786752"/>
        <c:scaling>
          <c:orientation val="minMax"/>
        </c:scaling>
        <c:delete val="0"/>
        <c:axPos val="l"/>
        <c:majorGridlines/>
        <c:numFmt formatCode="_-* #\ ##0\ [$€-407]_-;\-* #\ ##0\ [$€-407]_-;_-* &quot;-&quot;??\ [$€-407]_-;_-@_-" sourceLinked="1"/>
        <c:majorTickMark val="out"/>
        <c:minorTickMark val="none"/>
        <c:tickLblPos val="nextTo"/>
        <c:crossAx val="187785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869414336045446"/>
          <c:y val="7.8904495607882749E-2"/>
          <c:w val="0.137533050823575"/>
          <c:h val="0.454465495851023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'Weekly Data'!$B$104</c:f>
              <c:strCache>
                <c:ptCount val="1"/>
                <c:pt idx="0">
                  <c:v>MITT. OI CUM </c:v>
                </c:pt>
              </c:strCache>
            </c:strRef>
          </c:tx>
          <c:marker>
            <c:symbol val="none"/>
          </c:marker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Data'!$C$104:$BB$104</c:f>
            </c:numRef>
          </c:val>
          <c:smooth val="0"/>
          <c:extLst>
            <c:ext xmlns:c16="http://schemas.microsoft.com/office/drawing/2014/chart" uri="{C3380CC4-5D6E-409C-BE32-E72D297353CC}">
              <c16:uniqueId val="{00000000-6BCB-45ED-A402-9ED41437C2A2}"/>
            </c:ext>
          </c:extLst>
        </c:ser>
        <c:ser>
          <c:idx val="1"/>
          <c:order val="1"/>
          <c:tx>
            <c:strRef>
              <c:f>'Weekly Data'!$B$105</c:f>
              <c:strCache>
                <c:ptCount val="1"/>
                <c:pt idx="0">
                  <c:v>MITT. REV CUM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Data'!$C$105:$BB$105</c:f>
            </c:numRef>
          </c:val>
          <c:smooth val="0"/>
          <c:extLst>
            <c:ext xmlns:c16="http://schemas.microsoft.com/office/drawing/2014/chart" uri="{C3380CC4-5D6E-409C-BE32-E72D297353CC}">
              <c16:uniqueId val="{00000001-6BCB-45ED-A402-9ED41437C2A2}"/>
            </c:ext>
          </c:extLst>
        </c:ser>
        <c:ser>
          <c:idx val="2"/>
          <c:order val="2"/>
          <c:tx>
            <c:strRef>
              <c:f>'Weekly Data'!$B$107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'Weekly Data'!$C$107:$BB$107</c:f>
            </c:numRef>
          </c:val>
          <c:smooth val="0"/>
          <c:extLst>
            <c:ext xmlns:c16="http://schemas.microsoft.com/office/drawing/2014/chart" uri="{C3380CC4-5D6E-409C-BE32-E72D297353CC}">
              <c16:uniqueId val="{00000002-6BCB-45ED-A402-9ED41437C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22464"/>
        <c:axId val="187824000"/>
      </c:lineChart>
      <c:catAx>
        <c:axId val="18782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7824000"/>
        <c:crosses val="autoZero"/>
        <c:auto val="1"/>
        <c:lblAlgn val="ctr"/>
        <c:lblOffset val="100"/>
        <c:noMultiLvlLbl val="0"/>
      </c:catAx>
      <c:valAx>
        <c:axId val="1878240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7822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340157151711584"/>
          <c:y val="0.42028298830782296"/>
          <c:w val="0.11352070703198537"/>
          <c:h val="0.17926053361413083"/>
        </c:manualLayout>
      </c:layout>
      <c:overlay val="0"/>
      <c:txPr>
        <a:bodyPr/>
        <a:lstStyle/>
        <a:p>
          <a:pPr>
            <a:defRPr b="1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NEW STRUCTURE'!$B$22</c:f>
              <c:strCache>
                <c:ptCount val="1"/>
                <c:pt idx="0">
                  <c:v>CURRENT OI CUMULATED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STRUCTURE'!$C$22:$AI$22</c:f>
              <c:numCache>
                <c:formatCode>#\ ##0.0\ </c:formatCode>
                <c:ptCount val="12"/>
                <c:pt idx="0">
                  <c:v>340509.94999999995</c:v>
                </c:pt>
                <c:pt idx="1">
                  <c:v>433114.50973182113</c:v>
                </c:pt>
                <c:pt idx="2">
                  <c:v>967381.15973182116</c:v>
                </c:pt>
                <c:pt idx="3">
                  <c:v>1739707.1597318212</c:v>
                </c:pt>
                <c:pt idx="4">
                  <c:v>1739707.1597318212</c:v>
                </c:pt>
                <c:pt idx="5">
                  <c:v>1741652.1597318212</c:v>
                </c:pt>
                <c:pt idx="6">
                  <c:v>2506156.7306328351</c:v>
                </c:pt>
                <c:pt idx="7">
                  <c:v>2877768.7274972992</c:v>
                </c:pt>
                <c:pt idx="8">
                  <c:v>3028355.8474972993</c:v>
                </c:pt>
                <c:pt idx="9">
                  <c:v>3256823.6808306328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7-49FB-B30D-F0868915E518}"/>
            </c:ext>
          </c:extLst>
        </c:ser>
        <c:ser>
          <c:idx val="1"/>
          <c:order val="1"/>
          <c:tx>
            <c:strRef>
              <c:f>'GRAPH NEW STRUCTURE'!$B$23</c:f>
              <c:strCache>
                <c:ptCount val="1"/>
                <c:pt idx="0">
                  <c:v>BUDGET OI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STRUCTURE'!$C$23:$AI$23</c:f>
              <c:numCache>
                <c:formatCode>#\ ##0.0\ </c:formatCode>
                <c:ptCount val="12"/>
                <c:pt idx="0">
                  <c:v>628750</c:v>
                </c:pt>
                <c:pt idx="1">
                  <c:v>1257500</c:v>
                </c:pt>
                <c:pt idx="2">
                  <c:v>1886250</c:v>
                </c:pt>
                <c:pt idx="3">
                  <c:v>2515000</c:v>
                </c:pt>
                <c:pt idx="4">
                  <c:v>3143750</c:v>
                </c:pt>
                <c:pt idx="5">
                  <c:v>3772500</c:v>
                </c:pt>
                <c:pt idx="6">
                  <c:v>4401250</c:v>
                </c:pt>
                <c:pt idx="7">
                  <c:v>5030000</c:v>
                </c:pt>
                <c:pt idx="8">
                  <c:v>5658750</c:v>
                </c:pt>
                <c:pt idx="9">
                  <c:v>6287500</c:v>
                </c:pt>
                <c:pt idx="10">
                  <c:v>6916250</c:v>
                </c:pt>
                <c:pt idx="11">
                  <c:v>7545000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97-49FB-B30D-F0868915E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427824"/>
        <c:axId val="480435696"/>
      </c:lineChart>
      <c:catAx>
        <c:axId val="480427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0435696"/>
        <c:crosses val="autoZero"/>
        <c:auto val="1"/>
        <c:lblAlgn val="ctr"/>
        <c:lblOffset val="100"/>
        <c:noMultiLvlLbl val="0"/>
      </c:catAx>
      <c:valAx>
        <c:axId val="4804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042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Service Station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NEW STRUCTURE'!$B$55</c:f>
              <c:strCache>
                <c:ptCount val="1"/>
                <c:pt idx="0">
                  <c:v>Revenue Service Current Cumulated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STRUCTURE'!$C$55:$AC$55</c:f>
              <c:numCache>
                <c:formatCode>#\ ##0.0\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27271.5</c:v>
                </c:pt>
                <c:pt idx="8">
                  <c:v>44630</c:v>
                </c:pt>
                <c:pt idx="9">
                  <c:v>90046.666666666657</c:v>
                </c:pt>
                <c:pt idx="10">
                  <c:v>131713.33333333331</c:v>
                </c:pt>
                <c:pt idx="11">
                  <c:v>173379.99999999997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D6-4E5D-BB2D-CB98C2E2C523}"/>
            </c:ext>
          </c:extLst>
        </c:ser>
        <c:ser>
          <c:idx val="1"/>
          <c:order val="1"/>
          <c:tx>
            <c:strRef>
              <c:f>'GRAPH NEW STRUCTURE'!$B$56</c:f>
              <c:strCache>
                <c:ptCount val="1"/>
                <c:pt idx="0">
                  <c:v>Revenue Service Station Budget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STRUCTURE'!$C$56:$AC$56</c:f>
              <c:numCache>
                <c:formatCode>#\ ##0.0\ </c:formatCode>
                <c:ptCount val="12"/>
                <c:pt idx="0">
                  <c:v>41666.666666666664</c:v>
                </c:pt>
                <c:pt idx="1">
                  <c:v>83333.333333333328</c:v>
                </c:pt>
                <c:pt idx="2">
                  <c:v>125000</c:v>
                </c:pt>
                <c:pt idx="3">
                  <c:v>166666.66666666666</c:v>
                </c:pt>
                <c:pt idx="4">
                  <c:v>208333.33333333331</c:v>
                </c:pt>
                <c:pt idx="5">
                  <c:v>250000</c:v>
                </c:pt>
                <c:pt idx="6">
                  <c:v>291666.66666666663</c:v>
                </c:pt>
                <c:pt idx="7">
                  <c:v>333333.33333333331</c:v>
                </c:pt>
                <c:pt idx="8">
                  <c:v>375000</c:v>
                </c:pt>
                <c:pt idx="9">
                  <c:v>416666.66666666663</c:v>
                </c:pt>
                <c:pt idx="10">
                  <c:v>458333.33333333331</c:v>
                </c:pt>
                <c:pt idx="11">
                  <c:v>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D6-4E5D-BB2D-CB98C2E2C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245944"/>
        <c:axId val="479241024"/>
      </c:lineChart>
      <c:catAx>
        <c:axId val="479245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9241024"/>
        <c:crosses val="autoZero"/>
        <c:auto val="1"/>
        <c:lblAlgn val="ctr"/>
        <c:lblOffset val="100"/>
        <c:noMultiLvlLbl val="0"/>
      </c:catAx>
      <c:valAx>
        <c:axId val="4792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9245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CM2</a:t>
            </a:r>
            <a:r>
              <a:rPr lang="en-US" baseline="0"/>
              <a:t> Service Station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NEW STRUCTURE'!$B$52:$C$52</c:f>
              <c:strCache>
                <c:ptCount val="2"/>
                <c:pt idx="0">
                  <c:v>CM2 Service Station Cumulated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STRUCTURE'!$D$52:$AC$52</c:f>
              <c:numCache>
                <c:formatCode>#\ ##0.0\ </c:formatCode>
                <c:ptCount val="12"/>
                <c:pt idx="0">
                  <c:v>10974</c:v>
                </c:pt>
                <c:pt idx="1">
                  <c:v>21995</c:v>
                </c:pt>
                <c:pt idx="2">
                  <c:v>22459</c:v>
                </c:pt>
                <c:pt idx="3">
                  <c:v>27810</c:v>
                </c:pt>
                <c:pt idx="4">
                  <c:v>32749</c:v>
                </c:pt>
                <c:pt idx="5">
                  <c:v>15080</c:v>
                </c:pt>
                <c:pt idx="6">
                  <c:v>83379</c:v>
                </c:pt>
                <c:pt idx="7">
                  <c:v>101212.33333333333</c:v>
                </c:pt>
                <c:pt idx="8">
                  <c:v>106151.33333333333</c:v>
                </c:pt>
                <c:pt idx="9">
                  <c:v>88482.333333333328</c:v>
                </c:pt>
                <c:pt idx="10">
                  <c:v>156781.33333333331</c:v>
                </c:pt>
                <c:pt idx="11">
                  <c:v>174614.66666666666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B-45BB-B054-4EAB47699024}"/>
            </c:ext>
          </c:extLst>
        </c:ser>
        <c:ser>
          <c:idx val="1"/>
          <c:order val="1"/>
          <c:tx>
            <c:strRef>
              <c:f>'GRAPH NEW STRUCTURE'!$B$53:$C$53</c:f>
              <c:strCache>
                <c:ptCount val="2"/>
                <c:pt idx="0">
                  <c:v>CM2 Service Station Budget</c:v>
                </c:pt>
                <c:pt idx="1">
                  <c:v>k€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STRUCTURE'!$D$53:$AC$53</c:f>
              <c:numCache>
                <c:formatCode>#\ ##0.0\ </c:formatCode>
                <c:ptCount val="12"/>
                <c:pt idx="0">
                  <c:v>17833.333333333332</c:v>
                </c:pt>
                <c:pt idx="1">
                  <c:v>35666.666666666664</c:v>
                </c:pt>
                <c:pt idx="2">
                  <c:v>53500</c:v>
                </c:pt>
                <c:pt idx="3">
                  <c:v>71333.333333333328</c:v>
                </c:pt>
                <c:pt idx="4">
                  <c:v>89166.666666666657</c:v>
                </c:pt>
                <c:pt idx="5">
                  <c:v>107000</c:v>
                </c:pt>
                <c:pt idx="6">
                  <c:v>124833.33333333333</c:v>
                </c:pt>
                <c:pt idx="7">
                  <c:v>142666.66666666666</c:v>
                </c:pt>
                <c:pt idx="8">
                  <c:v>160500</c:v>
                </c:pt>
                <c:pt idx="9">
                  <c:v>178333.33333333331</c:v>
                </c:pt>
                <c:pt idx="10">
                  <c:v>196166.66666666666</c:v>
                </c:pt>
                <c:pt idx="11">
                  <c:v>214000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B-45BB-B054-4EAB47699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409128"/>
        <c:axId val="480409784"/>
      </c:lineChart>
      <c:catAx>
        <c:axId val="480409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0409784"/>
        <c:crosses val="autoZero"/>
        <c:auto val="1"/>
        <c:lblAlgn val="ctr"/>
        <c:lblOffset val="100"/>
        <c:noMultiLvlLbl val="0"/>
      </c:catAx>
      <c:valAx>
        <c:axId val="48040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0409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Primary Costs</a:t>
            </a:r>
          </a:p>
        </c:rich>
      </c:tx>
      <c:layout>
        <c:manualLayout>
          <c:xMode val="edge"/>
          <c:yMode val="edge"/>
          <c:x val="0.42060411198600178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NEW STRUCTURE'!$B$49:$C$49</c:f>
              <c:strCache>
                <c:ptCount val="2"/>
                <c:pt idx="0">
                  <c:v>Primary Costs Cumulated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STRUCTURE'!$D$49:$AC$49</c:f>
              <c:numCache>
                <c:formatCode>#\ ##0.0\ </c:formatCode>
                <c:ptCount val="12"/>
                <c:pt idx="0">
                  <c:v>80.292000000000002</c:v>
                </c:pt>
                <c:pt idx="1">
                  <c:v>155.41399999999999</c:v>
                </c:pt>
                <c:pt idx="2">
                  <c:v>246.88299999999998</c:v>
                </c:pt>
                <c:pt idx="3">
                  <c:v>338.37199999999996</c:v>
                </c:pt>
                <c:pt idx="4">
                  <c:v>438.29999999999995</c:v>
                </c:pt>
                <c:pt idx="5">
                  <c:v>534.51900000000001</c:v>
                </c:pt>
                <c:pt idx="6">
                  <c:v>621.471</c:v>
                </c:pt>
                <c:pt idx="7">
                  <c:v>717.221</c:v>
                </c:pt>
                <c:pt idx="8">
                  <c:v>812.971</c:v>
                </c:pt>
                <c:pt idx="9">
                  <c:v>908.721</c:v>
                </c:pt>
                <c:pt idx="10">
                  <c:v>1004.471</c:v>
                </c:pt>
                <c:pt idx="11">
                  <c:v>1100.221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A-41A5-B0F7-E97A7430874F}"/>
            </c:ext>
          </c:extLst>
        </c:ser>
        <c:ser>
          <c:idx val="1"/>
          <c:order val="1"/>
          <c:tx>
            <c:strRef>
              <c:f>'GRAPH NEW STRUCTURE'!$B$50:$C$50</c:f>
              <c:strCache>
                <c:ptCount val="2"/>
                <c:pt idx="0">
                  <c:v>Primary Costs Budget</c:v>
                </c:pt>
                <c:pt idx="1">
                  <c:v>m€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STRUCTURE'!$D$50:$AC$50</c:f>
              <c:numCache>
                <c:formatCode>#\ ##0.0\ </c:formatCode>
                <c:ptCount val="12"/>
                <c:pt idx="0">
                  <c:v>95.75</c:v>
                </c:pt>
                <c:pt idx="1">
                  <c:v>191.5</c:v>
                </c:pt>
                <c:pt idx="2">
                  <c:v>287.25</c:v>
                </c:pt>
                <c:pt idx="3">
                  <c:v>383</c:v>
                </c:pt>
                <c:pt idx="4">
                  <c:v>478.75</c:v>
                </c:pt>
                <c:pt idx="5">
                  <c:v>574.5</c:v>
                </c:pt>
                <c:pt idx="6">
                  <c:v>670.25</c:v>
                </c:pt>
                <c:pt idx="7">
                  <c:v>766</c:v>
                </c:pt>
                <c:pt idx="8">
                  <c:v>861.75</c:v>
                </c:pt>
                <c:pt idx="9">
                  <c:v>957.5</c:v>
                </c:pt>
                <c:pt idx="10">
                  <c:v>1053.25</c:v>
                </c:pt>
                <c:pt idx="11">
                  <c:v>1149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6A-41A5-B0F7-E97A74308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431432"/>
        <c:axId val="480431760"/>
      </c:lineChart>
      <c:catAx>
        <c:axId val="480431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0431760"/>
        <c:crosses val="autoZero"/>
        <c:auto val="1"/>
        <c:lblAlgn val="ctr"/>
        <c:lblOffset val="100"/>
        <c:noMultiLvlLbl val="0"/>
      </c:catAx>
      <c:valAx>
        <c:axId val="4804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043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NEW STRUCTURE'!$B$41</c:f>
              <c:strCache>
                <c:ptCount val="1"/>
                <c:pt idx="0">
                  <c:v>CURRENT REVENUE CUMULATED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STRUCTURE'!$C$41:$AC$41</c:f>
              <c:numCache>
                <c:formatCode>#\ ##0.0\ </c:formatCode>
                <c:ptCount val="12"/>
                <c:pt idx="0">
                  <c:v>387460</c:v>
                </c:pt>
                <c:pt idx="1">
                  <c:v>683835.80999999994</c:v>
                </c:pt>
                <c:pt idx="2">
                  <c:v>860215.30999999994</c:v>
                </c:pt>
                <c:pt idx="3">
                  <c:v>861882.30999999994</c:v>
                </c:pt>
                <c:pt idx="4">
                  <c:v>861882.30999999994</c:v>
                </c:pt>
                <c:pt idx="5">
                  <c:v>861882.30999999994</c:v>
                </c:pt>
                <c:pt idx="6">
                  <c:v>861882.30999999994</c:v>
                </c:pt>
                <c:pt idx="7">
                  <c:v>1416983.81</c:v>
                </c:pt>
                <c:pt idx="8">
                  <c:v>1613029.81</c:v>
                </c:pt>
                <c:pt idx="9">
                  <c:v>2165529.81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E0-419B-8F07-4706670B3BA3}"/>
            </c:ext>
          </c:extLst>
        </c:ser>
        <c:ser>
          <c:idx val="1"/>
          <c:order val="1"/>
          <c:tx>
            <c:strRef>
              <c:f>'GRAPH NEW STRUCTURE'!$B$42</c:f>
              <c:strCache>
                <c:ptCount val="1"/>
                <c:pt idx="0">
                  <c:v>BUDGET OI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'GRAPH NEW STRUCTURE'!$C$42:$AC$42</c:f>
              <c:numCache>
                <c:formatCode>#\ ##0.0\ </c:formatCode>
                <c:ptCount val="12"/>
                <c:pt idx="0">
                  <c:v>628750</c:v>
                </c:pt>
                <c:pt idx="1">
                  <c:v>1257500</c:v>
                </c:pt>
                <c:pt idx="2">
                  <c:v>1886250</c:v>
                </c:pt>
                <c:pt idx="3">
                  <c:v>2515000</c:v>
                </c:pt>
                <c:pt idx="4">
                  <c:v>3143750</c:v>
                </c:pt>
                <c:pt idx="5">
                  <c:v>3772500</c:v>
                </c:pt>
                <c:pt idx="6">
                  <c:v>4401250</c:v>
                </c:pt>
                <c:pt idx="7">
                  <c:v>5030000</c:v>
                </c:pt>
                <c:pt idx="8">
                  <c:v>5658750</c:v>
                </c:pt>
                <c:pt idx="9">
                  <c:v>6287500</c:v>
                </c:pt>
                <c:pt idx="10">
                  <c:v>6916250</c:v>
                </c:pt>
                <c:pt idx="11">
                  <c:v>7545000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E0-419B-8F07-4706670B3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989040"/>
        <c:axId val="370984776"/>
      </c:lineChart>
      <c:catAx>
        <c:axId val="370989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984776"/>
        <c:crosses val="autoZero"/>
        <c:auto val="1"/>
        <c:lblAlgn val="ctr"/>
        <c:lblOffset val="100"/>
        <c:noMultiLvlLbl val="0"/>
      </c:catAx>
      <c:valAx>
        <c:axId val="37098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98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HYFR Revenue 2021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2521767953457045"/>
          <c:y val="8.9178329791855207E-2"/>
          <c:w val="0.7673734202389727"/>
          <c:h val="0.68382624489784338"/>
        </c:manualLayout>
      </c:layout>
      <c:lineChart>
        <c:grouping val="standard"/>
        <c:varyColors val="0"/>
        <c:ser>
          <c:idx val="2"/>
          <c:order val="0"/>
          <c:tx>
            <c:strRef>
              <c:f>Reporting!$A$47</c:f>
              <c:strCache>
                <c:ptCount val="1"/>
                <c:pt idx="0">
                  <c:v>Planned HYFR Revenue YTD (2021)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Reporting!$C$47:$N$47</c:f>
              <c:numCache>
                <c:formatCode>_-* #\ ##0\ "€"_-;\-* #\ ##0\ "€"_-;_-* "-"??\ "€"_-;_-@_-</c:formatCode>
                <c:ptCount val="12"/>
                <c:pt idx="0">
                  <c:v>112254.33333333333</c:v>
                </c:pt>
                <c:pt idx="1">
                  <c:v>224508.66666666666</c:v>
                </c:pt>
                <c:pt idx="2">
                  <c:v>336763</c:v>
                </c:pt>
                <c:pt idx="3">
                  <c:v>449017.33333333331</c:v>
                </c:pt>
                <c:pt idx="4">
                  <c:v>561271.66666666663</c:v>
                </c:pt>
                <c:pt idx="5">
                  <c:v>673526</c:v>
                </c:pt>
                <c:pt idx="6">
                  <c:v>785780.33333333337</c:v>
                </c:pt>
                <c:pt idx="7">
                  <c:v>898034.66666666674</c:v>
                </c:pt>
                <c:pt idx="8">
                  <c:v>1010289.0000000001</c:v>
                </c:pt>
                <c:pt idx="9">
                  <c:v>1122543.3333333335</c:v>
                </c:pt>
                <c:pt idx="10">
                  <c:v>1234797.6666666667</c:v>
                </c:pt>
                <c:pt idx="11">
                  <c:v>1347052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244-43F5-94EE-389F72736ED2}"/>
            </c:ext>
          </c:extLst>
        </c:ser>
        <c:ser>
          <c:idx val="1"/>
          <c:order val="1"/>
          <c:tx>
            <c:strRef>
              <c:f>Reporting!$A$48</c:f>
              <c:strCache>
                <c:ptCount val="1"/>
                <c:pt idx="0">
                  <c:v>Actual HYFR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Reporting!$C$48:$N$48</c:f>
              <c:numCache>
                <c:formatCode>_-* #\ ##0\ "€"_-;\-* #\ ##0\ "€"_-;_-* "-"??\ "€"_-;_-@_-</c:formatCode>
                <c:ptCount val="12"/>
                <c:pt idx="0">
                  <c:v>28780.974999999999</c:v>
                </c:pt>
                <c:pt idx="1">
                  <c:v>50109.210749999991</c:v>
                </c:pt>
                <c:pt idx="2">
                  <c:v>64850.31074999999</c:v>
                </c:pt>
                <c:pt idx="3">
                  <c:v>64903.93574999999</c:v>
                </c:pt>
                <c:pt idx="4">
                  <c:v>64903.93574999999</c:v>
                </c:pt>
                <c:pt idx="5">
                  <c:v>64903.93574999999</c:v>
                </c:pt>
                <c:pt idx="6">
                  <c:v>64903.93574999999</c:v>
                </c:pt>
                <c:pt idx="7">
                  <c:v>64903.93574999999</c:v>
                </c:pt>
                <c:pt idx="8">
                  <c:v>64903.93574999999</c:v>
                </c:pt>
                <c:pt idx="9">
                  <c:v>64903.93574999999</c:v>
                </c:pt>
                <c:pt idx="10">
                  <c:v>64903.93574999999</c:v>
                </c:pt>
                <c:pt idx="11">
                  <c:v>64903.93574999999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244-43F5-94EE-389F72736ED2}"/>
            </c:ext>
          </c:extLst>
        </c:ser>
        <c:ser>
          <c:idx val="3"/>
          <c:order val="2"/>
          <c:tx>
            <c:strRef>
              <c:f>Reporting!$A$49</c:f>
              <c:strCache>
                <c:ptCount val="1"/>
                <c:pt idx="0">
                  <c:v>Actual HYFR Revenu 2020 YTD (incl Trading)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Reporting!$C$49:$N$49</c:f>
              <c:numCache>
                <c:formatCode>_-* #\ ##0\ "€"_-;\-* #\ ##0\ "€"_-;_-* "-"??\ "€"_-;_-@_-</c:formatCode>
                <c:ptCount val="12"/>
                <c:pt idx="0">
                  <c:v>26646.174999999999</c:v>
                </c:pt>
                <c:pt idx="1">
                  <c:v>52477.875</c:v>
                </c:pt>
                <c:pt idx="2">
                  <c:v>131447.57500000001</c:v>
                </c:pt>
                <c:pt idx="3">
                  <c:v>145191.76749999999</c:v>
                </c:pt>
                <c:pt idx="4">
                  <c:v>188235.34249999997</c:v>
                </c:pt>
                <c:pt idx="5">
                  <c:v>240760.01749999999</c:v>
                </c:pt>
                <c:pt idx="6">
                  <c:v>312229.54249999998</c:v>
                </c:pt>
                <c:pt idx="7">
                  <c:v>345363.79249999998</c:v>
                </c:pt>
                <c:pt idx="8">
                  <c:v>362158.39249999996</c:v>
                </c:pt>
                <c:pt idx="9">
                  <c:v>374043.38124999998</c:v>
                </c:pt>
                <c:pt idx="10">
                  <c:v>406627.58124999999</c:v>
                </c:pt>
                <c:pt idx="11">
                  <c:v>503097.80625000002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FF-433F-9FA9-B1FAC5BE4939}"/>
            </c:ext>
          </c:extLst>
        </c:ser>
        <c:ser>
          <c:idx val="0"/>
          <c:order val="3"/>
          <c:tx>
            <c:strRef>
              <c:f>Reporting!$A$39</c:f>
              <c:strCache>
                <c:ptCount val="1"/>
                <c:pt idx="0">
                  <c:v>Actual FCP &amp; Service Revenue YTD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Reporting!$C$39:$N$39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44-43F5-94EE-389F72736ED2}"/>
            </c:ext>
          </c:extLst>
        </c:ser>
        <c:ser>
          <c:idx val="11"/>
          <c:order val="4"/>
          <c:tx>
            <c:strRef>
              <c:f>Reporting!$A$42</c:f>
              <c:strCache>
                <c:ptCount val="1"/>
                <c:pt idx="0">
                  <c:v>Actual AIA Revenue YTD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Reporting!$C$42:$N$42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244-43F5-94EE-389F72736ED2}"/>
            </c:ext>
          </c:extLst>
        </c:ser>
        <c:ser>
          <c:idx val="8"/>
          <c:order val="5"/>
          <c:tx>
            <c:strRef>
              <c:f>Reporting!$A$45</c:f>
              <c:strCache>
                <c:ptCount val="1"/>
                <c:pt idx="0">
                  <c:v>Actual GSE/Tools Commissions Revenue YTD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Reporting!$C$45:$N$45</c:f>
              <c:numCache>
                <c:formatCode>_-* #\ ##0\ "€"_-;\-* #\ ##0\ "€"_-;_-* "-"??\ "€"_-;_-@_-</c:formatCode>
                <c:ptCount val="12"/>
                <c:pt idx="0">
                  <c:v>28780.974999999999</c:v>
                </c:pt>
                <c:pt idx="1">
                  <c:v>50109.210749999991</c:v>
                </c:pt>
                <c:pt idx="2">
                  <c:v>64850.31074999999</c:v>
                </c:pt>
                <c:pt idx="3">
                  <c:v>64903.93574999999</c:v>
                </c:pt>
                <c:pt idx="4">
                  <c:v>64903.93574999999</c:v>
                </c:pt>
                <c:pt idx="5">
                  <c:v>64903.93574999999</c:v>
                </c:pt>
                <c:pt idx="6">
                  <c:v>64903.93574999999</c:v>
                </c:pt>
                <c:pt idx="7">
                  <c:v>64903.93574999999</c:v>
                </c:pt>
                <c:pt idx="8">
                  <c:v>64903.93574999999</c:v>
                </c:pt>
                <c:pt idx="9">
                  <c:v>64903.93574999999</c:v>
                </c:pt>
                <c:pt idx="10">
                  <c:v>64903.93574999999</c:v>
                </c:pt>
                <c:pt idx="11">
                  <c:v>64903.93574999999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44-43F5-94EE-389F72736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18400"/>
        <c:axId val="188920192"/>
      </c:lineChart>
      <c:dateAx>
        <c:axId val="188918400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88920192"/>
        <c:crosses val="autoZero"/>
        <c:auto val="1"/>
        <c:lblOffset val="100"/>
        <c:baseTimeUnit val="months"/>
      </c:dateAx>
      <c:valAx>
        <c:axId val="188920192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88918400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HYFR</a:t>
            </a:r>
            <a:r>
              <a:rPr lang="en-US" baseline="0"/>
              <a:t> Revenue Distribution 2021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Reporting!$A$3</c:f>
              <c:strCache>
                <c:ptCount val="1"/>
                <c:pt idx="0">
                  <c:v>FCP Revenue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Reporting!$C$3:$N$3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2A-4FDA-A31B-7BF64F4FC272}"/>
            </c:ext>
          </c:extLst>
        </c:ser>
        <c:ser>
          <c:idx val="1"/>
          <c:order val="1"/>
          <c:tx>
            <c:strRef>
              <c:f>Reporting!$A$4</c:f>
              <c:strCache>
                <c:ptCount val="1"/>
                <c:pt idx="0">
                  <c:v>Service Revenue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</c:spPr>
          <c:invertIfNegative val="0"/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Reporting!$C$4:$N$4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2A-4FDA-A31B-7BF64F4FC272}"/>
            </c:ext>
          </c:extLst>
        </c:ser>
        <c:ser>
          <c:idx val="2"/>
          <c:order val="2"/>
          <c:tx>
            <c:strRef>
              <c:f>Reporting!$A$5</c:f>
              <c:strCache>
                <c:ptCount val="1"/>
                <c:pt idx="0">
                  <c:v>Trading Revenue</c:v>
                </c:pt>
              </c:strCache>
            </c:strRef>
          </c:tx>
          <c:invertIfNegative val="0"/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Reporting!$C$5:$N$5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2A-4FDA-A31B-7BF64F4FC272}"/>
            </c:ext>
          </c:extLst>
        </c:ser>
        <c:ser>
          <c:idx val="3"/>
          <c:order val="3"/>
          <c:tx>
            <c:strRef>
              <c:f>Reporting!$A$10</c:f>
              <c:strCache>
                <c:ptCount val="1"/>
                <c:pt idx="0">
                  <c:v>GSE/Tools Commissions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Reporting!$C$10:$N$10</c:f>
              <c:numCache>
                <c:formatCode>_-* #\ ##0\ "€"_-;\-* #\ ##0\ "€"_-;_-* "-"??\ "€"_-;_-@_-</c:formatCode>
                <c:ptCount val="12"/>
                <c:pt idx="0">
                  <c:v>28780.974999999999</c:v>
                </c:pt>
                <c:pt idx="1">
                  <c:v>21328.235749999993</c:v>
                </c:pt>
                <c:pt idx="2">
                  <c:v>14741.099999999999</c:v>
                </c:pt>
                <c:pt idx="3">
                  <c:v>53.625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2A-4FDA-A31B-7BF64F4FC272}"/>
            </c:ext>
          </c:extLst>
        </c:ser>
        <c:ser>
          <c:idx val="4"/>
          <c:order val="4"/>
          <c:tx>
            <c:strRef>
              <c:f>Reporting!$A$12</c:f>
              <c:strCache>
                <c:ptCount val="1"/>
                <c:pt idx="0">
                  <c:v>AIA Revenue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</c:spPr>
          <c:invertIfNegative val="0"/>
          <c:dLbls>
            <c:dLbl>
              <c:idx val="1"/>
              <c:layout>
                <c:manualLayout>
                  <c:x val="-3.5448977347844288E-2"/>
                  <c:y val="-9.77011870879433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32C-4186-81C8-C5905821682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Reporting!$C$12:$N$12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2A-4FDA-A31B-7BF64F4F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104576"/>
        <c:axId val="196106112"/>
      </c:barChart>
      <c:lineChart>
        <c:grouping val="standard"/>
        <c:varyColors val="0"/>
        <c:ser>
          <c:idx val="6"/>
          <c:order val="6"/>
          <c:tx>
            <c:strRef>
              <c:f>Reporting!$A$30</c:f>
              <c:strCache>
                <c:ptCount val="1"/>
                <c:pt idx="0">
                  <c:v>Actual FCP Revenue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Reporting!$C$30:$N$30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2A-4FDA-A31B-7BF64F4FC272}"/>
            </c:ext>
          </c:extLst>
        </c:ser>
        <c:ser>
          <c:idx val="7"/>
          <c:order val="7"/>
          <c:tx>
            <c:strRef>
              <c:f>Reporting!$A$33</c:f>
              <c:strCache>
                <c:ptCount val="1"/>
                <c:pt idx="0">
                  <c:v>Actual Service Revenue YTD</c:v>
                </c:pt>
              </c:strCache>
            </c:strRef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val>
            <c:numRef>
              <c:f>Reporting!$C$33:$N$33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2A-4FDA-A31B-7BF64F4FC272}"/>
            </c:ext>
          </c:extLst>
        </c:ser>
        <c:ser>
          <c:idx val="10"/>
          <c:order val="8"/>
          <c:tx>
            <c:strRef>
              <c:f>Reporting!$A$36</c:f>
              <c:strCache>
                <c:ptCount val="1"/>
                <c:pt idx="0">
                  <c:v>Actual Trading Revenue YTD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Reporting!$C$36:$N$36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2A-4FDA-A31B-7BF64F4FC272}"/>
            </c:ext>
          </c:extLst>
        </c:ser>
        <c:ser>
          <c:idx val="11"/>
          <c:order val="9"/>
          <c:tx>
            <c:strRef>
              <c:f>Reporting!$A$42</c:f>
              <c:strCache>
                <c:ptCount val="1"/>
                <c:pt idx="0">
                  <c:v>Actual AIA Revenue YTD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val>
            <c:numRef>
              <c:f>Reporting!$C$42:$N$42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E2A-4FDA-A31B-7BF64F4FC272}"/>
            </c:ext>
          </c:extLst>
        </c:ser>
        <c:ser>
          <c:idx val="8"/>
          <c:order val="10"/>
          <c:tx>
            <c:strRef>
              <c:f>Reporting!$A$45</c:f>
              <c:strCache>
                <c:ptCount val="1"/>
                <c:pt idx="0">
                  <c:v>Actual GSE/Tools Commissions Revenue YTD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Reporting!$C$45:$N$45</c:f>
              <c:numCache>
                <c:formatCode>_-* #\ ##0\ "€"_-;\-* #\ ##0\ "€"_-;_-* "-"??\ "€"_-;_-@_-</c:formatCode>
                <c:ptCount val="12"/>
                <c:pt idx="0">
                  <c:v>28780.974999999999</c:v>
                </c:pt>
                <c:pt idx="1">
                  <c:v>50109.210749999991</c:v>
                </c:pt>
                <c:pt idx="2">
                  <c:v>64850.31074999999</c:v>
                </c:pt>
                <c:pt idx="3">
                  <c:v>64903.93574999999</c:v>
                </c:pt>
                <c:pt idx="4">
                  <c:v>64903.93574999999</c:v>
                </c:pt>
                <c:pt idx="5">
                  <c:v>64903.93574999999</c:v>
                </c:pt>
                <c:pt idx="6">
                  <c:v>64903.93574999999</c:v>
                </c:pt>
                <c:pt idx="7">
                  <c:v>64903.93574999999</c:v>
                </c:pt>
                <c:pt idx="8">
                  <c:v>64903.93574999999</c:v>
                </c:pt>
                <c:pt idx="9">
                  <c:v>64903.93574999999</c:v>
                </c:pt>
                <c:pt idx="10">
                  <c:v>64903.93574999999</c:v>
                </c:pt>
                <c:pt idx="11">
                  <c:v>64903.93574999999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E2A-4FDA-A31B-7BF64F4F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04576"/>
        <c:axId val="196106112"/>
      </c:lineChart>
      <c:lineChart>
        <c:grouping val="standard"/>
        <c:varyColors val="0"/>
        <c:ser>
          <c:idx val="5"/>
          <c:order val="5"/>
          <c:tx>
            <c:strRef>
              <c:f>Reporting!$A$48</c:f>
              <c:strCache>
                <c:ptCount val="1"/>
                <c:pt idx="0">
                  <c:v>Actual HYFR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val>
            <c:numRef>
              <c:f>Reporting!$C$48:$N$48</c:f>
              <c:numCache>
                <c:formatCode>_-* #\ ##0\ "€"_-;\-* #\ ##0\ "€"_-;_-* "-"??\ "€"_-;_-@_-</c:formatCode>
                <c:ptCount val="12"/>
                <c:pt idx="0">
                  <c:v>28780.974999999999</c:v>
                </c:pt>
                <c:pt idx="1">
                  <c:v>50109.210749999991</c:v>
                </c:pt>
                <c:pt idx="2">
                  <c:v>64850.31074999999</c:v>
                </c:pt>
                <c:pt idx="3">
                  <c:v>64903.93574999999</c:v>
                </c:pt>
                <c:pt idx="4">
                  <c:v>64903.93574999999</c:v>
                </c:pt>
                <c:pt idx="5">
                  <c:v>64903.93574999999</c:v>
                </c:pt>
                <c:pt idx="6">
                  <c:v>64903.93574999999</c:v>
                </c:pt>
                <c:pt idx="7">
                  <c:v>64903.93574999999</c:v>
                </c:pt>
                <c:pt idx="8">
                  <c:v>64903.93574999999</c:v>
                </c:pt>
                <c:pt idx="9">
                  <c:v>64903.93574999999</c:v>
                </c:pt>
                <c:pt idx="10">
                  <c:v>64903.93574999999</c:v>
                </c:pt>
                <c:pt idx="11">
                  <c:v>64903.93574999999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E2A-4FDA-A31B-7BF64F4F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09440"/>
        <c:axId val="196107648"/>
      </c:lineChart>
      <c:dateAx>
        <c:axId val="196104576"/>
        <c:scaling>
          <c:orientation val="minMax"/>
        </c:scaling>
        <c:delete val="0"/>
        <c:axPos val="b"/>
        <c:numFmt formatCode="[$-809]mmm" sourceLinked="1"/>
        <c:majorTickMark val="out"/>
        <c:minorTickMark val="none"/>
        <c:tickLblPos val="nextTo"/>
        <c:crossAx val="196106112"/>
        <c:crosses val="autoZero"/>
        <c:auto val="1"/>
        <c:lblOffset val="100"/>
        <c:baseTimeUnit val="months"/>
      </c:dateAx>
      <c:valAx>
        <c:axId val="196106112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104576"/>
        <c:crosses val="autoZero"/>
        <c:crossBetween val="between"/>
      </c:valAx>
      <c:valAx>
        <c:axId val="196107648"/>
        <c:scaling>
          <c:orientation val="minMax"/>
        </c:scaling>
        <c:delete val="0"/>
        <c:axPos val="r"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109440"/>
        <c:crosses val="max"/>
        <c:crossBetween val="between"/>
      </c:valAx>
      <c:catAx>
        <c:axId val="196109440"/>
        <c:scaling>
          <c:orientation val="minMax"/>
        </c:scaling>
        <c:delete val="1"/>
        <c:axPos val="b"/>
        <c:majorTickMark val="out"/>
        <c:minorTickMark val="none"/>
        <c:tickLblPos val="nextTo"/>
        <c:crossAx val="196107648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GSE/TOOLS HYKG Intercompany</a:t>
            </a:r>
            <a:r>
              <a:rPr lang="en-US" b="1" baseline="0"/>
              <a:t> Revenue ge</a:t>
            </a:r>
            <a:r>
              <a:rPr lang="en-US" b="1"/>
              <a:t>nerated by HYFR 2021</a:t>
            </a:r>
          </a:p>
        </c:rich>
      </c:tx>
      <c:layout>
        <c:manualLayout>
          <c:xMode val="edge"/>
          <c:yMode val="edge"/>
          <c:x val="0.33313724071341377"/>
          <c:y val="1.224049193284114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4942188021893485"/>
          <c:y val="9.4001998316530763E-2"/>
          <c:w val="0.74283605028986777"/>
          <c:h val="0.71928005988524135"/>
        </c:manualLayout>
      </c:layout>
      <c:lineChart>
        <c:grouping val="standard"/>
        <c:varyColors val="0"/>
        <c:ser>
          <c:idx val="0"/>
          <c:order val="0"/>
          <c:tx>
            <c:strRef>
              <c:f>Reporting!$A$75</c:f>
              <c:strCache>
                <c:ptCount val="1"/>
                <c:pt idx="0">
                  <c:v>Planned GSE/Tools HYKG Intercompany Revenue YTD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Reporting!$C$75:$N$75</c:f>
              <c:numCache>
                <c:formatCode>_-* #\ ##0\ "€"_-;\-* #\ ##0\ "€"_-;_-* "-"??\ "€"_-;_-@_-</c:formatCode>
                <c:ptCount val="12"/>
                <c:pt idx="0">
                  <c:v>583333.33333333337</c:v>
                </c:pt>
                <c:pt idx="1">
                  <c:v>1166666.6666666667</c:v>
                </c:pt>
                <c:pt idx="2">
                  <c:v>1750000</c:v>
                </c:pt>
                <c:pt idx="3">
                  <c:v>2333333.3333333335</c:v>
                </c:pt>
                <c:pt idx="4">
                  <c:v>2916666.666666667</c:v>
                </c:pt>
                <c:pt idx="5">
                  <c:v>3500000.0000000005</c:v>
                </c:pt>
                <c:pt idx="6">
                  <c:v>4083333.333333334</c:v>
                </c:pt>
                <c:pt idx="7">
                  <c:v>4666666.666666667</c:v>
                </c:pt>
                <c:pt idx="8">
                  <c:v>5250000</c:v>
                </c:pt>
                <c:pt idx="9">
                  <c:v>5833333.333333333</c:v>
                </c:pt>
                <c:pt idx="10">
                  <c:v>6416666.666666666</c:v>
                </c:pt>
                <c:pt idx="11">
                  <c:v>6999999.9999999991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4-4E24-B349-0AF37403C2DB}"/>
            </c:ext>
          </c:extLst>
        </c:ser>
        <c:ser>
          <c:idx val="1"/>
          <c:order val="1"/>
          <c:tx>
            <c:strRef>
              <c:f>Reporting!$A$76</c:f>
              <c:strCache>
                <c:ptCount val="1"/>
                <c:pt idx="0">
                  <c:v>Revised GSE/Tools HYKG Intercompany Revenue YTD</c:v>
                </c:pt>
              </c:strCache>
            </c:strRef>
          </c:tx>
          <c:spPr>
            <a:ln>
              <a:solidFill>
                <a:srgbClr val="4A7EBB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Reporting!$C$76:$N$76</c:f>
              <c:numCache>
                <c:formatCode>_-* #\ ##0\ "€"_-;\-* #\ ##0\ "€"_-;_-* "-"??\ "€"_-;_-@_-</c:formatCode>
                <c:ptCount val="12"/>
                <c:pt idx="0">
                  <c:v>416666.66666666669</c:v>
                </c:pt>
                <c:pt idx="1">
                  <c:v>833333.33333333337</c:v>
                </c:pt>
                <c:pt idx="2">
                  <c:v>1250000</c:v>
                </c:pt>
                <c:pt idx="3">
                  <c:v>1666666.6666666667</c:v>
                </c:pt>
                <c:pt idx="4">
                  <c:v>2083333.3333333335</c:v>
                </c:pt>
                <c:pt idx="5">
                  <c:v>2500000</c:v>
                </c:pt>
                <c:pt idx="6">
                  <c:v>2916666.6666666665</c:v>
                </c:pt>
                <c:pt idx="7">
                  <c:v>3333333.333333333</c:v>
                </c:pt>
                <c:pt idx="8">
                  <c:v>3749999.9999999995</c:v>
                </c:pt>
                <c:pt idx="9">
                  <c:v>4166666.666666666</c:v>
                </c:pt>
                <c:pt idx="10">
                  <c:v>4583333.333333333</c:v>
                </c:pt>
                <c:pt idx="11">
                  <c:v>5000000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DC4-4E24-B349-0AF37403C2DB}"/>
            </c:ext>
          </c:extLst>
        </c:ser>
        <c:ser>
          <c:idx val="3"/>
          <c:order val="2"/>
          <c:tx>
            <c:strRef>
              <c:f>Reporting!$A$77</c:f>
              <c:strCache>
                <c:ptCount val="1"/>
                <c:pt idx="0">
                  <c:v>Revised II GSE/Tools HYKG Intercompany Revenue YTD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Reporting!$C$77:$N$77</c:f>
              <c:numCache>
                <c:formatCode>_-* #\ ##0\ "€"_-;\-* #\ ##0\ "€"_-;_-* "-"??\ "€"_-;_-@_-</c:formatCode>
                <c:ptCount val="12"/>
                <c:pt idx="0">
                  <c:v>291666.66666666669</c:v>
                </c:pt>
                <c:pt idx="1">
                  <c:v>583333.33333333337</c:v>
                </c:pt>
                <c:pt idx="2">
                  <c:v>875000</c:v>
                </c:pt>
                <c:pt idx="3">
                  <c:v>1166666.6666666667</c:v>
                </c:pt>
                <c:pt idx="4">
                  <c:v>1458333.3333333335</c:v>
                </c:pt>
                <c:pt idx="5">
                  <c:v>1750000.0000000002</c:v>
                </c:pt>
                <c:pt idx="6">
                  <c:v>2041666.666666667</c:v>
                </c:pt>
                <c:pt idx="7">
                  <c:v>2333333.3333333335</c:v>
                </c:pt>
                <c:pt idx="8">
                  <c:v>2625000</c:v>
                </c:pt>
                <c:pt idx="9">
                  <c:v>2916666.6666666665</c:v>
                </c:pt>
                <c:pt idx="10">
                  <c:v>3208333.333333333</c:v>
                </c:pt>
                <c:pt idx="11">
                  <c:v>3499999.9999999995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4F-4056-A69A-1A5DEB658D30}"/>
            </c:ext>
          </c:extLst>
        </c:ser>
        <c:ser>
          <c:idx val="2"/>
          <c:order val="3"/>
          <c:tx>
            <c:strRef>
              <c:f>Reporting!$A$78</c:f>
              <c:strCache>
                <c:ptCount val="1"/>
                <c:pt idx="0">
                  <c:v>Actual GSE/Tools HYKG Intercompany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Reporting!$C$78:$N$78</c:f>
              <c:numCache>
                <c:formatCode>_-* #\ ##0\ "€"_-;\-* #\ ##0\ "€"_-;_-* "-"??\ "€"_-;_-@_-</c:formatCode>
                <c:ptCount val="12"/>
                <c:pt idx="0">
                  <c:v>387460</c:v>
                </c:pt>
                <c:pt idx="1">
                  <c:v>683835.80999999994</c:v>
                </c:pt>
                <c:pt idx="2">
                  <c:v>860215.30999999994</c:v>
                </c:pt>
                <c:pt idx="3">
                  <c:v>861882.30999999994</c:v>
                </c:pt>
                <c:pt idx="4">
                  <c:v>861882.30999999994</c:v>
                </c:pt>
                <c:pt idx="5">
                  <c:v>861882.30999999994</c:v>
                </c:pt>
                <c:pt idx="6">
                  <c:v>861882.30999999994</c:v>
                </c:pt>
                <c:pt idx="7">
                  <c:v>861882.30999999994</c:v>
                </c:pt>
                <c:pt idx="8">
                  <c:v>861882.30999999994</c:v>
                </c:pt>
                <c:pt idx="9">
                  <c:v>861882.30999999994</c:v>
                </c:pt>
                <c:pt idx="10">
                  <c:v>861882.30999999994</c:v>
                </c:pt>
                <c:pt idx="11">
                  <c:v>861882.30999999994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4-4E24-B349-0AF37403C2DB}"/>
            </c:ext>
          </c:extLst>
        </c:ser>
        <c:ser>
          <c:idx val="4"/>
          <c:order val="4"/>
          <c:tx>
            <c:strRef>
              <c:f>Reporting!$A$79</c:f>
              <c:strCache>
                <c:ptCount val="1"/>
                <c:pt idx="0">
                  <c:v>Actual GSE/Tools HYKG Intercopany Revenue 2019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Reporting!$C$79:$N$79</c:f>
              <c:numCache>
                <c:formatCode>_-* #\ ##0\ "€"_-;\-* #\ ##0\ "€"_-;_-* "-"??\ "€"_-;_-@_-</c:formatCode>
                <c:ptCount val="12"/>
                <c:pt idx="0">
                  <c:v>365466</c:v>
                </c:pt>
                <c:pt idx="1">
                  <c:v>1342832</c:v>
                </c:pt>
                <c:pt idx="2">
                  <c:v>1853515</c:v>
                </c:pt>
                <c:pt idx="3">
                  <c:v>2768619</c:v>
                </c:pt>
                <c:pt idx="4">
                  <c:v>3308599</c:v>
                </c:pt>
                <c:pt idx="5">
                  <c:v>4234927</c:v>
                </c:pt>
                <c:pt idx="6">
                  <c:v>5510658</c:v>
                </c:pt>
                <c:pt idx="7">
                  <c:v>6630589</c:v>
                </c:pt>
                <c:pt idx="8">
                  <c:v>7371928</c:v>
                </c:pt>
                <c:pt idx="9">
                  <c:v>7568091</c:v>
                </c:pt>
                <c:pt idx="10">
                  <c:v>7755500</c:v>
                </c:pt>
                <c:pt idx="11">
                  <c:v>9308833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DA-46A0-8F95-369B9CAA6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54496"/>
        <c:axId val="196156032"/>
      </c:lineChart>
      <c:dateAx>
        <c:axId val="196154496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156032"/>
        <c:crosses val="autoZero"/>
        <c:auto val="1"/>
        <c:lblOffset val="100"/>
        <c:baseTimeUnit val="months"/>
      </c:dateAx>
      <c:valAx>
        <c:axId val="196156032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154496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FCP</a:t>
            </a:r>
            <a:r>
              <a:rPr lang="en-US" b="1" baseline="0"/>
              <a:t> &amp; </a:t>
            </a:r>
            <a:r>
              <a:rPr lang="en-US" b="1"/>
              <a:t>Service</a:t>
            </a:r>
            <a:r>
              <a:rPr lang="en-US" b="1" baseline="0"/>
              <a:t> </a:t>
            </a:r>
            <a:r>
              <a:rPr lang="en-US" b="1"/>
              <a:t>Order Intake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5835570399493701"/>
          <c:y val="0.12810429255151001"/>
          <c:w val="0.73059962596754513"/>
          <c:h val="0.67894482242057297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Reporting!$A$60</c:f>
              <c:strCache>
                <c:ptCount val="1"/>
                <c:pt idx="0">
                  <c:v>Planned FCP &amp; Service Order Intake YTD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Reporting!$C$60:$N$60</c:f>
              <c:numCache>
                <c:formatCode>_-* #\ ##0\ "€"_-;\-* #\ ##0\ "€"_-;_-* "-"??\ "€"_-;_-@_-</c:formatCode>
                <c:ptCount val="12"/>
                <c:pt idx="0">
                  <c:v>60416.666666666664</c:v>
                </c:pt>
                <c:pt idx="1">
                  <c:v>120833.33333333333</c:v>
                </c:pt>
                <c:pt idx="2">
                  <c:v>181250</c:v>
                </c:pt>
                <c:pt idx="3">
                  <c:v>241666.66666666666</c:v>
                </c:pt>
                <c:pt idx="4">
                  <c:v>302083.33333333331</c:v>
                </c:pt>
                <c:pt idx="5">
                  <c:v>362500</c:v>
                </c:pt>
                <c:pt idx="6">
                  <c:v>422916.66666666669</c:v>
                </c:pt>
                <c:pt idx="7">
                  <c:v>483333.33333333337</c:v>
                </c:pt>
                <c:pt idx="8">
                  <c:v>543750</c:v>
                </c:pt>
                <c:pt idx="9">
                  <c:v>604166.66666666663</c:v>
                </c:pt>
                <c:pt idx="10">
                  <c:v>664583.33333333326</c:v>
                </c:pt>
                <c:pt idx="11">
                  <c:v>724999.99999999988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6-473D-AB8D-D70102617DBE}"/>
            </c:ext>
          </c:extLst>
        </c:ser>
        <c:ser>
          <c:idx val="3"/>
          <c:order val="1"/>
          <c:tx>
            <c:strRef>
              <c:f>Reporting!$A$61</c:f>
              <c:strCache>
                <c:ptCount val="1"/>
                <c:pt idx="0">
                  <c:v>Actual FCP &amp; Service Order Intake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Reporting!$C$61:$N$61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B6-473D-AB8D-D70102617DBE}"/>
            </c:ext>
          </c:extLst>
        </c:ser>
        <c:ser>
          <c:idx val="0"/>
          <c:order val="2"/>
          <c:tx>
            <c:strRef>
              <c:f>Reporting!$A$62</c:f>
              <c:strCache>
                <c:ptCount val="1"/>
                <c:pt idx="0">
                  <c:v>Actual FCP &amp; Service Order Intake 2019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Reporting!$C$62:$N$62</c:f>
              <c:numCache>
                <c:formatCode>_-* #\ ##0\ "€"_-;\-* #\ ##0\ "€"_-;_-* "-"??\ "€"_-;_-@_-</c:formatCode>
                <c:ptCount val="12"/>
                <c:pt idx="0">
                  <c:v>34086</c:v>
                </c:pt>
                <c:pt idx="1">
                  <c:v>60569</c:v>
                </c:pt>
                <c:pt idx="2">
                  <c:v>95489.95</c:v>
                </c:pt>
                <c:pt idx="3">
                  <c:v>102904.95</c:v>
                </c:pt>
                <c:pt idx="4">
                  <c:v>138592.6</c:v>
                </c:pt>
                <c:pt idx="5">
                  <c:v>177809.6</c:v>
                </c:pt>
                <c:pt idx="6">
                  <c:v>221171.6</c:v>
                </c:pt>
                <c:pt idx="7">
                  <c:v>245316.6</c:v>
                </c:pt>
                <c:pt idx="8">
                  <c:v>268289.09999999998</c:v>
                </c:pt>
                <c:pt idx="9">
                  <c:v>287773.09999999998</c:v>
                </c:pt>
                <c:pt idx="10">
                  <c:v>300460.75</c:v>
                </c:pt>
                <c:pt idx="11">
                  <c:v>319615.25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6D-4DE4-908D-2EBE4261D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97376"/>
        <c:axId val="196211456"/>
      </c:lineChart>
      <c:dateAx>
        <c:axId val="196197376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211456"/>
        <c:crosses val="autoZero"/>
        <c:auto val="1"/>
        <c:lblOffset val="100"/>
        <c:baseTimeUnit val="months"/>
      </c:dateAx>
      <c:valAx>
        <c:axId val="196211456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197376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FCP &amp;</a:t>
            </a:r>
            <a:r>
              <a:rPr lang="en-US" b="1" baseline="0"/>
              <a:t> </a:t>
            </a:r>
            <a:r>
              <a:rPr lang="en-US" b="1"/>
              <a:t>Service</a:t>
            </a:r>
            <a:r>
              <a:rPr lang="en-US" b="1" baseline="0"/>
              <a:t> </a:t>
            </a:r>
            <a:r>
              <a:rPr lang="en-US" b="1"/>
              <a:t>Revenue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8069804160519862"/>
          <c:y val="0.15095191856735687"/>
          <c:w val="0.70681694911952098"/>
          <c:h val="0.60328770864742587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Reporting!$A$38</c:f>
              <c:strCache>
                <c:ptCount val="1"/>
                <c:pt idx="0">
                  <c:v>Planned FCP &amp; Service Revenue YTD (2021)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Reporting!$C$38:$N$38</c:f>
              <c:numCache>
                <c:formatCode>_-* #\ ##0\ "€"_-;\-* #\ ##0\ "€"_-;_-* "-"??\ "€"_-;_-@_-</c:formatCode>
                <c:ptCount val="12"/>
                <c:pt idx="0">
                  <c:v>41666.666666666664</c:v>
                </c:pt>
                <c:pt idx="1">
                  <c:v>83333.333333333328</c:v>
                </c:pt>
                <c:pt idx="2">
                  <c:v>125000</c:v>
                </c:pt>
                <c:pt idx="3">
                  <c:v>166666.66666666666</c:v>
                </c:pt>
                <c:pt idx="4">
                  <c:v>208333.33333333331</c:v>
                </c:pt>
                <c:pt idx="5">
                  <c:v>249999.99999999997</c:v>
                </c:pt>
                <c:pt idx="6">
                  <c:v>291666.66666666663</c:v>
                </c:pt>
                <c:pt idx="7">
                  <c:v>333333.33333333331</c:v>
                </c:pt>
                <c:pt idx="8">
                  <c:v>375000</c:v>
                </c:pt>
                <c:pt idx="9">
                  <c:v>416666.66666666669</c:v>
                </c:pt>
                <c:pt idx="10">
                  <c:v>458333.33333333337</c:v>
                </c:pt>
                <c:pt idx="11">
                  <c:v>500000.00000000006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93-4397-B2DA-F9F27DFF88F6}"/>
            </c:ext>
          </c:extLst>
        </c:ser>
        <c:ser>
          <c:idx val="3"/>
          <c:order val="1"/>
          <c:tx>
            <c:strRef>
              <c:f>Reporting!$A$39</c:f>
              <c:strCache>
                <c:ptCount val="1"/>
                <c:pt idx="0">
                  <c:v>Actual FCP &amp; Service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Reporting!$C$39:$N$39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93-4397-B2DA-F9F27DFF88F6}"/>
            </c:ext>
          </c:extLst>
        </c:ser>
        <c:ser>
          <c:idx val="0"/>
          <c:order val="2"/>
          <c:tx>
            <c:strRef>
              <c:f>Reporting!$A$40</c:f>
              <c:strCache>
                <c:ptCount val="1"/>
                <c:pt idx="0">
                  <c:v>Actual FCP &amp; Service Revenue 2020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Reporting!$C$40:$N$40</c:f>
              <c:numCache>
                <c:formatCode>_-* #\ ##0\ "€"_-;\-* #\ ##0\ "€"_-;_-* "-"??\ "€"_-;_-@_-</c:formatCode>
                <c:ptCount val="12"/>
                <c:pt idx="0">
                  <c:v>17103</c:v>
                </c:pt>
                <c:pt idx="1">
                  <c:v>29156</c:v>
                </c:pt>
                <c:pt idx="2">
                  <c:v>48403</c:v>
                </c:pt>
                <c:pt idx="3">
                  <c:v>58235.15</c:v>
                </c:pt>
                <c:pt idx="4">
                  <c:v>92376.15</c:v>
                </c:pt>
                <c:pt idx="5">
                  <c:v>147050.5</c:v>
                </c:pt>
                <c:pt idx="6">
                  <c:v>195606.5</c:v>
                </c:pt>
                <c:pt idx="7">
                  <c:v>222052.5</c:v>
                </c:pt>
                <c:pt idx="8">
                  <c:v>230248.5</c:v>
                </c:pt>
                <c:pt idx="9">
                  <c:v>236448</c:v>
                </c:pt>
                <c:pt idx="10">
                  <c:v>249963.5</c:v>
                </c:pt>
                <c:pt idx="11">
                  <c:v>315530.90000000002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E-4C89-8E36-713AE7E26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65312"/>
        <c:axId val="196375296"/>
      </c:lineChart>
      <c:dateAx>
        <c:axId val="196365312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375296"/>
        <c:crosses val="autoZero"/>
        <c:auto val="1"/>
        <c:lblOffset val="100"/>
        <c:baseTimeUnit val="months"/>
      </c:dateAx>
      <c:valAx>
        <c:axId val="196375296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365312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Profitability HYFR 2020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Reporting!$A$19</c:f>
              <c:strCache>
                <c:ptCount val="1"/>
                <c:pt idx="0">
                  <c:v>Costs YTD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Reporting!$C$19:$N$19</c:f>
              <c:numCache>
                <c:formatCode>_-* #\ ##0\ "€"_-;\-* #\ ##0\ "€"_-;_-* "-"??\ "€"_-;_-@_-</c:formatCode>
                <c:ptCount val="12"/>
                <c:pt idx="0">
                  <c:v>86000</c:v>
                </c:pt>
                <c:pt idx="1">
                  <c:v>172000</c:v>
                </c:pt>
                <c:pt idx="2">
                  <c:v>258000</c:v>
                </c:pt>
                <c:pt idx="3">
                  <c:v>344000</c:v>
                </c:pt>
                <c:pt idx="4">
                  <c:v>430000</c:v>
                </c:pt>
                <c:pt idx="5">
                  <c:v>516000</c:v>
                </c:pt>
                <c:pt idx="6">
                  <c:v>607000</c:v>
                </c:pt>
                <c:pt idx="7">
                  <c:v>698000</c:v>
                </c:pt>
                <c:pt idx="8">
                  <c:v>789000</c:v>
                </c:pt>
                <c:pt idx="9">
                  <c:v>880000</c:v>
                </c:pt>
                <c:pt idx="10">
                  <c:v>971000</c:v>
                </c:pt>
                <c:pt idx="11">
                  <c:v>1062000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54-492A-80C7-749F10EF2EB6}"/>
            </c:ext>
          </c:extLst>
        </c:ser>
        <c:ser>
          <c:idx val="2"/>
          <c:order val="1"/>
          <c:tx>
            <c:strRef>
              <c:f>Reporting!$A$15</c:f>
              <c:strCache>
                <c:ptCount val="1"/>
                <c:pt idx="0">
                  <c:v>Operational Gross Margin YTD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Reporting!$C$15:$N$15</c:f>
              <c:numCache>
                <c:formatCode>_-* #\ ##0\ "€"_-;\-* #\ ##0\ "€"_-;_-* "-"??\ "€"_-;_-@_-</c:formatCode>
                <c:ptCount val="12"/>
                <c:pt idx="0">
                  <c:v>28780.974999999999</c:v>
                </c:pt>
                <c:pt idx="1">
                  <c:v>28780.974999999999</c:v>
                </c:pt>
                <c:pt idx="2">
                  <c:v>28780.974999999999</c:v>
                </c:pt>
                <c:pt idx="3">
                  <c:v>28780.974999999999</c:v>
                </c:pt>
                <c:pt idx="4">
                  <c:v>28780.974999999999</c:v>
                </c:pt>
                <c:pt idx="5">
                  <c:v>28780.974999999999</c:v>
                </c:pt>
                <c:pt idx="6">
                  <c:v>28780.974999999999</c:v>
                </c:pt>
                <c:pt idx="7">
                  <c:v>28780.974999999999</c:v>
                </c:pt>
                <c:pt idx="8">
                  <c:v>28780.974999999999</c:v>
                </c:pt>
                <c:pt idx="9">
                  <c:v>28780.974999999999</c:v>
                </c:pt>
                <c:pt idx="10">
                  <c:v>28780.974999999999</c:v>
                </c:pt>
                <c:pt idx="11">
                  <c:v>28780.974999999999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54-492A-80C7-749F10EF2EB6}"/>
            </c:ext>
          </c:extLst>
        </c:ser>
        <c:ser>
          <c:idx val="1"/>
          <c:order val="2"/>
          <c:tx>
            <c:strRef>
              <c:f>Reporting!$A$24</c:f>
              <c:strCache>
                <c:ptCount val="1"/>
                <c:pt idx="0">
                  <c:v>Actual EAT YTD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Reporting!$C$24:$N$24</c:f>
              <c:numCache>
                <c:formatCode>_-* #\ ##0\ "€"_-;\-* #\ ##0\ "€"_-;_-* "-"??\ "€"_-;_-@_-</c:formatCode>
                <c:ptCount val="12"/>
                <c:pt idx="0">
                  <c:v>138</c:v>
                </c:pt>
                <c:pt idx="1">
                  <c:v>3976</c:v>
                </c:pt>
                <c:pt idx="2">
                  <c:v>3976</c:v>
                </c:pt>
                <c:pt idx="3">
                  <c:v>3976</c:v>
                </c:pt>
                <c:pt idx="4">
                  <c:v>3976</c:v>
                </c:pt>
                <c:pt idx="5">
                  <c:v>3976</c:v>
                </c:pt>
                <c:pt idx="6">
                  <c:v>3976</c:v>
                </c:pt>
                <c:pt idx="7">
                  <c:v>3976</c:v>
                </c:pt>
                <c:pt idx="8">
                  <c:v>3976</c:v>
                </c:pt>
                <c:pt idx="9">
                  <c:v>3976</c:v>
                </c:pt>
                <c:pt idx="10">
                  <c:v>3976</c:v>
                </c:pt>
                <c:pt idx="11">
                  <c:v>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54-492A-80C7-749F10EF2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11392"/>
        <c:axId val="196412928"/>
      </c:lineChart>
      <c:dateAx>
        <c:axId val="196411392"/>
        <c:scaling>
          <c:orientation val="minMax"/>
        </c:scaling>
        <c:delete val="0"/>
        <c:axPos val="b"/>
        <c:numFmt formatCode="[$-809]mmm" sourceLinked="1"/>
        <c:majorTickMark val="out"/>
        <c:minorTickMark val="none"/>
        <c:tickLblPos val="nextTo"/>
        <c:crossAx val="196412928"/>
        <c:crosses val="autoZero"/>
        <c:auto val="1"/>
        <c:lblOffset val="100"/>
        <c:baseTimeUnit val="months"/>
      </c:dateAx>
      <c:valAx>
        <c:axId val="196412928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4113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GSE/Tools Commission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9647746099546946"/>
          <c:y val="0.16688613666128749"/>
          <c:w val="0.6925533735876318"/>
          <c:h val="0.60456078225724463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Reporting!$A$44</c:f>
              <c:strCache>
                <c:ptCount val="1"/>
                <c:pt idx="0">
                  <c:v>Planned GSE/Tools Commissions Revenue YTD (2021)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Reporting!$C$44:$N$44</c:f>
              <c:numCache>
                <c:formatCode>_-* #\ ##0\ "€"_-;\-* #\ ##0\ "€"_-;_-* "-"??\ "€"_-;_-@_-</c:formatCode>
                <c:ptCount val="12"/>
                <c:pt idx="0">
                  <c:v>39754.333333333336</c:v>
                </c:pt>
                <c:pt idx="1">
                  <c:v>79508.666666666672</c:v>
                </c:pt>
                <c:pt idx="2">
                  <c:v>119263</c:v>
                </c:pt>
                <c:pt idx="3">
                  <c:v>159017.33333333334</c:v>
                </c:pt>
                <c:pt idx="4">
                  <c:v>198771.66666666669</c:v>
                </c:pt>
                <c:pt idx="5">
                  <c:v>238526.00000000003</c:v>
                </c:pt>
                <c:pt idx="6">
                  <c:v>278280.33333333337</c:v>
                </c:pt>
                <c:pt idx="7">
                  <c:v>318034.66666666669</c:v>
                </c:pt>
                <c:pt idx="8">
                  <c:v>357789</c:v>
                </c:pt>
                <c:pt idx="9">
                  <c:v>397543.33333333331</c:v>
                </c:pt>
                <c:pt idx="10">
                  <c:v>437297.66666666663</c:v>
                </c:pt>
                <c:pt idx="11">
                  <c:v>477051.99999999994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5-4A03-AD62-0B7BEC8577A7}"/>
            </c:ext>
          </c:extLst>
        </c:ser>
        <c:ser>
          <c:idx val="3"/>
          <c:order val="1"/>
          <c:tx>
            <c:strRef>
              <c:f>Reporting!$A$45</c:f>
              <c:strCache>
                <c:ptCount val="1"/>
                <c:pt idx="0">
                  <c:v>Actual GSE/Tools Commissions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Reporting!$C$45:$N$45</c:f>
              <c:numCache>
                <c:formatCode>_-* #\ ##0\ "€"_-;\-* #\ ##0\ "€"_-;_-* "-"??\ "€"_-;_-@_-</c:formatCode>
                <c:ptCount val="12"/>
                <c:pt idx="0">
                  <c:v>28780.974999999999</c:v>
                </c:pt>
                <c:pt idx="1">
                  <c:v>50109.210749999991</c:v>
                </c:pt>
                <c:pt idx="2">
                  <c:v>64850.31074999999</c:v>
                </c:pt>
                <c:pt idx="3">
                  <c:v>64903.93574999999</c:v>
                </c:pt>
                <c:pt idx="4">
                  <c:v>64903.93574999999</c:v>
                </c:pt>
                <c:pt idx="5">
                  <c:v>64903.93574999999</c:v>
                </c:pt>
                <c:pt idx="6">
                  <c:v>64903.93574999999</c:v>
                </c:pt>
                <c:pt idx="7">
                  <c:v>64903.93574999999</c:v>
                </c:pt>
                <c:pt idx="8">
                  <c:v>64903.93574999999</c:v>
                </c:pt>
                <c:pt idx="9">
                  <c:v>64903.93574999999</c:v>
                </c:pt>
                <c:pt idx="10">
                  <c:v>64903.93574999999</c:v>
                </c:pt>
                <c:pt idx="11">
                  <c:v>64903.93574999999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5-4A03-AD62-0B7BEC8577A7}"/>
            </c:ext>
          </c:extLst>
        </c:ser>
        <c:ser>
          <c:idx val="0"/>
          <c:order val="2"/>
          <c:tx>
            <c:strRef>
              <c:f>Reporting!$A$46</c:f>
              <c:strCache>
                <c:ptCount val="1"/>
                <c:pt idx="0">
                  <c:v>Actual GSE/Tools Commissions Revenue 2020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Reporting!$C$46:$N$46</c:f>
              <c:numCache>
                <c:formatCode>_-* #\ ##0\ "€"_-;\-* #\ ##0\ "€"_-;_-* "-"??\ "€"_-;_-@_-</c:formatCode>
                <c:ptCount val="12"/>
                <c:pt idx="0">
                  <c:v>9543.1749999999993</c:v>
                </c:pt>
                <c:pt idx="1">
                  <c:v>23321.875</c:v>
                </c:pt>
                <c:pt idx="2">
                  <c:v>83044.574999999997</c:v>
                </c:pt>
                <c:pt idx="3">
                  <c:v>86956.617499999993</c:v>
                </c:pt>
                <c:pt idx="4">
                  <c:v>95859.19249999999</c:v>
                </c:pt>
                <c:pt idx="5">
                  <c:v>86809.517499999987</c:v>
                </c:pt>
                <c:pt idx="6">
                  <c:v>107719.04249999998</c:v>
                </c:pt>
                <c:pt idx="7">
                  <c:v>114407.29249999998</c:v>
                </c:pt>
                <c:pt idx="8">
                  <c:v>123005.89249999999</c:v>
                </c:pt>
                <c:pt idx="9">
                  <c:v>128691.38124999999</c:v>
                </c:pt>
                <c:pt idx="10">
                  <c:v>147760.08124999999</c:v>
                </c:pt>
                <c:pt idx="11">
                  <c:v>178662.90625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C8-44B6-9756-60011216C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41600"/>
        <c:axId val="196443136"/>
      </c:lineChart>
      <c:dateAx>
        <c:axId val="196441600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443136"/>
        <c:crosses val="autoZero"/>
        <c:auto val="1"/>
        <c:lblOffset val="100"/>
        <c:baseTimeUnit val="months"/>
      </c:dateAx>
      <c:valAx>
        <c:axId val="196443136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441600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AIA Revenue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5175209396245801"/>
          <c:y val="0.17488482847518713"/>
          <c:w val="0.73489434002843723"/>
          <c:h val="0.5856077613704741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Reporting!$A$41</c:f>
              <c:strCache>
                <c:ptCount val="1"/>
                <c:pt idx="0">
                  <c:v>Planned AIA Revenue YTD (2021)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Reporting!$C$41:$N$41</c:f>
              <c:numCache>
                <c:formatCode>_-* #\ ##0\ "€"_-;\-* #\ ##0\ "€"_-;_-* "-"??\ "€"_-;_-@_-</c:formatCode>
                <c:ptCount val="12"/>
                <c:pt idx="0">
                  <c:v>30833.333333333332</c:v>
                </c:pt>
                <c:pt idx="1">
                  <c:v>61666.666666666664</c:v>
                </c:pt>
                <c:pt idx="2">
                  <c:v>92500</c:v>
                </c:pt>
                <c:pt idx="3">
                  <c:v>123333.33333333333</c:v>
                </c:pt>
                <c:pt idx="4">
                  <c:v>154166.66666666666</c:v>
                </c:pt>
                <c:pt idx="5">
                  <c:v>185000</c:v>
                </c:pt>
                <c:pt idx="6">
                  <c:v>215833.33333333334</c:v>
                </c:pt>
                <c:pt idx="7">
                  <c:v>246666.66666666669</c:v>
                </c:pt>
                <c:pt idx="8">
                  <c:v>277500</c:v>
                </c:pt>
                <c:pt idx="9">
                  <c:v>308333.33333333331</c:v>
                </c:pt>
                <c:pt idx="10">
                  <c:v>339166.66666666663</c:v>
                </c:pt>
                <c:pt idx="11">
                  <c:v>369999.99999999994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7-475C-B3A5-7B2BF04BABAC}"/>
            </c:ext>
          </c:extLst>
        </c:ser>
        <c:ser>
          <c:idx val="3"/>
          <c:order val="1"/>
          <c:tx>
            <c:strRef>
              <c:f>Reporting!$A$42</c:f>
              <c:strCache>
                <c:ptCount val="1"/>
                <c:pt idx="0">
                  <c:v>Actual AIA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Reporting!$C$42:$N$42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F7-475C-B3A5-7B2BF04BABAC}"/>
            </c:ext>
          </c:extLst>
        </c:ser>
        <c:ser>
          <c:idx val="0"/>
          <c:order val="2"/>
          <c:tx>
            <c:strRef>
              <c:f>Reporting!$A$43</c:f>
              <c:strCache>
                <c:ptCount val="1"/>
                <c:pt idx="0">
                  <c:v>Actual AIA Revenue 2020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Reporting!$C$43:$N$43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160980</c:v>
                </c:pt>
                <c:pt idx="2">
                  <c:v>999980</c:v>
                </c:pt>
                <c:pt idx="3">
                  <c:v>999980</c:v>
                </c:pt>
                <c:pt idx="4">
                  <c:v>999980</c:v>
                </c:pt>
                <c:pt idx="5">
                  <c:v>999980</c:v>
                </c:pt>
                <c:pt idx="6">
                  <c:v>999980</c:v>
                </c:pt>
                <c:pt idx="7">
                  <c:v>999980</c:v>
                </c:pt>
                <c:pt idx="8">
                  <c:v>1000820</c:v>
                </c:pt>
                <c:pt idx="9">
                  <c:v>1000820</c:v>
                </c:pt>
                <c:pt idx="10">
                  <c:v>1000820</c:v>
                </c:pt>
                <c:pt idx="11">
                  <c:v>1282145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81-4A4D-8184-BF3A449BF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88192"/>
        <c:axId val="196489984"/>
      </c:lineChart>
      <c:dateAx>
        <c:axId val="196488192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489984"/>
        <c:crosses val="autoZero"/>
        <c:auto val="1"/>
        <c:lblOffset val="100"/>
        <c:baseTimeUnit val="months"/>
      </c:dateAx>
      <c:valAx>
        <c:axId val="196489984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488192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FCP Order Intake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4472443500151478"/>
          <c:y val="0.27023515411746052"/>
          <c:w val="0.74373398212946584"/>
          <c:h val="0.53802552775995083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Reporting!$A$51</c:f>
              <c:strCache>
                <c:ptCount val="1"/>
                <c:pt idx="0">
                  <c:v>Planned FCP Order Intake YTD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Reporting!$C$51:$N$51</c:f>
              <c:numCache>
                <c:formatCode>_-* #\ ##0\ "€"_-;\-* #\ ##0\ "€"_-;_-* "-"??\ "€"_-;_-@_-</c:formatCode>
                <c:ptCount val="12"/>
                <c:pt idx="0">
                  <c:v>31666.666666666668</c:v>
                </c:pt>
                <c:pt idx="1">
                  <c:v>63333.333333333336</c:v>
                </c:pt>
                <c:pt idx="2">
                  <c:v>95000</c:v>
                </c:pt>
                <c:pt idx="3">
                  <c:v>126666.66666666667</c:v>
                </c:pt>
                <c:pt idx="4">
                  <c:v>158333.33333333334</c:v>
                </c:pt>
                <c:pt idx="5">
                  <c:v>190000</c:v>
                </c:pt>
                <c:pt idx="6">
                  <c:v>221666.66666666666</c:v>
                </c:pt>
                <c:pt idx="7">
                  <c:v>253333.33333333331</c:v>
                </c:pt>
                <c:pt idx="8">
                  <c:v>285000</c:v>
                </c:pt>
                <c:pt idx="9">
                  <c:v>316666.66666666669</c:v>
                </c:pt>
                <c:pt idx="10">
                  <c:v>348333.33333333337</c:v>
                </c:pt>
                <c:pt idx="11">
                  <c:v>380000.00000000006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5D-4552-8BCF-46A9377BDFC8}"/>
            </c:ext>
          </c:extLst>
        </c:ser>
        <c:ser>
          <c:idx val="3"/>
          <c:order val="1"/>
          <c:tx>
            <c:strRef>
              <c:f>Reporting!$A$52</c:f>
              <c:strCache>
                <c:ptCount val="1"/>
                <c:pt idx="0">
                  <c:v>Actual FCP Order Intake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Reporting!$C$52:$N$52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5D-4552-8BCF-46A9377BDFC8}"/>
            </c:ext>
          </c:extLst>
        </c:ser>
        <c:ser>
          <c:idx val="0"/>
          <c:order val="2"/>
          <c:tx>
            <c:strRef>
              <c:f>Reporting!$A$53</c:f>
              <c:strCache>
                <c:ptCount val="1"/>
                <c:pt idx="0">
                  <c:v>Actual FCP Order Intake 2019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Reporting!$C$53:$N$53</c:f>
              <c:numCache>
                <c:formatCode>_-* #\ ##0\ "€"_-;\-* #\ ##0\ "€"_-;_-* "-"??\ "€"_-;_-@_-</c:formatCode>
                <c:ptCount val="12"/>
                <c:pt idx="0">
                  <c:v>9318</c:v>
                </c:pt>
                <c:pt idx="1">
                  <c:v>28811.5</c:v>
                </c:pt>
                <c:pt idx="2">
                  <c:v>63341.5</c:v>
                </c:pt>
                <c:pt idx="3">
                  <c:v>70756.5</c:v>
                </c:pt>
                <c:pt idx="4">
                  <c:v>99398.5</c:v>
                </c:pt>
                <c:pt idx="5">
                  <c:v>118121.5</c:v>
                </c:pt>
                <c:pt idx="6">
                  <c:v>147626.5</c:v>
                </c:pt>
                <c:pt idx="7">
                  <c:v>147626.5</c:v>
                </c:pt>
                <c:pt idx="8">
                  <c:v>164937</c:v>
                </c:pt>
                <c:pt idx="9">
                  <c:v>175562</c:v>
                </c:pt>
                <c:pt idx="10">
                  <c:v>180412</c:v>
                </c:pt>
                <c:pt idx="11">
                  <c:v>187344.5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6-418C-AA58-2AAAD7F03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5040"/>
        <c:axId val="196536576"/>
      </c:lineChart>
      <c:dateAx>
        <c:axId val="196535040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536576"/>
        <c:crosses val="autoZero"/>
        <c:auto val="1"/>
        <c:lblOffset val="100"/>
        <c:baseTimeUnit val="months"/>
      </c:dateAx>
      <c:valAx>
        <c:axId val="196536576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535040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Service</a:t>
            </a:r>
            <a:r>
              <a:rPr lang="en-US" b="1" baseline="0"/>
              <a:t> </a:t>
            </a:r>
            <a:r>
              <a:rPr lang="en-US" b="1"/>
              <a:t>Order Intake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46747816908757"/>
          <c:y val="0.14649904129791663"/>
          <c:w val="0.7423652689827609"/>
          <c:h val="0.66157678766832984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Reporting!$A$54</c:f>
              <c:strCache>
                <c:ptCount val="1"/>
                <c:pt idx="0">
                  <c:v>Planned Service Order Intake YTD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Reporting!$C$54:$N$54</c:f>
              <c:numCache>
                <c:formatCode>_-* #\ ##0\ "€"_-;\-* #\ ##0\ "€"_-;_-* "-"??\ "€"_-;_-@_-</c:formatCode>
                <c:ptCount val="12"/>
                <c:pt idx="0">
                  <c:v>28750</c:v>
                </c:pt>
                <c:pt idx="1">
                  <c:v>57500</c:v>
                </c:pt>
                <c:pt idx="2">
                  <c:v>86250</c:v>
                </c:pt>
                <c:pt idx="3">
                  <c:v>115000</c:v>
                </c:pt>
                <c:pt idx="4">
                  <c:v>143750</c:v>
                </c:pt>
                <c:pt idx="5">
                  <c:v>172500</c:v>
                </c:pt>
                <c:pt idx="6">
                  <c:v>201250</c:v>
                </c:pt>
                <c:pt idx="7">
                  <c:v>230000</c:v>
                </c:pt>
                <c:pt idx="8">
                  <c:v>258750</c:v>
                </c:pt>
                <c:pt idx="9">
                  <c:v>287500</c:v>
                </c:pt>
                <c:pt idx="10">
                  <c:v>316250</c:v>
                </c:pt>
                <c:pt idx="11">
                  <c:v>345000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89-4E23-8E44-E2CF2B55ADF8}"/>
            </c:ext>
          </c:extLst>
        </c:ser>
        <c:ser>
          <c:idx val="0"/>
          <c:order val="1"/>
          <c:tx>
            <c:strRef>
              <c:f>Reporting!$A$55</c:f>
              <c:strCache>
                <c:ptCount val="1"/>
                <c:pt idx="0">
                  <c:v>Actual Service Order Intake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Reporting!$C$55:$N$55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5D-43FD-82BB-53A7E1A7DA3C}"/>
            </c:ext>
          </c:extLst>
        </c:ser>
        <c:ser>
          <c:idx val="2"/>
          <c:order val="2"/>
          <c:tx>
            <c:strRef>
              <c:f>Reporting!$A$56</c:f>
              <c:strCache>
                <c:ptCount val="1"/>
                <c:pt idx="0">
                  <c:v>Actual Service Order Intake 2019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Reporting!$C$56:$N$56</c:f>
              <c:numCache>
                <c:formatCode>_-* #\ ##0\ "€"_-;\-* #\ ##0\ "€"_-;_-* "-"??\ "€"_-;_-@_-</c:formatCode>
                <c:ptCount val="12"/>
                <c:pt idx="0">
                  <c:v>24768</c:v>
                </c:pt>
                <c:pt idx="1">
                  <c:v>31757.5</c:v>
                </c:pt>
                <c:pt idx="2">
                  <c:v>32148.45</c:v>
                </c:pt>
                <c:pt idx="3">
                  <c:v>32148.45</c:v>
                </c:pt>
                <c:pt idx="4">
                  <c:v>39194.1</c:v>
                </c:pt>
                <c:pt idx="5">
                  <c:v>59688.1</c:v>
                </c:pt>
                <c:pt idx="6">
                  <c:v>73545.100000000006</c:v>
                </c:pt>
                <c:pt idx="7">
                  <c:v>97690.1</c:v>
                </c:pt>
                <c:pt idx="8">
                  <c:v>103352.1</c:v>
                </c:pt>
                <c:pt idx="9">
                  <c:v>112211.1</c:v>
                </c:pt>
                <c:pt idx="10">
                  <c:v>120048.75</c:v>
                </c:pt>
                <c:pt idx="11">
                  <c:v>132270.75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C-40EB-B1CE-E758CCE3B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43072"/>
        <c:axId val="196644864"/>
      </c:lineChart>
      <c:dateAx>
        <c:axId val="196643072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644864"/>
        <c:crosses val="autoZero"/>
        <c:auto val="1"/>
        <c:lblOffset val="100"/>
        <c:baseTimeUnit val="months"/>
      </c:dateAx>
      <c:valAx>
        <c:axId val="196644864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643072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Trading</a:t>
            </a:r>
            <a:r>
              <a:rPr lang="en-US" b="1" baseline="0"/>
              <a:t> </a:t>
            </a:r>
            <a:r>
              <a:rPr lang="en-US" b="1"/>
              <a:t>Order Intake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8835478638903955"/>
          <c:y val="0.14884878414300504"/>
          <c:w val="0.69810805347653082"/>
          <c:h val="0.64730056108295053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Reporting!$A$57</c:f>
              <c:strCache>
                <c:ptCount val="1"/>
                <c:pt idx="0">
                  <c:v>Planned Trading Order Intake YTD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Reporting!$C$57:$N$57</c:f>
              <c:numCache>
                <c:formatCode>_-* #\ ##0\ "€"_-;\-* #\ ##0\ "€"_-;_-* "-"??\ "€"_-;_-@_-</c:formatCode>
                <c:ptCount val="12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B6-4B85-8F01-5CED984BAD3F}"/>
            </c:ext>
          </c:extLst>
        </c:ser>
        <c:ser>
          <c:idx val="3"/>
          <c:order val="1"/>
          <c:tx>
            <c:strRef>
              <c:f>Reporting!$A$58</c:f>
              <c:strCache>
                <c:ptCount val="1"/>
                <c:pt idx="0">
                  <c:v>Actual Trading Order Intake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Reporting!$C$58:$N$58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B6-4B85-8F01-5CED984BAD3F}"/>
            </c:ext>
          </c:extLst>
        </c:ser>
        <c:ser>
          <c:idx val="0"/>
          <c:order val="2"/>
          <c:tx>
            <c:strRef>
              <c:f>Reporting!$A$59</c:f>
              <c:strCache>
                <c:ptCount val="1"/>
                <c:pt idx="0">
                  <c:v>Actual Trading Order Intake 2019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Reporting!$C$59:$N$59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23250</c:v>
                </c:pt>
                <c:pt idx="4">
                  <c:v>23250</c:v>
                </c:pt>
                <c:pt idx="5">
                  <c:v>23250</c:v>
                </c:pt>
                <c:pt idx="6">
                  <c:v>23250</c:v>
                </c:pt>
                <c:pt idx="7">
                  <c:v>23250</c:v>
                </c:pt>
                <c:pt idx="8">
                  <c:v>23250</c:v>
                </c:pt>
                <c:pt idx="9">
                  <c:v>23250</c:v>
                </c:pt>
                <c:pt idx="10">
                  <c:v>25044.6</c:v>
                </c:pt>
                <c:pt idx="11">
                  <c:v>25129.599999999999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58-4E7C-8E95-1D47D767E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85824"/>
        <c:axId val="196687360"/>
      </c:lineChart>
      <c:dateAx>
        <c:axId val="196685824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687360"/>
        <c:crosses val="autoZero"/>
        <c:auto val="1"/>
        <c:lblOffset val="100"/>
        <c:baseTimeUnit val="months"/>
      </c:dateAx>
      <c:valAx>
        <c:axId val="196687360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685824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FCP</a:t>
            </a:r>
            <a:r>
              <a:rPr lang="en-US" b="1" baseline="0"/>
              <a:t> </a:t>
            </a:r>
            <a:r>
              <a:rPr lang="en-US" b="1"/>
              <a:t>Revenue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6483310459360143"/>
          <c:y val="0.1723373752568782"/>
          <c:w val="0.7221797218439332"/>
          <c:h val="0.60188839720365717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Reporting!$A$29</c:f>
              <c:strCache>
                <c:ptCount val="1"/>
                <c:pt idx="0">
                  <c:v>Planned FCP Revenue YTD (2021)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Reporting!$C$29:$N$29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3-4747-9CA0-3A0C67DC4065}"/>
            </c:ext>
          </c:extLst>
        </c:ser>
        <c:ser>
          <c:idx val="3"/>
          <c:order val="1"/>
          <c:tx>
            <c:strRef>
              <c:f>Reporting!$A$30</c:f>
              <c:strCache>
                <c:ptCount val="1"/>
                <c:pt idx="0">
                  <c:v>Actual FCP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Reporting!$C$30:$N$30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53-4747-9CA0-3A0C67DC4065}"/>
            </c:ext>
          </c:extLst>
        </c:ser>
        <c:ser>
          <c:idx val="0"/>
          <c:order val="2"/>
          <c:tx>
            <c:strRef>
              <c:f>Reporting!$A$31</c:f>
              <c:strCache>
                <c:ptCount val="1"/>
                <c:pt idx="0">
                  <c:v>Actual FCP Revenue 2020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Reporting!$C$31:$N$31</c:f>
              <c:numCache>
                <c:formatCode>_-* #\ ##0\ "€"_-;\-* #\ ##0\ "€"_-;_-* "-"??\ "€"_-;_-@_-</c:formatCode>
                <c:ptCount val="12"/>
                <c:pt idx="0">
                  <c:v>1588.5</c:v>
                </c:pt>
                <c:pt idx="1">
                  <c:v>6223.5</c:v>
                </c:pt>
                <c:pt idx="2">
                  <c:v>6823.5</c:v>
                </c:pt>
                <c:pt idx="3">
                  <c:v>8687.5</c:v>
                </c:pt>
                <c:pt idx="4">
                  <c:v>33667.5</c:v>
                </c:pt>
                <c:pt idx="5">
                  <c:v>47392.5</c:v>
                </c:pt>
                <c:pt idx="6">
                  <c:v>84622.5</c:v>
                </c:pt>
                <c:pt idx="7">
                  <c:v>85647.5</c:v>
                </c:pt>
                <c:pt idx="8">
                  <c:v>85647.5</c:v>
                </c:pt>
                <c:pt idx="9">
                  <c:v>86437.5</c:v>
                </c:pt>
                <c:pt idx="10">
                  <c:v>96622.5</c:v>
                </c:pt>
                <c:pt idx="11">
                  <c:v>97412.5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D-4EF5-A492-DA40C4287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32416"/>
        <c:axId val="196733952"/>
      </c:lineChart>
      <c:dateAx>
        <c:axId val="196732416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733952"/>
        <c:crosses val="autoZero"/>
        <c:auto val="1"/>
        <c:lblOffset val="100"/>
        <c:baseTimeUnit val="months"/>
      </c:dateAx>
      <c:valAx>
        <c:axId val="196733952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732416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Service</a:t>
            </a:r>
            <a:r>
              <a:rPr lang="en-US" b="1" baseline="0"/>
              <a:t> </a:t>
            </a:r>
            <a:r>
              <a:rPr lang="en-US" b="1"/>
              <a:t>Revenue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6267054734799644"/>
          <c:y val="0.16372083418005812"/>
          <c:w val="0.72433244503391492"/>
          <c:h val="0.58337215071613124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Reporting!$A$32</c:f>
              <c:strCache>
                <c:ptCount val="1"/>
                <c:pt idx="0">
                  <c:v>Planned Service Revenue YTD (2021) including AIA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Reporting!$C$32:$N$32</c:f>
              <c:numCache>
                <c:formatCode>_-* #\ ##0\ "€"_-;\-* #\ ##0\ "€"_-;_-* "-"??\ "€"_-;_-@_-</c:formatCode>
                <c:ptCount val="12"/>
                <c:pt idx="0">
                  <c:v>41666.666666666664</c:v>
                </c:pt>
                <c:pt idx="1">
                  <c:v>83333.333333333328</c:v>
                </c:pt>
                <c:pt idx="2">
                  <c:v>125000</c:v>
                </c:pt>
                <c:pt idx="3">
                  <c:v>166666.66666666666</c:v>
                </c:pt>
                <c:pt idx="4">
                  <c:v>208333.33333333331</c:v>
                </c:pt>
                <c:pt idx="5">
                  <c:v>249999.99999999997</c:v>
                </c:pt>
                <c:pt idx="6">
                  <c:v>291666.66666666663</c:v>
                </c:pt>
                <c:pt idx="7">
                  <c:v>333333.33333333331</c:v>
                </c:pt>
                <c:pt idx="8">
                  <c:v>375000</c:v>
                </c:pt>
                <c:pt idx="9">
                  <c:v>416666.66666666669</c:v>
                </c:pt>
                <c:pt idx="10">
                  <c:v>458333.33333333337</c:v>
                </c:pt>
                <c:pt idx="11">
                  <c:v>500000.00000000006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B7-4467-ADE7-F274C2116EC6}"/>
            </c:ext>
          </c:extLst>
        </c:ser>
        <c:ser>
          <c:idx val="3"/>
          <c:order val="1"/>
          <c:tx>
            <c:strRef>
              <c:f>Reporting!$A$33</c:f>
              <c:strCache>
                <c:ptCount val="1"/>
                <c:pt idx="0">
                  <c:v>Actual Service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Reporting!$C$33:$N$33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B7-4467-ADE7-F274C2116EC6}"/>
            </c:ext>
          </c:extLst>
        </c:ser>
        <c:ser>
          <c:idx val="0"/>
          <c:order val="2"/>
          <c:tx>
            <c:strRef>
              <c:f>Reporting!$A$34</c:f>
              <c:strCache>
                <c:ptCount val="1"/>
                <c:pt idx="0">
                  <c:v>Actual Service Revenue 2020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Reporting!$C$34:$N$34</c:f>
              <c:numCache>
                <c:formatCode>_-* #\ ##0\ "€"_-;\-* #\ ##0\ "€"_-;_-* "-"??\ "€"_-;_-@_-</c:formatCode>
                <c:ptCount val="12"/>
                <c:pt idx="0">
                  <c:v>15514.5</c:v>
                </c:pt>
                <c:pt idx="1">
                  <c:v>22932.5</c:v>
                </c:pt>
                <c:pt idx="2">
                  <c:v>41579.5</c:v>
                </c:pt>
                <c:pt idx="3">
                  <c:v>49547.65</c:v>
                </c:pt>
                <c:pt idx="4">
                  <c:v>58708.65</c:v>
                </c:pt>
                <c:pt idx="5">
                  <c:v>99658</c:v>
                </c:pt>
                <c:pt idx="6">
                  <c:v>110984</c:v>
                </c:pt>
                <c:pt idx="7">
                  <c:v>136405</c:v>
                </c:pt>
                <c:pt idx="8">
                  <c:v>144601</c:v>
                </c:pt>
                <c:pt idx="9">
                  <c:v>150010.5</c:v>
                </c:pt>
                <c:pt idx="10">
                  <c:v>153341</c:v>
                </c:pt>
                <c:pt idx="11">
                  <c:v>218118.39999999999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C6-4887-96B1-98D4CBBF9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74912"/>
        <c:axId val="196788992"/>
      </c:lineChart>
      <c:dateAx>
        <c:axId val="196774912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788992"/>
        <c:crosses val="autoZero"/>
        <c:auto val="1"/>
        <c:lblOffset val="100"/>
        <c:baseTimeUnit val="months"/>
      </c:dateAx>
      <c:valAx>
        <c:axId val="196788992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774912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/>
              <a:t>Trading</a:t>
            </a:r>
            <a:r>
              <a:rPr lang="en-US" b="1" baseline="0"/>
              <a:t> </a:t>
            </a:r>
            <a:r>
              <a:rPr lang="en-US" b="1"/>
              <a:t>Revenue </a:t>
            </a:r>
            <a:r>
              <a:rPr lang="en-US" b="1" baseline="0"/>
              <a:t>ge</a:t>
            </a:r>
            <a:r>
              <a:rPr lang="en-US" b="1"/>
              <a:t>nerated by HYFR 2020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5316707900648111"/>
          <c:y val="0.17333853135783631"/>
          <c:w val="0.73389888789535596"/>
          <c:h val="0.58927173571079994"/>
        </c:manualLayout>
      </c:layout>
      <c:lineChart>
        <c:grouping val="standard"/>
        <c:varyColors val="0"/>
        <c:ser>
          <c:idx val="1"/>
          <c:order val="0"/>
          <c:tx>
            <c:strRef>
              <c:f>Reporting!$A$35</c:f>
              <c:strCache>
                <c:ptCount val="1"/>
                <c:pt idx="0">
                  <c:v>Planned Trading Revenue YTD (2021)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Reporting!$C$35:$N$35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0C-4304-B15A-FD79D155B399}"/>
            </c:ext>
          </c:extLst>
        </c:ser>
        <c:ser>
          <c:idx val="0"/>
          <c:order val="1"/>
          <c:tx>
            <c:strRef>
              <c:f>Reporting!$A$36</c:f>
              <c:strCache>
                <c:ptCount val="1"/>
                <c:pt idx="0">
                  <c:v>Actual Trading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Reporting!$C$36:$N$36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BD-4E9D-9C0E-795042527495}"/>
            </c:ext>
          </c:extLst>
        </c:ser>
        <c:ser>
          <c:idx val="2"/>
          <c:order val="2"/>
          <c:tx>
            <c:strRef>
              <c:f>Reporting!$A$37</c:f>
              <c:strCache>
                <c:ptCount val="1"/>
                <c:pt idx="0">
                  <c:v>Actual Trading Revenue 2020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Reporting!$C$37:$N$37</c:f>
              <c:numCache>
                <c:formatCode>_-* #\ ##0\ "€"_-;\-* #\ ##0\ "€"_-;_-* "-"??\ "€"_-;_-@_-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6900</c:v>
                </c:pt>
                <c:pt idx="6">
                  <c:v>8904</c:v>
                </c:pt>
                <c:pt idx="7">
                  <c:v>8904</c:v>
                </c:pt>
                <c:pt idx="8">
                  <c:v>8904</c:v>
                </c:pt>
                <c:pt idx="9">
                  <c:v>8904</c:v>
                </c:pt>
                <c:pt idx="10">
                  <c:v>8904</c:v>
                </c:pt>
                <c:pt idx="11">
                  <c:v>8904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86-4481-87C1-EB6B5C133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8736"/>
        <c:axId val="196950272"/>
      </c:lineChart>
      <c:dateAx>
        <c:axId val="196948736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6950272"/>
        <c:crosses val="autoZero"/>
        <c:auto val="1"/>
        <c:lblOffset val="100"/>
        <c:baseTimeUnit val="months"/>
      </c:dateAx>
      <c:valAx>
        <c:axId val="196950272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948736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HYFR</a:t>
            </a:r>
            <a:r>
              <a:rPr lang="en-US" baseline="0"/>
              <a:t> Revenue and EAT 2020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Reporting!$A$47</c:f>
              <c:strCache>
                <c:ptCount val="1"/>
                <c:pt idx="0">
                  <c:v>Planned HYFR Revenue YTD (2021)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Reporting!$C$47:$N$47</c:f>
              <c:numCache>
                <c:formatCode>_-* #\ ##0\ "€"_-;\-* #\ ##0\ "€"_-;_-* "-"??\ "€"_-;_-@_-</c:formatCode>
                <c:ptCount val="12"/>
                <c:pt idx="0">
                  <c:v>112254.33333333333</c:v>
                </c:pt>
                <c:pt idx="1">
                  <c:v>224508.66666666666</c:v>
                </c:pt>
                <c:pt idx="2">
                  <c:v>336763</c:v>
                </c:pt>
                <c:pt idx="3">
                  <c:v>449017.33333333331</c:v>
                </c:pt>
                <c:pt idx="4">
                  <c:v>561271.66666666663</c:v>
                </c:pt>
                <c:pt idx="5">
                  <c:v>673526</c:v>
                </c:pt>
                <c:pt idx="6">
                  <c:v>785780.33333333337</c:v>
                </c:pt>
                <c:pt idx="7">
                  <c:v>898034.66666666674</c:v>
                </c:pt>
                <c:pt idx="8">
                  <c:v>1010289.0000000001</c:v>
                </c:pt>
                <c:pt idx="9">
                  <c:v>1122543.3333333335</c:v>
                </c:pt>
                <c:pt idx="10">
                  <c:v>1234797.6666666667</c:v>
                </c:pt>
                <c:pt idx="11">
                  <c:v>1347052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244-43F5-94EE-389F72736ED2}"/>
            </c:ext>
          </c:extLst>
        </c:ser>
        <c:ser>
          <c:idx val="1"/>
          <c:order val="1"/>
          <c:tx>
            <c:strRef>
              <c:f>Reporting!$A$48</c:f>
              <c:strCache>
                <c:ptCount val="1"/>
                <c:pt idx="0">
                  <c:v>Actual HYFR Revenue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Reporting!$C$48:$N$48</c:f>
              <c:numCache>
                <c:formatCode>_-* #\ ##0\ "€"_-;\-* #\ ##0\ "€"_-;_-* "-"??\ "€"_-;_-@_-</c:formatCode>
                <c:ptCount val="12"/>
                <c:pt idx="0">
                  <c:v>28780.974999999999</c:v>
                </c:pt>
                <c:pt idx="1">
                  <c:v>50109.210749999991</c:v>
                </c:pt>
                <c:pt idx="2">
                  <c:v>64850.31074999999</c:v>
                </c:pt>
                <c:pt idx="3">
                  <c:v>64903.93574999999</c:v>
                </c:pt>
                <c:pt idx="4">
                  <c:v>64903.93574999999</c:v>
                </c:pt>
                <c:pt idx="5">
                  <c:v>64903.93574999999</c:v>
                </c:pt>
                <c:pt idx="6">
                  <c:v>64903.93574999999</c:v>
                </c:pt>
                <c:pt idx="7">
                  <c:v>64903.93574999999</c:v>
                </c:pt>
                <c:pt idx="8">
                  <c:v>64903.93574999999</c:v>
                </c:pt>
                <c:pt idx="9">
                  <c:v>64903.93574999999</c:v>
                </c:pt>
                <c:pt idx="10">
                  <c:v>64903.93574999999</c:v>
                </c:pt>
                <c:pt idx="11">
                  <c:v>64903.93574999999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244-43F5-94EE-389F72736ED2}"/>
            </c:ext>
          </c:extLst>
        </c:ser>
        <c:ser>
          <c:idx val="4"/>
          <c:order val="2"/>
          <c:tx>
            <c:strRef>
              <c:f>Reporting!$A$25</c:f>
              <c:strCache>
                <c:ptCount val="1"/>
                <c:pt idx="0">
                  <c:v>Planned EAT YTD</c:v>
                </c:pt>
              </c:strCache>
            </c:strRef>
          </c:tx>
          <c:spPr>
            <a:ln>
              <a:solidFill>
                <a:srgbClr val="FF7C8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Reporting!$C$25:$N$25</c:f>
            </c:numRef>
          </c:val>
          <c:smooth val="0"/>
          <c:extLst>
            <c:ext xmlns:c16="http://schemas.microsoft.com/office/drawing/2014/chart" uri="{C3380CC4-5D6E-409C-BE32-E72D297353CC}">
              <c16:uniqueId val="{00000018-5307-481B-BE9F-230F6CD81544}"/>
            </c:ext>
          </c:extLst>
        </c:ser>
        <c:ser>
          <c:idx val="3"/>
          <c:order val="3"/>
          <c:tx>
            <c:strRef>
              <c:f>Reporting!$A$24</c:f>
              <c:strCache>
                <c:ptCount val="1"/>
                <c:pt idx="0">
                  <c:v>Actual EAT YTD</c:v>
                </c:pt>
              </c:strCache>
            </c:strRef>
          </c:tx>
          <c:spPr>
            <a:ln>
              <a:solidFill>
                <a:srgbClr val="92D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Reporting!$C$24:$N$24</c:f>
              <c:numCache>
                <c:formatCode>_-* #\ ##0\ "€"_-;\-* #\ ##0\ "€"_-;_-* "-"??\ "€"_-;_-@_-</c:formatCode>
                <c:ptCount val="12"/>
                <c:pt idx="0">
                  <c:v>138</c:v>
                </c:pt>
                <c:pt idx="1">
                  <c:v>3976</c:v>
                </c:pt>
                <c:pt idx="2">
                  <c:v>3976</c:v>
                </c:pt>
                <c:pt idx="3">
                  <c:v>3976</c:v>
                </c:pt>
                <c:pt idx="4">
                  <c:v>3976</c:v>
                </c:pt>
                <c:pt idx="5">
                  <c:v>3976</c:v>
                </c:pt>
                <c:pt idx="6">
                  <c:v>3976</c:v>
                </c:pt>
                <c:pt idx="7">
                  <c:v>3976</c:v>
                </c:pt>
                <c:pt idx="8">
                  <c:v>3976</c:v>
                </c:pt>
                <c:pt idx="9">
                  <c:v>3976</c:v>
                </c:pt>
                <c:pt idx="10">
                  <c:v>3976</c:v>
                </c:pt>
                <c:pt idx="11">
                  <c:v>3976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307-481B-BE9F-230F6CD81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92384"/>
        <c:axId val="196998272"/>
      </c:lineChart>
      <c:dateAx>
        <c:axId val="196992384"/>
        <c:scaling>
          <c:orientation val="minMax"/>
        </c:scaling>
        <c:delete val="0"/>
        <c:axPos val="b"/>
        <c:numFmt formatCode="[$-809]mmm" sourceLinked="1"/>
        <c:majorTickMark val="out"/>
        <c:minorTickMark val="none"/>
        <c:tickLblPos val="nextTo"/>
        <c:crossAx val="196998272"/>
        <c:crosses val="autoZero"/>
        <c:auto val="1"/>
        <c:lblOffset val="100"/>
        <c:baseTimeUnit val="months"/>
      </c:dateAx>
      <c:valAx>
        <c:axId val="196998272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9923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GSE/TOOLS HYKG Order Intake generated by HYFR 2021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768999276393865"/>
          <c:y val="8.6945689359222381E-2"/>
          <c:w val="0.80080092322992413"/>
          <c:h val="0.66573512419865177"/>
        </c:manualLayout>
      </c:layout>
      <c:lineChart>
        <c:grouping val="standard"/>
        <c:varyColors val="0"/>
        <c:ser>
          <c:idx val="0"/>
          <c:order val="0"/>
          <c:tx>
            <c:strRef>
              <c:f>Reporting!$A$66</c:f>
              <c:strCache>
                <c:ptCount val="1"/>
                <c:pt idx="0">
                  <c:v>Originally Planned GSE/Tools HYKG Order Intake YTD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Reporting!$C$66:$N$66</c:f>
              <c:numCache>
                <c:formatCode>_-* #\ ##0\ "€"_-;\-* #\ ##0\ "€"_-;_-* "-"??\ "€"_-;_-@_-</c:formatCode>
                <c:ptCount val="12"/>
                <c:pt idx="0">
                  <c:v>580583.33333333337</c:v>
                </c:pt>
                <c:pt idx="1">
                  <c:v>1161166.6666666667</c:v>
                </c:pt>
                <c:pt idx="2">
                  <c:v>1741750</c:v>
                </c:pt>
                <c:pt idx="3">
                  <c:v>2322333.3333333335</c:v>
                </c:pt>
                <c:pt idx="4">
                  <c:v>2902916.666666667</c:v>
                </c:pt>
                <c:pt idx="5">
                  <c:v>3483500.0000000005</c:v>
                </c:pt>
                <c:pt idx="6">
                  <c:v>4064083.333333334</c:v>
                </c:pt>
                <c:pt idx="7">
                  <c:v>4644666.666666667</c:v>
                </c:pt>
                <c:pt idx="8">
                  <c:v>5225250</c:v>
                </c:pt>
                <c:pt idx="9">
                  <c:v>5805833.333333333</c:v>
                </c:pt>
                <c:pt idx="10">
                  <c:v>6386416.666666666</c:v>
                </c:pt>
                <c:pt idx="11">
                  <c:v>6966999.9999999991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1C-4BDB-AECB-4D8461455813}"/>
            </c:ext>
          </c:extLst>
        </c:ser>
        <c:ser>
          <c:idx val="2"/>
          <c:order val="1"/>
          <c:tx>
            <c:strRef>
              <c:f>Reporting!$A$67</c:f>
              <c:strCache>
                <c:ptCount val="1"/>
                <c:pt idx="0">
                  <c:v>Revised GSE/Tools HYKG Order Intake YTD</c:v>
                </c:pt>
              </c:strCache>
            </c:strRef>
          </c:tx>
          <c:spPr>
            <a:ln>
              <a:solidFill>
                <a:srgbClr val="4A7EBB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Reporting!$C$67:$N$67</c:f>
              <c:numCache>
                <c:formatCode>_-* #\ ##0\ "€"_-;\-* #\ ##0\ "€"_-;_-* "-"??\ "€"_-;_-@_-</c:formatCode>
                <c:ptCount val="12"/>
                <c:pt idx="0">
                  <c:v>396192.91666666669</c:v>
                </c:pt>
                <c:pt idx="1">
                  <c:v>792385.83333333337</c:v>
                </c:pt>
                <c:pt idx="2">
                  <c:v>1188578.75</c:v>
                </c:pt>
                <c:pt idx="3">
                  <c:v>1584771.6666666667</c:v>
                </c:pt>
                <c:pt idx="4">
                  <c:v>1980964.5833333335</c:v>
                </c:pt>
                <c:pt idx="5">
                  <c:v>2377157.5</c:v>
                </c:pt>
                <c:pt idx="6">
                  <c:v>2773350.4166666665</c:v>
                </c:pt>
                <c:pt idx="7">
                  <c:v>3169543.333333333</c:v>
                </c:pt>
                <c:pt idx="8">
                  <c:v>3565736.2499999995</c:v>
                </c:pt>
                <c:pt idx="9">
                  <c:v>3961929.166666666</c:v>
                </c:pt>
                <c:pt idx="10">
                  <c:v>4358122.083333333</c:v>
                </c:pt>
                <c:pt idx="11">
                  <c:v>4754315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0C-463E-935C-991433CC955B}"/>
            </c:ext>
          </c:extLst>
        </c:ser>
        <c:ser>
          <c:idx val="3"/>
          <c:order val="2"/>
          <c:tx>
            <c:strRef>
              <c:f>Reporting!$A$68</c:f>
              <c:strCache>
                <c:ptCount val="1"/>
                <c:pt idx="0">
                  <c:v>Revised II GSE/Tools HYKG Order Intake YTD</c:v>
                </c:pt>
              </c:strCache>
            </c:strRef>
          </c:tx>
          <c:spPr>
            <a:ln>
              <a:solidFill>
                <a:srgbClr val="92D050"/>
              </a:solidFill>
              <a:prstDash val="solid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Reporting!$C$68:$N$68</c:f>
              <c:numCache>
                <c:formatCode>_-* #\ ##0\ "€"_-;\-* #\ ##0\ "€"_-;_-* "-"??\ "€"_-;_-@_-</c:formatCode>
                <c:ptCount val="12"/>
                <c:pt idx="0">
                  <c:v>290291.66666666669</c:v>
                </c:pt>
                <c:pt idx="1">
                  <c:v>580583.33333333337</c:v>
                </c:pt>
                <c:pt idx="2">
                  <c:v>870875</c:v>
                </c:pt>
                <c:pt idx="3">
                  <c:v>1161166.6666666667</c:v>
                </c:pt>
                <c:pt idx="4">
                  <c:v>1451458.3333333335</c:v>
                </c:pt>
                <c:pt idx="5">
                  <c:v>1741750.0000000002</c:v>
                </c:pt>
                <c:pt idx="6">
                  <c:v>2032041.666666667</c:v>
                </c:pt>
                <c:pt idx="7">
                  <c:v>2322333.3333333335</c:v>
                </c:pt>
                <c:pt idx="8">
                  <c:v>2612625</c:v>
                </c:pt>
                <c:pt idx="9">
                  <c:v>2902916.6666666665</c:v>
                </c:pt>
                <c:pt idx="10">
                  <c:v>3193208.333333333</c:v>
                </c:pt>
                <c:pt idx="11">
                  <c:v>3483499.9999999995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1C-4BDB-AECB-4D8461455813}"/>
            </c:ext>
          </c:extLst>
        </c:ser>
        <c:ser>
          <c:idx val="4"/>
          <c:order val="3"/>
          <c:tx>
            <c:strRef>
              <c:f>Reporting!$A$69</c:f>
              <c:strCache>
                <c:ptCount val="1"/>
                <c:pt idx="0">
                  <c:v>Actual GSE/Tools HYKG Order Intake YTD</c:v>
                </c:pt>
              </c:strCache>
            </c:strRef>
          </c:tx>
          <c:spPr>
            <a:ln>
              <a:solidFill>
                <a:srgbClr val="00B050"/>
              </a:solidFill>
              <a:prstDash val="sysDash"/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Reporting!$C$69:$N$69</c:f>
              <c:numCache>
                <c:formatCode>_-* #\ ##0\ "€"_-;\-* #\ ##0\ "€"_-;_-* "-"??\ "€"_-;_-@_-</c:formatCode>
                <c:ptCount val="12"/>
                <c:pt idx="0">
                  <c:v>340509.94999999995</c:v>
                </c:pt>
                <c:pt idx="1">
                  <c:v>426214.50973182113</c:v>
                </c:pt>
                <c:pt idx="2">
                  <c:v>959445.50973182113</c:v>
                </c:pt>
                <c:pt idx="3">
                  <c:v>1730571.5097318213</c:v>
                </c:pt>
                <c:pt idx="4">
                  <c:v>1730571.5097318213</c:v>
                </c:pt>
                <c:pt idx="5">
                  <c:v>1730571.5097318213</c:v>
                </c:pt>
                <c:pt idx="6">
                  <c:v>1730571.5097318213</c:v>
                </c:pt>
                <c:pt idx="7">
                  <c:v>1730571.5097318213</c:v>
                </c:pt>
                <c:pt idx="8">
                  <c:v>1730571.5097318213</c:v>
                </c:pt>
                <c:pt idx="9">
                  <c:v>1730571.5097318213</c:v>
                </c:pt>
                <c:pt idx="10">
                  <c:v>1730571.5097318213</c:v>
                </c:pt>
                <c:pt idx="11">
                  <c:v>1730571.5097318213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0E-4EFC-BC1A-330969061ACD}"/>
            </c:ext>
          </c:extLst>
        </c:ser>
        <c:ser>
          <c:idx val="1"/>
          <c:order val="4"/>
          <c:tx>
            <c:strRef>
              <c:f>Reporting!$A$70</c:f>
              <c:strCache>
                <c:ptCount val="1"/>
                <c:pt idx="0">
                  <c:v>Actual  GSE/Tools HYKD Order Intake 2019 YTD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Reporting!$C$1:$N$1</c:f>
              <c:numCache>
                <c:formatCode>[$-809]mmm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Reporting!$C$70:$N$70</c:f>
              <c:numCache>
                <c:formatCode>_-* #\ ##0\ "€"_-;\-* #\ ##0\ "€"_-;_-* "-"??\ "€"_-;_-@_-</c:formatCode>
                <c:ptCount val="12"/>
                <c:pt idx="0">
                  <c:v>276408.88</c:v>
                </c:pt>
                <c:pt idx="1">
                  <c:v>810219.39</c:v>
                </c:pt>
                <c:pt idx="2">
                  <c:v>1222990.72</c:v>
                </c:pt>
                <c:pt idx="3">
                  <c:v>1393067.6199999999</c:v>
                </c:pt>
                <c:pt idx="4">
                  <c:v>3383382.32</c:v>
                </c:pt>
                <c:pt idx="5">
                  <c:v>4187121</c:v>
                </c:pt>
                <c:pt idx="6">
                  <c:v>4422240.9800000004</c:v>
                </c:pt>
                <c:pt idx="7">
                  <c:v>4511704.25</c:v>
                </c:pt>
                <c:pt idx="8">
                  <c:v>6332709.9399999995</c:v>
                </c:pt>
                <c:pt idx="9">
                  <c:v>7258662.1199999992</c:v>
                </c:pt>
                <c:pt idx="10">
                  <c:v>7518405.4799999995</c:v>
                </c:pt>
                <c:pt idx="11">
                  <c:v>8510925.8200000003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C-4BDB-AECB-4D8461455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033344"/>
        <c:axId val="197043328"/>
      </c:lineChart>
      <c:dateAx>
        <c:axId val="197033344"/>
        <c:scaling>
          <c:orientation val="minMax"/>
        </c:scaling>
        <c:delete val="1"/>
        <c:axPos val="b"/>
        <c:numFmt formatCode="[$-809]mmm" sourceLinked="1"/>
        <c:majorTickMark val="out"/>
        <c:minorTickMark val="none"/>
        <c:tickLblPos val="nextTo"/>
        <c:crossAx val="197043328"/>
        <c:crosses val="autoZero"/>
        <c:auto val="1"/>
        <c:lblOffset val="100"/>
        <c:baseTimeUnit val="months"/>
      </c:dateAx>
      <c:valAx>
        <c:axId val="197043328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7033344"/>
        <c:crosses val="autoZero"/>
        <c:crossBetween val="between"/>
      </c:valAx>
      <c:dTable>
        <c:showHorzBorder val="1"/>
        <c:showVertBorder val="1"/>
        <c:showOutline val="0"/>
        <c:showKeys val="1"/>
      </c:dTable>
    </c:plotArea>
    <c:plotVisOnly val="1"/>
    <c:dispBlanksAs val="gap"/>
    <c:showDLblsOverMax val="0"/>
  </c:chart>
  <c:spPr>
    <a:ln>
      <a:noFill/>
    </a:ln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6"/>
          <c:order val="0"/>
          <c:tx>
            <c:strRef>
              <c:f>'Weekly Data'!$B$2</c:f>
              <c:strCache>
                <c:ptCount val="1"/>
                <c:pt idx="0">
                  <c:v> Devis 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</c:spPr>
          <c:invertIfNegative val="0"/>
          <c:val>
            <c:numRef>
              <c:f>'Weekly Data'!$C$2:$BB$2</c:f>
              <c:numCache>
                <c:formatCode>_-* #\ ##0\ [$€-407]_-;\-* #\ ##0\ [$€-407]_-;_-* "-"??\ [$€-407]_-;_-@_-</c:formatCode>
                <c:ptCount val="52"/>
                <c:pt idx="0">
                  <c:v>12719</c:v>
                </c:pt>
                <c:pt idx="1">
                  <c:v>43355</c:v>
                </c:pt>
                <c:pt idx="2">
                  <c:v>27121</c:v>
                </c:pt>
                <c:pt idx="3">
                  <c:v>660</c:v>
                </c:pt>
                <c:pt idx="4">
                  <c:v>21496</c:v>
                </c:pt>
                <c:pt idx="5">
                  <c:v>14804</c:v>
                </c:pt>
                <c:pt idx="6">
                  <c:v>71457.399999999994</c:v>
                </c:pt>
                <c:pt idx="7">
                  <c:v>1915</c:v>
                </c:pt>
                <c:pt idx="8">
                  <c:v>23765</c:v>
                </c:pt>
                <c:pt idx="9">
                  <c:v>5007</c:v>
                </c:pt>
                <c:pt idx="10">
                  <c:v>26736</c:v>
                </c:pt>
                <c:pt idx="11">
                  <c:v>707</c:v>
                </c:pt>
                <c:pt idx="12">
                  <c:v>3180</c:v>
                </c:pt>
                <c:pt idx="13">
                  <c:v>18533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772-9AFC-20906BF0827B}"/>
            </c:ext>
          </c:extLst>
        </c:ser>
        <c:ser>
          <c:idx val="0"/>
          <c:order val="1"/>
          <c:tx>
            <c:strRef>
              <c:f>'Weekly Data'!$B$3</c:f>
              <c:strCache>
                <c:ptCount val="1"/>
                <c:pt idx="0">
                  <c:v> Cmde 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invertIfNegative val="0"/>
          <c:val>
            <c:numRef>
              <c:f>'Weekly Data'!$C$3:$BB$3</c:f>
              <c:numCache>
                <c:formatCode>_-* #\ ##0\ [$€-407]_-;\-* #\ ##0\ [$€-407]_-;_-* "-"??\ [$€-407]_-;_-@_-</c:formatCode>
                <c:ptCount val="52"/>
                <c:pt idx="0">
                  <c:v>0</c:v>
                </c:pt>
                <c:pt idx="1">
                  <c:v>12384</c:v>
                </c:pt>
                <c:pt idx="2">
                  <c:v>660</c:v>
                </c:pt>
                <c:pt idx="3">
                  <c:v>8736</c:v>
                </c:pt>
                <c:pt idx="4">
                  <c:v>5150</c:v>
                </c:pt>
                <c:pt idx="5">
                  <c:v>3180</c:v>
                </c:pt>
                <c:pt idx="6">
                  <c:v>77275</c:v>
                </c:pt>
                <c:pt idx="7">
                  <c:v>33077</c:v>
                </c:pt>
                <c:pt idx="8">
                  <c:v>8097</c:v>
                </c:pt>
                <c:pt idx="9">
                  <c:v>13676</c:v>
                </c:pt>
                <c:pt idx="10">
                  <c:v>2396</c:v>
                </c:pt>
                <c:pt idx="11">
                  <c:v>12223</c:v>
                </c:pt>
                <c:pt idx="12">
                  <c:v>1386</c:v>
                </c:pt>
                <c:pt idx="13">
                  <c:v>15131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772-9AFC-20906BF0827B}"/>
            </c:ext>
          </c:extLst>
        </c:ser>
        <c:ser>
          <c:idx val="2"/>
          <c:order val="2"/>
          <c:tx>
            <c:strRef>
              <c:f>'Weekly Data'!$B$4</c:f>
              <c:strCache>
                <c:ptCount val="1"/>
                <c:pt idx="0">
                  <c:v> CA 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invertIfNegative val="0"/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Data'!$C$4:$BB$4</c:f>
              <c:numCache>
                <c:formatCode>_-* #\ ##0\ [$€-407]_-;\-* #\ ##0\ [$€-407]_-;_-* "-"??\ [$€-407]_-;_-@_-</c:formatCode>
                <c:ptCount val="52"/>
                <c:pt idx="0">
                  <c:v>0</c:v>
                </c:pt>
                <c:pt idx="1">
                  <c:v>3180</c:v>
                </c:pt>
                <c:pt idx="2">
                  <c:v>5516</c:v>
                </c:pt>
                <c:pt idx="3">
                  <c:v>0</c:v>
                </c:pt>
                <c:pt idx="4">
                  <c:v>660</c:v>
                </c:pt>
                <c:pt idx="5">
                  <c:v>20605</c:v>
                </c:pt>
                <c:pt idx="6">
                  <c:v>5085</c:v>
                </c:pt>
                <c:pt idx="7">
                  <c:v>6347</c:v>
                </c:pt>
                <c:pt idx="8">
                  <c:v>6416</c:v>
                </c:pt>
                <c:pt idx="9">
                  <c:v>5883.5</c:v>
                </c:pt>
                <c:pt idx="10">
                  <c:v>5120</c:v>
                </c:pt>
                <c:pt idx="11">
                  <c:v>14389</c:v>
                </c:pt>
                <c:pt idx="12">
                  <c:v>20320</c:v>
                </c:pt>
                <c:pt idx="13">
                  <c:v>15309</c:v>
                </c:pt>
                <c:pt idx="14">
                  <c:v>385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772-9AFC-20906BF08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201920"/>
        <c:axId val="197203456"/>
      </c:barChart>
      <c:lineChart>
        <c:grouping val="standard"/>
        <c:varyColors val="0"/>
        <c:ser>
          <c:idx val="3"/>
          <c:order val="3"/>
          <c:tx>
            <c:strRef>
              <c:f>'Weekly Data'!$B$5</c:f>
              <c:strCache>
                <c:ptCount val="1"/>
                <c:pt idx="0">
                  <c:v> Expected Target OI </c:v>
                </c:pt>
              </c:strCache>
            </c:strRef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  <a:prstDash val="dash"/>
            </a:ln>
          </c:spPr>
          <c:marker>
            <c:symbol val="none"/>
          </c:marker>
          <c:cat>
            <c:strRef>
              <c:f>'Weekly Data'!$C$1:$BB$1</c:f>
              <c:strCache>
                <c:ptCount val="52"/>
                <c:pt idx="0">
                  <c:v>S01</c:v>
                </c:pt>
                <c:pt idx="1">
                  <c:v>S02</c:v>
                </c:pt>
                <c:pt idx="2">
                  <c:v>S03</c:v>
                </c:pt>
                <c:pt idx="3">
                  <c:v>S04</c:v>
                </c:pt>
                <c:pt idx="4">
                  <c:v>S05</c:v>
                </c:pt>
                <c:pt idx="5">
                  <c:v>S06</c:v>
                </c:pt>
                <c:pt idx="6">
                  <c:v>S07</c:v>
                </c:pt>
                <c:pt idx="7">
                  <c:v>S08</c:v>
                </c:pt>
                <c:pt idx="8">
                  <c:v>S09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  <c:pt idx="19">
                  <c:v>S20</c:v>
                </c:pt>
                <c:pt idx="20">
                  <c:v>S21</c:v>
                </c:pt>
                <c:pt idx="21">
                  <c:v>S22</c:v>
                </c:pt>
                <c:pt idx="22">
                  <c:v>S23</c:v>
                </c:pt>
                <c:pt idx="23">
                  <c:v>S24</c:v>
                </c:pt>
                <c:pt idx="24">
                  <c:v>S25</c:v>
                </c:pt>
                <c:pt idx="25">
                  <c:v>S26</c:v>
                </c:pt>
                <c:pt idx="26">
                  <c:v>S27</c:v>
                </c:pt>
                <c:pt idx="27">
                  <c:v>S28</c:v>
                </c:pt>
                <c:pt idx="28">
                  <c:v>S29</c:v>
                </c:pt>
                <c:pt idx="29">
                  <c:v>S30</c:v>
                </c:pt>
                <c:pt idx="30">
                  <c:v>S31</c:v>
                </c:pt>
                <c:pt idx="31">
                  <c:v>S32</c:v>
                </c:pt>
                <c:pt idx="32">
                  <c:v>S33</c:v>
                </c:pt>
                <c:pt idx="33">
                  <c:v>S34</c:v>
                </c:pt>
                <c:pt idx="34">
                  <c:v>S35</c:v>
                </c:pt>
                <c:pt idx="35">
                  <c:v>S36</c:v>
                </c:pt>
                <c:pt idx="36">
                  <c:v>S37</c:v>
                </c:pt>
                <c:pt idx="37">
                  <c:v>S38</c:v>
                </c:pt>
                <c:pt idx="38">
                  <c:v>S39</c:v>
                </c:pt>
                <c:pt idx="39">
                  <c:v>S40</c:v>
                </c:pt>
                <c:pt idx="40">
                  <c:v>S41</c:v>
                </c:pt>
                <c:pt idx="41">
                  <c:v>S42</c:v>
                </c:pt>
                <c:pt idx="42">
                  <c:v>S43</c:v>
                </c:pt>
                <c:pt idx="43">
                  <c:v>S44</c:v>
                </c:pt>
                <c:pt idx="44">
                  <c:v>S45</c:v>
                </c:pt>
                <c:pt idx="45">
                  <c:v>S46</c:v>
                </c:pt>
                <c:pt idx="46">
                  <c:v>S47</c:v>
                </c:pt>
                <c:pt idx="47">
                  <c:v>S48</c:v>
                </c:pt>
                <c:pt idx="48">
                  <c:v>S49</c:v>
                </c:pt>
                <c:pt idx="49">
                  <c:v>S50</c:v>
                </c:pt>
                <c:pt idx="50">
                  <c:v>S51</c:v>
                </c:pt>
                <c:pt idx="51">
                  <c:v>S52</c:v>
                </c:pt>
              </c:strCache>
            </c:strRef>
          </c:cat>
          <c:val>
            <c:numRef>
              <c:f>'Weekly Data'!$C$5:$BB$5</c:f>
            </c:numRef>
          </c:val>
          <c:smooth val="0"/>
          <c:extLst>
            <c:ext xmlns:c16="http://schemas.microsoft.com/office/drawing/2014/chart" uri="{C3380CC4-5D6E-409C-BE32-E72D297353CC}">
              <c16:uniqueId val="{00000003-7CFB-4772-9AFC-20906BF0827B}"/>
            </c:ext>
          </c:extLst>
        </c:ser>
        <c:ser>
          <c:idx val="4"/>
          <c:order val="4"/>
          <c:tx>
            <c:strRef>
              <c:f>'Weekly Data'!$B$6</c:f>
              <c:strCache>
                <c:ptCount val="1"/>
                <c:pt idx="0">
                  <c:v> Expected Target Revenue 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val>
            <c:numRef>
              <c:f>'Weekly Data'!$C$6:$BB$6</c:f>
            </c:numRef>
          </c:val>
          <c:smooth val="0"/>
          <c:extLst>
            <c:ext xmlns:c16="http://schemas.microsoft.com/office/drawing/2014/chart" uri="{C3380CC4-5D6E-409C-BE32-E72D297353CC}">
              <c16:uniqueId val="{00000004-7CFB-4772-9AFC-20906BF0827B}"/>
            </c:ext>
          </c:extLst>
        </c:ser>
        <c:ser>
          <c:idx val="1"/>
          <c:order val="5"/>
          <c:tx>
            <c:strRef>
              <c:f>'Weekly Data'!$B$13</c:f>
              <c:strCache>
                <c:ptCount val="1"/>
                <c:pt idx="0">
                  <c:v>Backlog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  <a:prstDash val="sysDot"/>
            </a:ln>
          </c:spPr>
          <c:marker>
            <c:symbol val="none"/>
          </c:marker>
          <c:val>
            <c:numRef>
              <c:f>'Weekly Data'!$C$13:$BB$13</c:f>
              <c:numCache>
                <c:formatCode>_-* #\ ##0\ [$€-407]_-;\-* #\ ##0\ [$€-407]_-;_-* "-"??\ [$€-407]_-;_-@_-</c:formatCode>
                <c:ptCount val="52"/>
                <c:pt idx="0" formatCode="_-* #\ ##0\ &quot;€&quot;_-;\-* #\ ##0\ &quot;€&quot;_-;_-* &quot;-&quot;??\ &quot;€&quot;_-;_-@_-">
                  <c:v>39254</c:v>
                </c:pt>
                <c:pt idx="1">
                  <c:v>48458</c:v>
                </c:pt>
                <c:pt idx="2">
                  <c:v>43602</c:v>
                </c:pt>
                <c:pt idx="3">
                  <c:v>52338</c:v>
                </c:pt>
                <c:pt idx="4">
                  <c:v>56828</c:v>
                </c:pt>
                <c:pt idx="5">
                  <c:v>39403</c:v>
                </c:pt>
                <c:pt idx="6">
                  <c:v>111593</c:v>
                </c:pt>
                <c:pt idx="7">
                  <c:v>138323</c:v>
                </c:pt>
                <c:pt idx="8">
                  <c:v>140004</c:v>
                </c:pt>
                <c:pt idx="9">
                  <c:v>147796.5</c:v>
                </c:pt>
                <c:pt idx="10">
                  <c:v>145072.5</c:v>
                </c:pt>
                <c:pt idx="11">
                  <c:v>142906.5</c:v>
                </c:pt>
                <c:pt idx="12">
                  <c:v>123972.5</c:v>
                </c:pt>
                <c:pt idx="13">
                  <c:v>123794.5</c:v>
                </c:pt>
                <c:pt idx="14">
                  <c:v>123409.5</c:v>
                </c:pt>
                <c:pt idx="15">
                  <c:v>123409.5</c:v>
                </c:pt>
                <c:pt idx="16">
                  <c:v>123409.5</c:v>
                </c:pt>
                <c:pt idx="17">
                  <c:v>123409.5</c:v>
                </c:pt>
                <c:pt idx="18">
                  <c:v>123409.5</c:v>
                </c:pt>
                <c:pt idx="19">
                  <c:v>123409.5</c:v>
                </c:pt>
                <c:pt idx="20">
                  <c:v>123409.5</c:v>
                </c:pt>
                <c:pt idx="21">
                  <c:v>123409.5</c:v>
                </c:pt>
                <c:pt idx="22">
                  <c:v>123409.5</c:v>
                </c:pt>
                <c:pt idx="23">
                  <c:v>123409.5</c:v>
                </c:pt>
                <c:pt idx="24">
                  <c:v>123409.5</c:v>
                </c:pt>
                <c:pt idx="25">
                  <c:v>123409.5</c:v>
                </c:pt>
                <c:pt idx="26">
                  <c:v>123409.5</c:v>
                </c:pt>
                <c:pt idx="27">
                  <c:v>123409.5</c:v>
                </c:pt>
                <c:pt idx="28">
                  <c:v>123409.5</c:v>
                </c:pt>
                <c:pt idx="29">
                  <c:v>123409.5</c:v>
                </c:pt>
                <c:pt idx="30">
                  <c:v>123409.5</c:v>
                </c:pt>
                <c:pt idx="31">
                  <c:v>123409.5</c:v>
                </c:pt>
                <c:pt idx="32">
                  <c:v>123409.5</c:v>
                </c:pt>
                <c:pt idx="33">
                  <c:v>123409.5</c:v>
                </c:pt>
                <c:pt idx="34">
                  <c:v>123409.5</c:v>
                </c:pt>
                <c:pt idx="35">
                  <c:v>123409.5</c:v>
                </c:pt>
                <c:pt idx="36">
                  <c:v>123409.5</c:v>
                </c:pt>
                <c:pt idx="37">
                  <c:v>123409.5</c:v>
                </c:pt>
                <c:pt idx="38">
                  <c:v>123409.5</c:v>
                </c:pt>
                <c:pt idx="39">
                  <c:v>123409.5</c:v>
                </c:pt>
                <c:pt idx="40">
                  <c:v>123409.5</c:v>
                </c:pt>
                <c:pt idx="41">
                  <c:v>123409.5</c:v>
                </c:pt>
                <c:pt idx="42">
                  <c:v>123409.5</c:v>
                </c:pt>
                <c:pt idx="43">
                  <c:v>123409.5</c:v>
                </c:pt>
                <c:pt idx="44">
                  <c:v>123409.5</c:v>
                </c:pt>
                <c:pt idx="45">
                  <c:v>123409.5</c:v>
                </c:pt>
                <c:pt idx="46">
                  <c:v>123409.5</c:v>
                </c:pt>
                <c:pt idx="47">
                  <c:v>123409.5</c:v>
                </c:pt>
                <c:pt idx="48">
                  <c:v>123409.5</c:v>
                </c:pt>
                <c:pt idx="49">
                  <c:v>123409.5</c:v>
                </c:pt>
                <c:pt idx="50">
                  <c:v>123409.5</c:v>
                </c:pt>
                <c:pt idx="51">
                  <c:v>123409.5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FB-4772-9AFC-20906BF08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01920"/>
        <c:axId val="197203456"/>
      </c:lineChart>
      <c:catAx>
        <c:axId val="197201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97203456"/>
        <c:crosses val="autoZero"/>
        <c:auto val="1"/>
        <c:lblAlgn val="ctr"/>
        <c:lblOffset val="100"/>
        <c:noMultiLvlLbl val="0"/>
      </c:catAx>
      <c:valAx>
        <c:axId val="197203456"/>
        <c:scaling>
          <c:orientation val="minMax"/>
        </c:scaling>
        <c:delete val="0"/>
        <c:axPos val="l"/>
        <c:majorGridlines/>
        <c:numFmt formatCode="_-* #\ ##0\ [$€-407]_-;\-* #\ ##0\ [$€-407]_-;_-* &quot;-&quot;??\ [$€-407]_-;_-@_-" sourceLinked="1"/>
        <c:majorTickMark val="out"/>
        <c:minorTickMark val="none"/>
        <c:tickLblPos val="nextTo"/>
        <c:crossAx val="197201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80605529719943"/>
          <c:y val="9.7042506504424864E-2"/>
          <c:w val="0.15006362275033719"/>
          <c:h val="0.454465495851023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61380244609388E-2"/>
          <c:y val="3.4083786427738683E-2"/>
          <c:w val="0.88068333064032012"/>
          <c:h val="0.88900977852379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'Daily Tracking'!$C$115</c:f>
              <c:strCache>
                <c:ptCount val="1"/>
                <c:pt idx="0">
                  <c:v>GSE/Tools O.I. Cum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solidFill>
                <a:schemeClr val="accent1"/>
              </a:solidFill>
            </a:ln>
          </c:spPr>
          <c:invertIfNegative val="0"/>
          <c:dPt>
            <c:idx val="8"/>
            <c:invertIfNegative val="0"/>
            <c:bubble3D val="0"/>
            <c: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46FF-40C8-8272-E7B3ABF0562C}"/>
              </c:ext>
            </c:extLst>
          </c:dPt>
          <c:dPt>
            <c:idx val="9"/>
            <c:invertIfNegative val="0"/>
            <c:bubble3D val="0"/>
            <c: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46FF-40C8-8272-E7B3ABF0562C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46FF-40C8-8272-E7B3ABF0562C}"/>
              </c:ext>
            </c:extLst>
          </c:dPt>
          <c:dPt>
            <c:idx val="11"/>
            <c:invertIfNegative val="0"/>
            <c:bubble3D val="0"/>
            <c: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46FF-40C8-8272-E7B3ABF0562C}"/>
              </c:ext>
            </c:extLst>
          </c:dPt>
          <c:dLbls>
            <c:dLbl>
              <c:idx val="7"/>
              <c:layout>
                <c:manualLayout>
                  <c:x val="2.3910524932982281E-3"/>
                  <c:y val="-2.14894016639903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6FF-40C8-8272-E7B3ABF056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'Daily Tracking'!$D$109:$O$109</c:f>
              <c:strCache>
                <c:ptCount val="12"/>
                <c:pt idx="0">
                  <c:v>Jan</c:v>
                </c:pt>
                <c:pt idx="1">
                  <c:v> 62 127 € </c:v>
                </c:pt>
                <c:pt idx="2">
                  <c:v>Mrz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 -   € 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'Daily Tracking'!$D$115:$O$115</c:f>
              <c:numCache>
                <c:formatCode>_-* #\ ##0\ [$€-40C]_-;\-* #\ ##0\ [$€-40C]_-;_-* "-"??\ [$€-40C]_-;_-@_-</c:formatCode>
                <c:ptCount val="12"/>
                <c:pt idx="0" formatCode="_-* #\ ##0\ &quot;€&quot;_-;\-* #\ ##0\ &quot;€&quot;_-;_-* &quot;-&quot;??\ &quot;€&quot;_-;_-@_-">
                  <c:v>374731</c:v>
                </c:pt>
                <c:pt idx="1">
                  <c:v>5701.8000000000011</c:v>
                </c:pt>
                <c:pt idx="2">
                  <c:v>806492</c:v>
                </c:pt>
                <c:pt idx="4">
                  <c:v>996860</c:v>
                </c:pt>
                <c:pt idx="5">
                  <c:v>996860</c:v>
                </c:pt>
                <c:pt idx="6">
                  <c:v>996860</c:v>
                </c:pt>
                <c:pt idx="7">
                  <c:v>5701.8000000000011</c:v>
                </c:pt>
                <c:pt idx="8">
                  <c:v>1478860</c:v>
                </c:pt>
                <c:pt idx="9">
                  <c:v>2192860</c:v>
                </c:pt>
                <c:pt idx="10">
                  <c:v>2946860</c:v>
                </c:pt>
                <c:pt idx="11">
                  <c:v>2946860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6FF-40C8-8272-E7B3ABF0562C}"/>
            </c:ext>
          </c:extLst>
        </c:ser>
        <c:ser>
          <c:idx val="1"/>
          <c:order val="1"/>
          <c:tx>
            <c:strRef>
              <c:f>'Daily Tracking'!$C$116</c:f>
              <c:strCache>
                <c:ptCount val="1"/>
                <c:pt idx="0">
                  <c:v>O.I. Cum New Cust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'Daily Tracking'!$D$109:$O$109</c:f>
              <c:strCache>
                <c:ptCount val="12"/>
                <c:pt idx="0">
                  <c:v>Jan</c:v>
                </c:pt>
                <c:pt idx="1">
                  <c:v> 62 127 € </c:v>
                </c:pt>
                <c:pt idx="2">
                  <c:v>Mrz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 -   € 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'Daily Tracking'!$D$116:$K$116</c:f>
              <c:numCache>
                <c:formatCode>_-* #\ ##0\ [$€-40C]_-;\-* #\ ##0\ [$€-40C]_-;_-* "-"??\ [$€-40C]_-;_-@_-</c:formatCode>
                <c:ptCount val="8"/>
                <c:pt idx="0" formatCode="_-* #\ ##0\ &quot;€&quot;_-;\-* #\ ##0\ &quot;€&quot;_-;_-* &quot;-&quot;??\ &quot;€&quot;_-;_-@_-">
                  <c:v>5701.8000000000011</c:v>
                </c:pt>
                <c:pt idx="1">
                  <c:v>792385.83333333337</c:v>
                </c:pt>
                <c:pt idx="2">
                  <c:v>5701.8000000000011</c:v>
                </c:pt>
                <c:pt idx="4">
                  <c:v>5701.8000000000011</c:v>
                </c:pt>
                <c:pt idx="5">
                  <c:v>5701.8000000000011</c:v>
                </c:pt>
                <c:pt idx="6">
                  <c:v>5701.8000000000011</c:v>
                </c:pt>
                <c:pt idx="7">
                  <c:v>3169543.333333333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6FF-40C8-8272-E7B3ABF05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065536"/>
        <c:axId val="196071424"/>
      </c:barChart>
      <c:lineChart>
        <c:grouping val="standard"/>
        <c:varyColors val="0"/>
        <c:ser>
          <c:idx val="2"/>
          <c:order val="2"/>
          <c:tx>
            <c:strRef>
              <c:f>'Daily Tracking'!$C$117</c:f>
              <c:strCache>
                <c:ptCount val="1"/>
                <c:pt idx="0">
                  <c:v>Plan GSE/Tools O.I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dLbls>
            <c:dLbl>
              <c:idx val="11"/>
              <c:layout>
                <c:manualLayout>
                  <c:x val="-7.1731574798946842E-3"/>
                  <c:y val="-4.91186323748351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6FF-40C8-8272-E7B3ABF056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 b="1"/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'Daily Tracking'!$D$117:$O$117</c:f>
              <c:numCache>
                <c:formatCode>General</c:formatCode>
                <c:ptCount val="12"/>
                <c:pt idx="0" formatCode="_-* #\ ##0\ &quot;€&quot;_-;\-* #\ ##0\ &quot;€&quot;_-;_-* &quot;-&quot;??\ &quot;€&quot;_-;_-@_-">
                  <c:v>396192.91666666669</c:v>
                </c:pt>
                <c:pt idx="2" formatCode="_-* #\ ##0\ [$€-40C]_-;\-* #\ ##0\ [$€-40C]_-;_-* &quot;-&quot;??\ [$€-40C]_-;_-@_-">
                  <c:v>1188578.75</c:v>
                </c:pt>
                <c:pt idx="4" formatCode="_-* #\ ##0\ [$€-40C]_-;\-* #\ ##0\ [$€-40C]_-;_-* &quot;-&quot;??\ [$€-40C]_-;_-@_-">
                  <c:v>1980964.5833333335</c:v>
                </c:pt>
                <c:pt idx="5" formatCode="_-* #\ ##0\ [$€-40C]_-;\-* #\ ##0\ [$€-40C]_-;_-* &quot;-&quot;??\ [$€-40C]_-;_-@_-">
                  <c:v>2377157.5</c:v>
                </c:pt>
                <c:pt idx="6" formatCode="_-* #\ ##0\ [$€-40C]_-;\-* #\ ##0\ [$€-40C]_-;_-* &quot;-&quot;??\ [$€-40C]_-;_-@_-">
                  <c:v>2773350.4166666665</c:v>
                </c:pt>
                <c:pt idx="8" formatCode="_-* #\ ##0\ [$€-40C]_-;\-* #\ ##0\ [$€-40C]_-;_-* &quot;-&quot;??\ [$€-40C]_-;_-@_-">
                  <c:v>3565736.2499999995</c:v>
                </c:pt>
                <c:pt idx="9" formatCode="_-* #\ ##0\ [$€-40C]_-;\-* #\ ##0\ [$€-40C]_-;_-* &quot;-&quot;??\ [$€-40C]_-;_-@_-">
                  <c:v>3961929.166666666</c:v>
                </c:pt>
                <c:pt idx="10" formatCode="_-* #\ ##0\ [$€-40C]_-;\-* #\ ##0\ [$€-40C]_-;_-* &quot;-&quot;??\ [$€-40C]_-;_-@_-">
                  <c:v>4358122.083333333</c:v>
                </c:pt>
                <c:pt idx="11" formatCode="_-* #\ ##0\ [$€-40C]_-;\-* #\ ##0\ [$€-40C]_-;_-* &quot;-&quot;??\ [$€-40C]_-;_-@_-">
                  <c:v>4754315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6FF-40C8-8272-E7B3ABF05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065536"/>
        <c:axId val="196071424"/>
      </c:lineChart>
      <c:catAx>
        <c:axId val="196065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fr-FR"/>
          </a:p>
        </c:txPr>
        <c:crossAx val="196071424"/>
        <c:crosses val="autoZero"/>
        <c:auto val="1"/>
        <c:lblAlgn val="ctr"/>
        <c:lblOffset val="100"/>
        <c:noMultiLvlLbl val="0"/>
      </c:catAx>
      <c:valAx>
        <c:axId val="196071424"/>
        <c:scaling>
          <c:orientation val="minMax"/>
        </c:scaling>
        <c:delete val="0"/>
        <c:axPos val="l"/>
        <c:majorGridlines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960655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9358680184208945E-2"/>
          <c:y val="5.7677650756371344E-2"/>
          <c:w val="0.17461291543007362"/>
          <c:h val="0.21107789533428589"/>
        </c:manualLayout>
      </c:layout>
      <c:overlay val="0"/>
      <c:txPr>
        <a:bodyPr/>
        <a:lstStyle/>
        <a:p>
          <a:pPr>
            <a:defRPr sz="1400" b="1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85365494714246"/>
          <c:y val="0.10581228756451544"/>
          <c:w val="0.47954824756899306"/>
          <c:h val="0.87893808843640975"/>
        </c:manualLayout>
      </c:layout>
      <c:pieChart>
        <c:varyColors val="1"/>
        <c:ser>
          <c:idx val="0"/>
          <c:order val="0"/>
          <c:spPr>
            <a:ln>
              <a:solidFill>
                <a:schemeClr val="tx2">
                  <a:lumMod val="75000"/>
                </a:schemeClr>
              </a:solidFill>
            </a:ln>
          </c:spPr>
          <c:explosion val="25"/>
          <c:dPt>
            <c:idx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A565-4944-88C9-804D37C0CB50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3-A565-4944-88C9-804D37C0CB50}"/>
              </c:ext>
            </c:extLst>
          </c:dPt>
          <c:dPt>
            <c:idx val="2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5-A565-4944-88C9-804D37C0CB50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7-A565-4944-88C9-804D37C0CB50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9-A565-4944-88C9-804D37C0CB50}"/>
              </c:ext>
            </c:extLst>
          </c:dPt>
          <c:dLbls>
            <c:dLbl>
              <c:idx val="0"/>
              <c:layout>
                <c:manualLayout>
                  <c:x val="6.4361104227334352E-3"/>
                  <c:y val="2.2554474790808313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565-4944-88C9-804D37C0CB50}"/>
                </c:ext>
              </c:extLst>
            </c:dLbl>
            <c:dLbl>
              <c:idx val="1"/>
              <c:layout>
                <c:manualLayout>
                  <c:x val="-0.16889190741324961"/>
                  <c:y val="-0.17056412695391041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565-4944-88C9-804D37C0CB50}"/>
                </c:ext>
              </c:extLst>
            </c:dLbl>
            <c:dLbl>
              <c:idx val="4"/>
              <c:layout>
                <c:manualLayout>
                  <c:x val="-4.4993398622549224E-2"/>
                  <c:y val="0.109406270433569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565-4944-88C9-804D37C0CB50}"/>
                </c:ext>
              </c:extLst>
            </c:dLbl>
            <c:dLbl>
              <c:idx val="5"/>
              <c:layout>
                <c:manualLayout>
                  <c:x val="-5.9170163296341373E-2"/>
                  <c:y val="9.7050869181441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565-4944-88C9-804D37C0CB50}"/>
                </c:ext>
              </c:extLst>
            </c:dLbl>
            <c:dLbl>
              <c:idx val="6"/>
              <c:layout>
                <c:manualLayout>
                  <c:x val="-0.11837855622250659"/>
                  <c:y val="1.5750028446163581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565-4944-88C9-804D37C0CB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/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'Daily Tracking'!$E$121:$E$127</c:f>
              <c:strCache>
                <c:ptCount val="7"/>
                <c:pt idx="0">
                  <c:v>EngSol</c:v>
                </c:pt>
                <c:pt idx="1">
                  <c:v>GSE</c:v>
                </c:pt>
                <c:pt idx="2">
                  <c:v>Others</c:v>
                </c:pt>
                <c:pt idx="3">
                  <c:v>Service (Repair+Spares)</c:v>
                </c:pt>
                <c:pt idx="4">
                  <c:v>TA</c:v>
                </c:pt>
                <c:pt idx="5">
                  <c:v>TE (RR-Aftermarket)</c:v>
                </c:pt>
                <c:pt idx="6">
                  <c:v>TR (RR-Trsp AfterMkt)</c:v>
                </c:pt>
              </c:strCache>
            </c:strRef>
          </c:cat>
          <c:val>
            <c:numRef>
              <c:f>'Daily Tracking'!$F$122:$F$128</c:f>
              <c:numCache>
                <c:formatCode>"€"#,##0_);\("€"#,##0\)</c:formatCode>
                <c:ptCount val="7"/>
                <c:pt idx="0">
                  <c:v>823623</c:v>
                </c:pt>
                <c:pt idx="1">
                  <c:v>3602505</c:v>
                </c:pt>
                <c:pt idx="2">
                  <c:v>64424</c:v>
                </c:pt>
                <c:pt idx="3">
                  <c:v>705800</c:v>
                </c:pt>
                <c:pt idx="4">
                  <c:v>60838</c:v>
                </c:pt>
                <c:pt idx="5">
                  <c:v>319161</c:v>
                </c:pt>
                <c:pt idx="6">
                  <c:v>550320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65-4944-88C9-804D37C0C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8310292651199467"/>
          <c:y val="0.18593497656563188"/>
          <c:w val="0.29326574921193677"/>
          <c:h val="0.56512993308408188"/>
        </c:manualLayout>
      </c:layout>
      <c:overlay val="0"/>
      <c:txPr>
        <a:bodyPr/>
        <a:lstStyle/>
        <a:p>
          <a:pPr>
            <a:defRPr sz="1200" b="1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85365494714246"/>
          <c:y val="0.10581228756451544"/>
          <c:w val="0.47954824756899306"/>
          <c:h val="0.87893808843640975"/>
        </c:manualLayout>
      </c:layout>
      <c:pieChart>
        <c:varyColors val="1"/>
        <c:ser>
          <c:idx val="0"/>
          <c:order val="0"/>
          <c:spPr>
            <a:ln>
              <a:solidFill>
                <a:schemeClr val="tx2">
                  <a:lumMod val="75000"/>
                </a:schemeClr>
              </a:solidFill>
            </a:ln>
          </c:spPr>
          <c:explosion val="25"/>
          <c:dPt>
            <c:idx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3910-4039-9499-C0892A45CC99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3-3910-4039-9499-C0892A45CC99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5-3910-4039-9499-C0892A45CC99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7-3910-4039-9499-C0892A45CC99}"/>
              </c:ext>
            </c:extLst>
          </c:dPt>
          <c:dPt>
            <c:idx val="7"/>
            <c:bubble3D val="0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9-3910-4039-9499-C0892A45CC99}"/>
              </c:ext>
            </c:extLst>
          </c:dPt>
          <c:dLbls>
            <c:dLbl>
              <c:idx val="0"/>
              <c:layout>
                <c:manualLayout>
                  <c:x val="6.4440270009447451E-2"/>
                  <c:y val="-5.008074989977963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910-4039-9499-C0892A45CC99}"/>
                </c:ext>
              </c:extLst>
            </c:dLbl>
            <c:dLbl>
              <c:idx val="1"/>
              <c:layout>
                <c:manualLayout>
                  <c:x val="3.51968022437072E-2"/>
                  <c:y val="3.50959000009611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910-4039-9499-C0892A45CC99}"/>
                </c:ext>
              </c:extLst>
            </c:dLbl>
            <c:dLbl>
              <c:idx val="2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910-4039-9499-C0892A45CC99}"/>
                </c:ext>
              </c:extLst>
            </c:dLbl>
            <c:dLbl>
              <c:idx val="3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910-4039-9499-C0892A45CC99}"/>
                </c:ext>
              </c:extLst>
            </c:dLbl>
            <c:dLbl>
              <c:idx val="4"/>
              <c:layout>
                <c:manualLayout>
                  <c:x val="-2.9955283174141884E-2"/>
                  <c:y val="7.39687064297010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910-4039-9499-C0892A45CC99}"/>
                </c:ext>
              </c:extLst>
            </c:dLbl>
            <c:dLbl>
              <c:idx val="5"/>
              <c:layout>
                <c:manualLayout>
                  <c:x val="-3.1152411892121399E-2"/>
                  <c:y val="3.96358146965747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910-4039-9499-C0892A45CC99}"/>
                </c:ext>
              </c:extLst>
            </c:dLbl>
            <c:dLbl>
              <c:idx val="6"/>
              <c:layout>
                <c:manualLayout>
                  <c:x val="-6.0023901976522617E-2"/>
                  <c:y val="3.9375071115408953E-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910-4039-9499-C0892A45CC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/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'Daily Tracking'!$B$124:$B$131</c:f>
              <c:strCache>
                <c:ptCount val="8"/>
                <c:pt idx="0">
                  <c:v>Axle Jacks Other</c:v>
                </c:pt>
                <c:pt idx="1">
                  <c:v>Axle Jacks RT</c:v>
                </c:pt>
                <c:pt idx="2">
                  <c:v>COBRA</c:v>
                </c:pt>
                <c:pt idx="3">
                  <c:v>GSE Others (Büter)</c:v>
                </c:pt>
                <c:pt idx="4">
                  <c:v>Newbow Aerospace</c:v>
                </c:pt>
                <c:pt idx="5">
                  <c:v>Tow Bars HG</c:v>
                </c:pt>
                <c:pt idx="6">
                  <c:v>Tripod SET Narrow Bo</c:v>
                </c:pt>
                <c:pt idx="7">
                  <c:v>Others</c:v>
                </c:pt>
              </c:strCache>
            </c:strRef>
          </c:cat>
          <c:val>
            <c:numRef>
              <c:f>'Daily Tracking'!$C$124:$C$131</c:f>
              <c:numCache>
                <c:formatCode>"€"#,##0_);\("€"#,##0\)</c:formatCode>
                <c:ptCount val="8"/>
                <c:pt idx="0">
                  <c:v>190261</c:v>
                </c:pt>
                <c:pt idx="1">
                  <c:v>199752</c:v>
                </c:pt>
                <c:pt idx="2">
                  <c:v>1441235</c:v>
                </c:pt>
                <c:pt idx="3">
                  <c:v>1216830</c:v>
                </c:pt>
                <c:pt idx="4">
                  <c:v>466</c:v>
                </c:pt>
                <c:pt idx="5">
                  <c:v>158077</c:v>
                </c:pt>
                <c:pt idx="6">
                  <c:v>344920</c:v>
                </c:pt>
                <c:pt idx="7">
                  <c:v>50962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910-4039-9499-C0892A45C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8310292651199467"/>
          <c:y val="0.18593497656563188"/>
          <c:w val="0.29326574921193677"/>
          <c:h val="0.56512993308408188"/>
        </c:manualLayout>
      </c:layout>
      <c:overlay val="0"/>
      <c:txPr>
        <a:bodyPr/>
        <a:lstStyle/>
        <a:p>
          <a:pPr>
            <a:defRPr sz="1200" b="1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2" Type="http://schemas.openxmlformats.org/officeDocument/2006/relationships/chart" Target="../charts/chart9.xml"/><Relationship Id="rId16" Type="http://schemas.openxmlformats.org/officeDocument/2006/relationships/chart" Target="../charts/chart23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5" Type="http://schemas.openxmlformats.org/officeDocument/2006/relationships/chart" Target="../charts/chart2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Relationship Id="rId1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407987</xdr:colOff>
      <xdr:row>93</xdr:row>
      <xdr:rowOff>47624</xdr:rowOff>
    </xdr:from>
    <xdr:to>
      <xdr:col>20</xdr:col>
      <xdr:colOff>479425</xdr:colOff>
      <xdr:row>120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257176</xdr:colOff>
      <xdr:row>96</xdr:row>
      <xdr:rowOff>161925</xdr:rowOff>
    </xdr:from>
    <xdr:to>
      <xdr:col>25</xdr:col>
      <xdr:colOff>9526</xdr:colOff>
      <xdr:row>98</xdr:row>
      <xdr:rowOff>57150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602451" y="6638925"/>
          <a:ext cx="552450" cy="276225"/>
        </a:xfrm>
        <a:prstGeom prst="rect">
          <a:avLst/>
        </a:prstGeom>
        <a:solidFill>
          <a:srgbClr val="FFC000">
            <a:alpha val="37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28</xdr:col>
      <xdr:colOff>457200</xdr:colOff>
      <xdr:row>96</xdr:row>
      <xdr:rowOff>180975</xdr:rowOff>
    </xdr:from>
    <xdr:to>
      <xdr:col>29</xdr:col>
      <xdr:colOff>466725</xdr:colOff>
      <xdr:row>98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3002875" y="6657975"/>
          <a:ext cx="809625" cy="266700"/>
        </a:xfrm>
        <a:prstGeom prst="rect">
          <a:avLst/>
        </a:prstGeom>
        <a:solidFill>
          <a:srgbClr val="FFC000">
            <a:alpha val="37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35</xdr:col>
      <xdr:colOff>57150</xdr:colOff>
      <xdr:row>96</xdr:row>
      <xdr:rowOff>152400</xdr:rowOff>
    </xdr:from>
    <xdr:to>
      <xdr:col>35</xdr:col>
      <xdr:colOff>600075</xdr:colOff>
      <xdr:row>98</xdr:row>
      <xdr:rowOff>66675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8203525" y="6629400"/>
          <a:ext cx="542925" cy="295275"/>
        </a:xfrm>
        <a:prstGeom prst="rect">
          <a:avLst/>
        </a:prstGeom>
        <a:solidFill>
          <a:srgbClr val="FFC000">
            <a:alpha val="37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538160</xdr:colOff>
      <xdr:row>111</xdr:row>
      <xdr:rowOff>138111</xdr:rowOff>
    </xdr:from>
    <xdr:to>
      <xdr:col>17</xdr:col>
      <xdr:colOff>9524</xdr:colOff>
      <xdr:row>131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52</xdr:row>
      <xdr:rowOff>142875</xdr:rowOff>
    </xdr:from>
    <xdr:to>
      <xdr:col>27</xdr:col>
      <xdr:colOff>447675</xdr:colOff>
      <xdr:row>59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18F39E-7A06-4663-9B7D-EABF6C0FBAC6}"/>
            </a:ext>
          </a:extLst>
        </xdr:cNvPr>
        <xdr:cNvSpPr txBox="1"/>
      </xdr:nvSpPr>
      <xdr:spPr>
        <a:xfrm>
          <a:off x="6638925" y="7762875"/>
          <a:ext cx="7296150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200">
              <a:solidFill>
                <a:srgbClr val="FF0000"/>
              </a:solidFill>
            </a:rPr>
            <a:t>VOIR ONGLET GRAPH NEW STRUCTURE POUR PRIMARY COSTS et CM2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52</xdr:row>
      <xdr:rowOff>142875</xdr:rowOff>
    </xdr:from>
    <xdr:to>
      <xdr:col>29</xdr:col>
      <xdr:colOff>447675</xdr:colOff>
      <xdr:row>59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CEE956-7157-432B-A4F8-4666A82E1F4C}"/>
            </a:ext>
          </a:extLst>
        </xdr:cNvPr>
        <xdr:cNvSpPr txBox="1"/>
      </xdr:nvSpPr>
      <xdr:spPr>
        <a:xfrm>
          <a:off x="5667375" y="4000500"/>
          <a:ext cx="9420225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200">
              <a:solidFill>
                <a:srgbClr val="FF0000"/>
              </a:solidFill>
            </a:rPr>
            <a:t>VOIR ONGLET GRAPH NEW STRUCTURE POUR PRIMARY COSTS et CM2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355600</xdr:colOff>
      <xdr:row>6</xdr:row>
      <xdr:rowOff>177800</xdr:rowOff>
    </xdr:from>
    <xdr:to>
      <xdr:col>44</xdr:col>
      <xdr:colOff>0</xdr:colOff>
      <xdr:row>21</xdr:row>
      <xdr:rowOff>158750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3ACEBB-410D-4171-8A7B-8EA3C6BFB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692150</xdr:colOff>
      <xdr:row>58</xdr:row>
      <xdr:rowOff>101600</xdr:rowOff>
    </xdr:from>
    <xdr:to>
      <xdr:col>10</xdr:col>
      <xdr:colOff>133350</xdr:colOff>
      <xdr:row>73</xdr:row>
      <xdr:rowOff>82550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7E6726B-186E-47CE-AA73-A5E25CACF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698506</xdr:colOff>
      <xdr:row>58</xdr:row>
      <xdr:rowOff>19050</xdr:rowOff>
    </xdr:from>
    <xdr:to>
      <xdr:col>27</xdr:col>
      <xdr:colOff>88906</xdr:colOff>
      <xdr:row>73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3B946DF-69C6-4517-9674-A38F8F76B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488956</xdr:colOff>
      <xdr:row>58</xdr:row>
      <xdr:rowOff>127000</xdr:rowOff>
    </xdr:from>
    <xdr:to>
      <xdr:col>40</xdr:col>
      <xdr:colOff>279406</xdr:colOff>
      <xdr:row>73</xdr:row>
      <xdr:rowOff>107950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9BCFF77-D845-4C3E-8FAF-1D0F47D2A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361956</xdr:colOff>
      <xdr:row>27</xdr:row>
      <xdr:rowOff>95250</xdr:rowOff>
    </xdr:from>
    <xdr:to>
      <xdr:col>44</xdr:col>
      <xdr:colOff>6356</xdr:colOff>
      <xdr:row>42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74CE8C1-0C6C-49B4-B152-BB4E44F02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1003925</xdr:colOff>
      <xdr:row>117</xdr:row>
      <xdr:rowOff>8431</xdr:rowOff>
    </xdr:from>
    <xdr:to>
      <xdr:col>17</xdr:col>
      <xdr:colOff>0</xdr:colOff>
      <xdr:row>148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657133</xdr:colOff>
      <xdr:row>18</xdr:row>
      <xdr:rowOff>136071</xdr:rowOff>
    </xdr:from>
    <xdr:to>
      <xdr:col>36</xdr:col>
      <xdr:colOff>190501</xdr:colOff>
      <xdr:row>57</xdr:row>
      <xdr:rowOff>88639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1499722</xdr:colOff>
      <xdr:row>157</xdr:row>
      <xdr:rowOff>1494</xdr:rowOff>
    </xdr:from>
    <xdr:to>
      <xdr:col>16</xdr:col>
      <xdr:colOff>541618</xdr:colOff>
      <xdr:row>189</xdr:row>
      <xdr:rowOff>130734</xdr:rowOff>
    </xdr:to>
    <xdr:graphicFrame macro="">
      <xdr:nvGraphicFramePr>
        <xdr:cNvPr id="16" name="Chart 3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143440</xdr:colOff>
      <xdr:row>86</xdr:row>
      <xdr:rowOff>122542</xdr:rowOff>
    </xdr:from>
    <xdr:to>
      <xdr:col>39</xdr:col>
      <xdr:colOff>457200</xdr:colOff>
      <xdr:row>107</xdr:row>
      <xdr:rowOff>95250</xdr:rowOff>
    </xdr:to>
    <xdr:graphicFrame macro="">
      <xdr:nvGraphicFramePr>
        <xdr:cNvPr id="17" name="Chart 3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59</xdr:col>
      <xdr:colOff>283244</xdr:colOff>
      <xdr:row>123</xdr:row>
      <xdr:rowOff>178594</xdr:rowOff>
    </xdr:from>
    <xdr:to>
      <xdr:col>78</xdr:col>
      <xdr:colOff>312538</xdr:colOff>
      <xdr:row>140</xdr:row>
      <xdr:rowOff>59531</xdr:rowOff>
    </xdr:to>
    <xdr:graphicFrame macro="">
      <xdr:nvGraphicFramePr>
        <xdr:cNvPr id="18" name="Chart 3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536778</xdr:colOff>
      <xdr:row>228</xdr:row>
      <xdr:rowOff>2524</xdr:rowOff>
    </xdr:from>
    <xdr:to>
      <xdr:col>30</xdr:col>
      <xdr:colOff>158028</xdr:colOff>
      <xdr:row>255</xdr:row>
      <xdr:rowOff>120505</xdr:rowOff>
    </xdr:to>
    <xdr:graphicFrame macro="">
      <xdr:nvGraphicFramePr>
        <xdr:cNvPr id="10" name="Chart 3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205227</xdr:colOff>
      <xdr:row>123</xdr:row>
      <xdr:rowOff>93384</xdr:rowOff>
    </xdr:from>
    <xdr:to>
      <xdr:col>40</xdr:col>
      <xdr:colOff>18677</xdr:colOff>
      <xdr:row>141</xdr:row>
      <xdr:rowOff>18677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15875</xdr:colOff>
      <xdr:row>123</xdr:row>
      <xdr:rowOff>132872</xdr:rowOff>
    </xdr:from>
    <xdr:to>
      <xdr:col>58</xdr:col>
      <xdr:colOff>492125</xdr:colOff>
      <xdr:row>140</xdr:row>
      <xdr:rowOff>95250</xdr:rowOff>
    </xdr:to>
    <xdr:graphicFrame macro="">
      <xdr:nvGraphicFramePr>
        <xdr:cNvPr id="12" name="Chart 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341940</xdr:colOff>
      <xdr:row>86</xdr:row>
      <xdr:rowOff>49811</xdr:rowOff>
    </xdr:from>
    <xdr:to>
      <xdr:col>62</xdr:col>
      <xdr:colOff>111124</xdr:colOff>
      <xdr:row>107</xdr:row>
      <xdr:rowOff>47625</xdr:rowOff>
    </xdr:to>
    <xdr:graphicFrame macro="">
      <xdr:nvGraphicFramePr>
        <xdr:cNvPr id="13" name="Chart 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63</xdr:col>
      <xdr:colOff>26831</xdr:colOff>
      <xdr:row>86</xdr:row>
      <xdr:rowOff>53663</xdr:rowOff>
    </xdr:from>
    <xdr:to>
      <xdr:col>84</xdr:col>
      <xdr:colOff>523875</xdr:colOff>
      <xdr:row>107</xdr:row>
      <xdr:rowOff>47626</xdr:rowOff>
    </xdr:to>
    <xdr:graphicFrame macro="">
      <xdr:nvGraphicFramePr>
        <xdr:cNvPr id="14" name="Chart 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85</xdr:col>
      <xdr:colOff>342304</xdr:colOff>
      <xdr:row>86</xdr:row>
      <xdr:rowOff>138534</xdr:rowOff>
    </xdr:from>
    <xdr:to>
      <xdr:col>103</xdr:col>
      <xdr:colOff>89296</xdr:colOff>
      <xdr:row>106</xdr:row>
      <xdr:rowOff>89297</xdr:rowOff>
    </xdr:to>
    <xdr:graphicFrame macro="">
      <xdr:nvGraphicFramePr>
        <xdr:cNvPr id="15" name="Chart 3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79</xdr:col>
      <xdr:colOff>242100</xdr:colOff>
      <xdr:row>123</xdr:row>
      <xdr:rowOff>33422</xdr:rowOff>
    </xdr:from>
    <xdr:to>
      <xdr:col>97</xdr:col>
      <xdr:colOff>426117</xdr:colOff>
      <xdr:row>141</xdr:row>
      <xdr:rowOff>0</xdr:rowOff>
    </xdr:to>
    <xdr:graphicFrame macro="">
      <xdr:nvGraphicFramePr>
        <xdr:cNvPr id="19" name="Chart 3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98</xdr:col>
      <xdr:colOff>462882</xdr:colOff>
      <xdr:row>123</xdr:row>
      <xdr:rowOff>132850</xdr:rowOff>
    </xdr:from>
    <xdr:to>
      <xdr:col>117</xdr:col>
      <xdr:colOff>51385</xdr:colOff>
      <xdr:row>139</xdr:row>
      <xdr:rowOff>116138</xdr:rowOff>
    </xdr:to>
    <xdr:graphicFrame macro="">
      <xdr:nvGraphicFramePr>
        <xdr:cNvPr id="20" name="Chart 3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118</xdr:col>
      <xdr:colOff>136913</xdr:colOff>
      <xdr:row>123</xdr:row>
      <xdr:rowOff>128129</xdr:rowOff>
    </xdr:from>
    <xdr:to>
      <xdr:col>136</xdr:col>
      <xdr:colOff>365125</xdr:colOff>
      <xdr:row>140</xdr:row>
      <xdr:rowOff>119061</xdr:rowOff>
    </xdr:to>
    <xdr:graphicFrame macro="">
      <xdr:nvGraphicFramePr>
        <xdr:cNvPr id="21" name="Chart 3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443427</xdr:colOff>
      <xdr:row>227</xdr:row>
      <xdr:rowOff>79161</xdr:rowOff>
    </xdr:from>
    <xdr:to>
      <xdr:col>11</xdr:col>
      <xdr:colOff>237481</xdr:colOff>
      <xdr:row>256</xdr:row>
      <xdr:rowOff>53418</xdr:rowOff>
    </xdr:to>
    <xdr:graphicFrame macro="">
      <xdr:nvGraphicFramePr>
        <xdr:cNvPr id="22" name="Chart 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335704</xdr:colOff>
      <xdr:row>81</xdr:row>
      <xdr:rowOff>162504</xdr:rowOff>
    </xdr:from>
    <xdr:to>
      <xdr:col>17</xdr:col>
      <xdr:colOff>285750</xdr:colOff>
      <xdr:row>114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614667</xdr:colOff>
      <xdr:row>25</xdr:row>
      <xdr:rowOff>119317</xdr:rowOff>
    </xdr:from>
    <xdr:to>
      <xdr:col>33</xdr:col>
      <xdr:colOff>122902</xdr:colOff>
      <xdr:row>46</xdr:row>
      <xdr:rowOff>128842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28678</xdr:colOff>
      <xdr:row>77</xdr:row>
      <xdr:rowOff>154446</xdr:rowOff>
    </xdr:from>
    <xdr:to>
      <xdr:col>9</xdr:col>
      <xdr:colOff>389195</xdr:colOff>
      <xdr:row>99</xdr:row>
      <xdr:rowOff>10240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888999</xdr:colOff>
      <xdr:row>131</xdr:row>
      <xdr:rowOff>41786</xdr:rowOff>
    </xdr:from>
    <xdr:to>
      <xdr:col>10</xdr:col>
      <xdr:colOff>235563</xdr:colOff>
      <xdr:row>147</xdr:row>
      <xdr:rowOff>153628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635000</xdr:colOff>
      <xdr:row>131</xdr:row>
      <xdr:rowOff>81935</xdr:rowOff>
    </xdr:from>
    <xdr:to>
      <xdr:col>17</xdr:col>
      <xdr:colOff>534629</xdr:colOff>
      <xdr:row>147</xdr:row>
      <xdr:rowOff>193777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1420215</xdr:colOff>
      <xdr:row>0</xdr:row>
      <xdr:rowOff>0</xdr:rowOff>
    </xdr:from>
    <xdr:to>
      <xdr:col>9</xdr:col>
      <xdr:colOff>413332</xdr:colOff>
      <xdr:row>8</xdr:row>
      <xdr:rowOff>129731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DB681F2-EEDA-4A44-8917-DAFB9BA81D1C}"/>
            </a:ext>
          </a:extLst>
        </xdr:cNvPr>
        <xdr:cNvSpPr txBox="1"/>
      </xdr:nvSpPr>
      <xdr:spPr>
        <a:xfrm>
          <a:off x="5202903" y="0"/>
          <a:ext cx="5786934" cy="174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rgbClr val="FF0000"/>
              </a:solidFill>
            </a:rPr>
            <a:t>EXTRACTION DE SAP</a:t>
          </a:r>
        </a:p>
        <a:p>
          <a:r>
            <a:rPr lang="en-US" sz="2400" b="1">
              <a:solidFill>
                <a:srgbClr val="FF0000"/>
              </a:solidFill>
            </a:rPr>
            <a:t>Faire extraction si besoin / Demande</a:t>
          </a:r>
        </a:p>
        <a:p>
          <a:r>
            <a:rPr lang="en-US" sz="2400" b="1">
              <a:solidFill>
                <a:srgbClr val="FF0000"/>
              </a:solidFill>
            </a:rPr>
            <a:t>PARTIE GSE</a:t>
          </a:r>
        </a:p>
        <a:p>
          <a:r>
            <a:rPr lang="en-US" sz="2400" b="1">
              <a:solidFill>
                <a:srgbClr val="FF0000"/>
              </a:solidFill>
            </a:rPr>
            <a:t>ECART CLICKVIEW SAP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chimenti/Documents/HYFR_DC-FC_2020_new%20structur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VL_ASM\Corona\Aufteilung%20nach%20ASM%20nach%20Corona%2003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Y07\VL_ASM\Report\SalesPip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les"/>
      <sheetName val="Key"/>
      <sheetName val="Data"/>
      <sheetName val="Weekly Data"/>
      <sheetName val="Monthly Data"/>
      <sheetName val="est. MEAT"/>
      <sheetName val="AIA"/>
      <sheetName val="FCP+AIA"/>
      <sheetName val="Forecast 2020"/>
      <sheetName val="Daily Tracking"/>
      <sheetName val="Delivery Plan"/>
      <sheetName val="Reconciliation SOLUNE vs SAP"/>
      <sheetName val="GroupExport"/>
      <sheetName val="Config"/>
    </sheetNames>
    <sheetDataSet>
      <sheetData sheetId="0" refreshError="1"/>
      <sheetData sheetId="1">
        <row r="2">
          <cell r="B2" t="str">
            <v>Accepté</v>
          </cell>
          <cell r="C2" t="str">
            <v>Certification</v>
          </cell>
          <cell r="D2" t="str">
            <v>Certification</v>
          </cell>
          <cell r="H2" t="str">
            <v>ASI</v>
          </cell>
        </row>
        <row r="3">
          <cell r="B3" t="str">
            <v>Annulé</v>
          </cell>
          <cell r="C3" t="str">
            <v>Délai</v>
          </cell>
          <cell r="D3" t="str">
            <v>Compétence</v>
          </cell>
          <cell r="H3" t="str">
            <v>ABA</v>
          </cell>
        </row>
        <row r="4">
          <cell r="B4" t="str">
            <v>En Attente</v>
          </cell>
          <cell r="C4" t="str">
            <v>Prix</v>
          </cell>
          <cell r="D4" t="str">
            <v>Machine</v>
          </cell>
          <cell r="H4" t="str">
            <v>ASI+ABA</v>
          </cell>
        </row>
        <row r="5">
          <cell r="B5" t="str">
            <v>Opportunité</v>
          </cell>
          <cell r="C5" t="str">
            <v>Qualité</v>
          </cell>
          <cell r="D5" t="str">
            <v>Outils</v>
          </cell>
        </row>
        <row r="6">
          <cell r="B6" t="str">
            <v>Part. Accepté</v>
          </cell>
          <cell r="C6" t="str">
            <v>Client-interne</v>
          </cell>
          <cell r="D6" t="str">
            <v>Personnel</v>
          </cell>
        </row>
        <row r="7">
          <cell r="B7" t="str">
            <v>Rejeté</v>
          </cell>
          <cell r="D7" t="str">
            <v>Place</v>
          </cell>
        </row>
        <row r="8">
          <cell r="D8" t="str">
            <v>PLT (PV)</v>
          </cell>
        </row>
        <row r="9">
          <cell r="D9" t="str">
            <v>N/A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>
            <v>2019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E_pro_ASM HYSY"/>
      <sheetName val="Summary"/>
      <sheetName val="RW"/>
      <sheetName val="AB"/>
      <sheetName val="ASI"/>
      <sheetName val="MW"/>
      <sheetName val="JLi"/>
      <sheetName val="MM"/>
      <sheetName val="JMcK"/>
      <sheetName val="AM"/>
      <sheetName val="MR"/>
      <sheetName val="DG"/>
      <sheetName val="WG"/>
      <sheetName val="MH"/>
      <sheetName val="DC_PM"/>
      <sheetName val="CK"/>
      <sheetName val="CG"/>
      <sheetName val="SB"/>
      <sheetName val="GL"/>
      <sheetName val="RWalz"/>
      <sheetName val="PL"/>
      <sheetName val="JdC"/>
      <sheetName val="ABlay"/>
      <sheetName val="MC"/>
      <sheetName val="MK"/>
    </sheetNames>
    <sheetDataSet>
      <sheetData sheetId="0" refreshError="1"/>
      <sheetData sheetId="1" refreshError="1"/>
      <sheetData sheetId="2" refreshError="1"/>
      <sheetData sheetId="3">
        <row r="21">
          <cell r="O21">
            <v>1302616</v>
          </cell>
        </row>
      </sheetData>
      <sheetData sheetId="4">
        <row r="21">
          <cell r="O21">
            <v>3451699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Summary"/>
      <sheetName val="ABal"/>
      <sheetName val="SB"/>
      <sheetName val="ABlay"/>
      <sheetName val="MCe"/>
      <sheetName val="PM"/>
      <sheetName val="JCh"/>
      <sheetName val="JDC"/>
      <sheetName val="MD"/>
      <sheetName val="DG"/>
      <sheetName val="WG"/>
      <sheetName val="CG"/>
      <sheetName val="MH"/>
      <sheetName val="CH"/>
      <sheetName val="CK"/>
      <sheetName val="MK"/>
      <sheetName val="GL"/>
      <sheetName val="PLa"/>
      <sheetName val="JL"/>
      <sheetName val="MMax"/>
      <sheetName val="JMcK_ASh"/>
      <sheetName val="AM"/>
      <sheetName val="MR"/>
      <sheetName val="ASie"/>
      <sheetName val="MW"/>
      <sheetName val="RWa"/>
      <sheetName val="RWe"/>
      <sheetName val="Plan 2020"/>
      <sheetName val="AE_pro_ASM"/>
      <sheetName val="SPR Participants_Bib"/>
      <sheetName val="Check_List"/>
      <sheetName val="DC"/>
      <sheetName val="Faiz"/>
      <sheetName val="MS"/>
      <sheetName val="MWalt"/>
      <sheetName val="Plan 2019"/>
    </sheetNames>
    <sheetDataSet>
      <sheetData sheetId="0"/>
      <sheetData sheetId="1"/>
      <sheetData sheetId="2">
        <row r="4">
          <cell r="C4">
            <v>2100000</v>
          </cell>
        </row>
        <row r="40">
          <cell r="O40">
            <v>131000</v>
          </cell>
          <cell r="S40">
            <v>280000</v>
          </cell>
          <cell r="W40">
            <v>30000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">
          <cell r="C4">
            <v>6788000</v>
          </cell>
        </row>
      </sheetData>
      <sheetData sheetId="21"/>
      <sheetData sheetId="22"/>
      <sheetData sheetId="23"/>
      <sheetData sheetId="24">
        <row r="4">
          <cell r="C4">
            <v>6788000</v>
          </cell>
        </row>
        <row r="40">
          <cell r="O40">
            <v>351000</v>
          </cell>
          <cell r="S40">
            <v>434000</v>
          </cell>
          <cell r="W40">
            <v>724000</v>
          </cell>
        </row>
      </sheetData>
      <sheetData sheetId="25"/>
      <sheetData sheetId="26"/>
      <sheetData sheetId="27">
        <row r="4">
          <cell r="C4">
            <v>2100000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himenti, Caroline" id="{1F1F9AF0-BBB4-47E2-9E58-EA0E79665B9D}" userId="S-1-5-21-966330473-4143050051-1226493022-12915" providerId="AD"/>
  <person displayName="Chimenti, Caroline" id="{AE34661E-7E1D-48BB-967E-34ED2BDF82E4}" userId="S::cchimenti@hydro.aero::754bdddc-7612-48cb-940e-d4089b210e83" providerId="AD"/>
</personList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L:\KL_CO\110_HYFR\AFFAIRES%202021\Tableaux%20suivi\Clikview%20invoices_2021.xlsm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menti, Caroline" refreshedDate="44316.634766435185" createdVersion="6" refreshedVersion="6" minRefreshableVersion="3" recordCount="148" xr:uid="{00000000-000A-0000-FFFF-FFFF01000000}">
  <cacheSource type="worksheet">
    <worksheetSource ref="A1:AD149" sheet="Qlikview" r:id="rId2"/>
  </cacheSource>
  <cacheFields count="30">
    <cacheField name="Year" numFmtId="179">
      <sharedItems containsSemiMixedTypes="0" containsString="0" containsNumber="1" containsInteger="1" minValue="2021" maxValue="2021"/>
    </cacheField>
    <cacheField name="Month" numFmtId="0">
      <sharedItems count="4">
        <s v="Apr"/>
        <s v="Mrz"/>
        <s v="Jan" u="1"/>
        <s v="Feb" u="1"/>
      </sharedItems>
    </cacheField>
    <cacheField name="Document number" numFmtId="0">
      <sharedItems containsSemiMixedTypes="0" containsString="0" containsNumber="1" containsInteger="1" minValue="100006576" maxValue="9120027477"/>
    </cacheField>
    <cacheField name="Pos" numFmtId="0">
      <sharedItems/>
    </cacheField>
    <cacheField name="Region" numFmtId="0">
      <sharedItems/>
    </cacheField>
    <cacheField name="Sales Organization" numFmtId="0">
      <sharedItems/>
    </cacheField>
    <cacheField name="Material info" numFmtId="0">
      <sharedItems/>
    </cacheField>
    <cacheField name="Material no." numFmtId="0">
      <sharedItems/>
    </cacheField>
    <cacheField name="Material text" numFmtId="0">
      <sharedItems/>
    </cacheField>
    <cacheField name="Sales group" numFmtId="0">
      <sharedItems/>
    </cacheField>
    <cacheField name="Customer (AU)" numFmtId="0">
      <sharedItems count="32">
        <s v="100403 / Airbus Helicopters"/>
        <s v="100048 / REEL SAS"/>
        <s v="103795 / TCR France"/>
        <s v="100043 / Air Austral"/>
        <s v="100238 / Egyptair"/>
        <s v="107076 / Air Tanzania Company Ltd."/>
        <s v="100181 / Corsair International"/>
        <s v="100019 / Air Algerie"/>
        <s v="100483 / ROYAL AIR MAROC"/>
        <s v="107226 / Avions de Transport Régional GIE"/>
        <s v="101022 / TARMAC Aerosave SAS"/>
        <s v="107996 / MAZERES AERO"/>
        <s v="100028 / Airbus Operations SAS"/>
        <s v="100253 / Ethiopian Airlines S.C."/>
        <s v="100537 / SIRBEM"/>
        <s v="106517 / AIRBUS Gron Saint-Nazaire"/>
        <s v="100492 / South African Airways Technical"/>
        <s v="107672 / THALES SIX GTS FRANCE S.S.S."/>
        <s v="101949 / Sabena Technics BOD"/>
        <s v="100021 / Air France Industries"/>
        <s v="106137 / INTERAPPRO"/>
        <s v="100580 / Sabena Technics MIR"/>
        <s v="108233 / SPAREWAYS" u="1"/>
        <s v="100059 / Air Mauritius Ltd." u="1"/>
        <s v="5000 / HYDRO Systems France SAS" u="1"/>
        <s v="100282 / Air Corsica" u="1"/>
        <s v="103123 / ERAS" u="1"/>
        <s v="107414 / ACTEMIUM" u="1"/>
        <s v="102809 / ADF Technologies - Section TN" u="1"/>
        <s v="100077 / Aviapartner Services Lyon" u="1"/>
        <s v="103842 / FlyDynamics" u="1"/>
        <s v="106674 / Swissport Tanzania Plc" u="1"/>
      </sharedItems>
    </cacheField>
    <cacheField name="Customer (WE)" numFmtId="0">
      <sharedItems/>
    </cacheField>
    <cacheField name="Country (AU)" numFmtId="0">
      <sharedItems/>
    </cacheField>
    <cacheField name="Country (WE)" numFmtId="0">
      <sharedItems/>
    </cacheField>
    <cacheField name="Business Area" numFmtId="0">
      <sharedItems/>
    </cacheField>
    <cacheField name="Planning group" numFmtId="0">
      <sharedItems/>
    </cacheField>
    <cacheField name="Product Hierarchy" numFmtId="0">
      <sharedItems/>
    </cacheField>
    <cacheField name="Exchange Rate EUR" numFmtId="0">
      <sharedItems/>
    </cacheField>
    <cacheField name="Exchange Rate GBP" numFmtId="0">
      <sharedItems/>
    </cacheField>
    <cacheField name="Exchange Rate USD" numFmtId="0">
      <sharedItems/>
    </cacheField>
    <cacheField name="Creation date" numFmtId="14">
      <sharedItems containsSemiMixedTypes="0" containsNonDate="0" containsDate="1" containsString="0" minDate="2021-03-03T00:00:00" maxDate="2021-04-30T00:00:00"/>
    </cacheField>
    <cacheField name="Date" numFmtId="180">
      <sharedItems containsSemiMixedTypes="0" containsNonDate="0" containsDate="1" containsString="0" minDate="2021-03-02T00:00:00" maxDate="2021-04-30T00:00:00"/>
    </cacheField>
    <cacheField name="original currency" numFmtId="0">
      <sharedItems/>
    </cacheField>
    <cacheField name="MARA.PRDHA" numFmtId="0">
      <sharedItems/>
    </cacheField>
    <cacheField name="Quantity" numFmtId="4">
      <sharedItems containsSemiMixedTypes="0" containsString="0" containsNumber="1" containsInteger="1" minValue="-19" maxValue="30"/>
    </cacheField>
    <cacheField name="Net value in €" numFmtId="4">
      <sharedItems containsSemiMixedTypes="0" containsString="0" containsNumber="1" minValue="-635" maxValue="51600"/>
    </cacheField>
    <cacheField name="Net value in $" numFmtId="4">
      <sharedItems containsSemiMixedTypes="0" containsString="0" containsNumber="1" minValue="-765.80759536415053" maxValue="62400.232186910463"/>
    </cacheField>
    <cacheField name="Net value in £" numFmtId="4">
      <sharedItems containsSemiMixedTypes="0" containsString="0" containsNumber="1" minValue="-548.94231351089661" maxValue="44897.675066128351"/>
    </cacheField>
    <cacheField name="Estimated comm" numFmtId="181">
      <sharedItems containsSemiMixedTypes="0" containsString="0" containsNumber="1" minValue="0" maxValue="7.4999999999999997E-2"/>
    </cacheField>
    <cacheField name="Estimated comm value" numFmtId="4">
      <sharedItems containsSemiMixedTypes="0" containsString="0" containsNumber="1" minValue="-1.425" maxValue="38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n v="2021"/>
    <x v="0"/>
    <n v="9118008513"/>
    <s v="000010"/>
    <s v="ZREG01 / EUROPE"/>
    <s v="1100 / HYDRO Systems KG_DE"/>
    <s v="00166-230-000 / Lenkrolle"/>
    <s v="00166-230-000"/>
    <s v="Swivel castor"/>
    <s v="302 / Balsemin, Antony"/>
    <x v="0"/>
    <s v="-"/>
    <s v="Frankreich"/>
    <s v="Frankreich"/>
    <s v="Service"/>
    <s v="P033"/>
    <s v="CO098XXE"/>
    <s v="1,0000"/>
    <s v="0,8701"/>
    <s v="1,2093"/>
    <d v="2021-04-29T00:00:00"/>
    <d v="2021-04-29T00:00:00"/>
    <s v="EUR"/>
    <s v="CO098XXE"/>
    <n v="-19"/>
    <n v="-19"/>
    <n v="-22.976829681226722"/>
    <n v="-16.532089656132531"/>
    <n v="7.4999999999999997E-2"/>
    <n v="-1.425"/>
  </r>
  <r>
    <n v="2021"/>
    <x v="0"/>
    <n v="9110130014"/>
    <s v="000010"/>
    <s v="ZREG01 / EUROPE"/>
    <s v="1100 / HYDRO Systems KG_DE"/>
    <s v="00489-285-000 / Ablassventil"/>
    <s v="00489-285-000"/>
    <s v="Release valve"/>
    <s v="301 / Siefer, Alfred"/>
    <x v="1"/>
    <s v="-"/>
    <s v="Frankreich"/>
    <s v="Frankreich"/>
    <s v="Service"/>
    <s v="P033"/>
    <s v="CO098XXE"/>
    <s v="1,0000"/>
    <s v="0,8701"/>
    <s v="1,2093"/>
    <d v="2021-04-29T00:00:00"/>
    <d v="2021-04-28T00:00:00"/>
    <s v="EUR"/>
    <s v="CO098XXE"/>
    <n v="2"/>
    <n v="392.7"/>
    <n v="474.89479030619651"/>
    <n v="341.69218989280239"/>
    <n v="7.4999999999999997E-2"/>
    <n v="29.452499999999997"/>
  </r>
  <r>
    <n v="2021"/>
    <x v="0"/>
    <n v="9110130014"/>
    <s v="000020"/>
    <s v="ZREG01 / EUROPE"/>
    <s v="1100 / HYDRO Systems KG_DE"/>
    <s v="17240-001-021 / Achse"/>
    <s v="17240-001-021"/>
    <s v="Axle"/>
    <s v="301 / Siefer, Alfred"/>
    <x v="1"/>
    <s v="-"/>
    <s v="Frankreich"/>
    <s v="-"/>
    <s v="Service"/>
    <s v="P033"/>
    <s v="GS002XXE"/>
    <s v="1,0000"/>
    <s v="0,8701"/>
    <s v="1,2093"/>
    <d v="2021-04-29T00:00:00"/>
    <d v="2021-04-28T00:00:00"/>
    <s v="EUR"/>
    <s v="GS002XXE"/>
    <n v="4"/>
    <n v="312.8"/>
    <n v="378.27117496251151"/>
    <n v="272.17040233885558"/>
    <n v="7.4999999999999997E-2"/>
    <n v="23.46"/>
  </r>
  <r>
    <n v="2021"/>
    <x v="0"/>
    <n v="9110130014"/>
    <s v="000030"/>
    <s v="ZREG01 / EUROPE"/>
    <s v="1100 / HYDRO Systems KG_DE"/>
    <s v="00166-289-000 / Lenkrolle"/>
    <s v="00166-289-000"/>
    <s v="Swivel castor"/>
    <s v="301 / Siefer, Alfred"/>
    <x v="1"/>
    <s v="-"/>
    <s v="Frankreich"/>
    <s v="-"/>
    <s v="Service"/>
    <s v="P033"/>
    <s v="CO098XXE"/>
    <s v="1,0000"/>
    <s v="0,8701"/>
    <s v="1,2093"/>
    <d v="2021-04-29T00:00:00"/>
    <d v="2021-04-28T00:00:00"/>
    <s v="EUR"/>
    <s v="CO098XXE"/>
    <n v="8"/>
    <n v="639.20000000000005"/>
    <n v="772.98892274948003"/>
    <n v="556.17430043157458"/>
    <n v="7.4999999999999997E-2"/>
    <n v="47.940000000000005"/>
  </r>
  <r>
    <n v="2021"/>
    <x v="0"/>
    <n v="9110130021"/>
    <s v="000010"/>
    <s v="ZREG01 / EUROPE"/>
    <s v="1100 / HYDRO Systems KG_DE"/>
    <s v="00432-551-000 / Fangbolzen"/>
    <s v="00432-551-000"/>
    <s v="Retaining pin"/>
    <s v="301 / Siefer, Alfred"/>
    <x v="2"/>
    <s v="-"/>
    <s v="Frankreich"/>
    <s v="Frankreich"/>
    <s v="Service"/>
    <s v="P033"/>
    <s v="GS003XXE"/>
    <s v="1,0000"/>
    <s v="0,8701"/>
    <s v="1,2093"/>
    <d v="2021-04-29T00:00:00"/>
    <d v="2021-04-28T00:00:00"/>
    <s v="EUR"/>
    <s v="GS003XXE"/>
    <n v="4"/>
    <n v="613"/>
    <n v="741.30508392589365"/>
    <n v="533.37741890574966"/>
    <n v="7.4999999999999997E-2"/>
    <n v="45.975000000000001"/>
  </r>
  <r>
    <n v="2021"/>
    <x v="0"/>
    <n v="9110129967"/>
    <s v="000010"/>
    <s v="ZREG06 / AFRICA"/>
    <s v="1100 / HYDRO Systems KG_DE"/>
    <s v="FEN301A21 / Dreibockheber"/>
    <s v="FEN301A21"/>
    <s v="Tripod jack"/>
    <s v="301 / Siefer, Alfred"/>
    <x v="3"/>
    <s v="100043 / Air Austral"/>
    <s v="Reunion"/>
    <s v="Reunion"/>
    <s v="GSE"/>
    <s v="P001"/>
    <s v="GS00101S"/>
    <s v="1,0000"/>
    <s v="0,8701"/>
    <s v="1,2093"/>
    <d v="2021-04-28T00:00:00"/>
    <d v="2021-04-28T00:00:00"/>
    <s v="EUR"/>
    <s v="GS00101S"/>
    <n v="2"/>
    <n v="51600"/>
    <n v="62400.232186910463"/>
    <n v="44897.675066128351"/>
    <n v="7.4999999999999997E-2"/>
    <n v="3870"/>
  </r>
  <r>
    <n v="2021"/>
    <x v="0"/>
    <n v="9110130005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701"/>
    <s v="1,2093"/>
    <d v="2021-04-28T00:00:00"/>
    <d v="2021-04-28T00:00:00"/>
    <s v="EUR"/>
    <s v="SE07001S"/>
    <n v="1"/>
    <n v="2448"/>
    <n v="2960.383108402264"/>
    <n v="2130.0292356953919"/>
    <n v="0"/>
    <n v="0"/>
  </r>
  <r>
    <n v="2021"/>
    <x v="0"/>
    <n v="9110129928"/>
    <s v="000010"/>
    <s v="ZREG01 / EUROPE"/>
    <s v="1100 / HYDRO Systems KG_DE"/>
    <s v="00511-079-000 / DU-Buchse"/>
    <s v="00511-079-000"/>
    <s v="Du-bushing"/>
    <s v="301 / Siefer, Alfred"/>
    <x v="1"/>
    <s v="-"/>
    <s v="Frankreich"/>
    <s v="Frankreich"/>
    <s v="Service"/>
    <s v="P033"/>
    <s v="CO098XXE"/>
    <s v="1,0000"/>
    <s v="0,8701"/>
    <s v="1,2093"/>
    <d v="2021-04-28T00:00:00"/>
    <d v="2021-04-27T00:00:00"/>
    <s v="EUR"/>
    <s v="CO098XXE"/>
    <n v="4"/>
    <n v="37.4"/>
    <n v="45.228075267256813"/>
    <n v="32.542113323124042"/>
    <n v="7.4999999999999997E-2"/>
    <n v="2.8049999999999997"/>
  </r>
  <r>
    <n v="2021"/>
    <x v="0"/>
    <n v="9110129928"/>
    <s v="000020"/>
    <s v="ZREG01 / EUROPE"/>
    <s v="1100 / HYDRO Systems KG_DE"/>
    <s v="00420-001-000 / Pumpenstange"/>
    <s v="00420-001-000"/>
    <s v="Pump rod"/>
    <s v="301 / Siefer, Alfred"/>
    <x v="1"/>
    <s v="-"/>
    <s v="Frankreich"/>
    <s v="-"/>
    <s v="Service"/>
    <s v="P033"/>
    <s v="GS001XXE"/>
    <s v="1,0000"/>
    <s v="0,8701"/>
    <s v="1,2093"/>
    <d v="2021-04-28T00:00:00"/>
    <d v="2021-04-27T00:00:00"/>
    <s v="EUR"/>
    <s v="GS001XXE"/>
    <n v="1"/>
    <n v="30.6"/>
    <n v="37.004788855028302"/>
    <n v="26.625365446192401"/>
    <n v="7.4999999999999997E-2"/>
    <n v="2.2949999999999999"/>
  </r>
  <r>
    <n v="2021"/>
    <x v="0"/>
    <n v="9110129929"/>
    <s v="000010"/>
    <s v="ZREG01 / EUROPE"/>
    <s v="1100 / HYDRO Systems KG_DE"/>
    <s v="00189-054-003 / Kugelhahn"/>
    <s v="00189-054-003"/>
    <s v="Ball valve"/>
    <s v="301 / Siefer, Alfred"/>
    <x v="1"/>
    <s v="-"/>
    <s v="Frankreich"/>
    <s v="Frankreich"/>
    <s v="Service"/>
    <s v="P033"/>
    <s v="CO098XXE"/>
    <s v="1,0000"/>
    <s v="0,8701"/>
    <s v="1,2093"/>
    <d v="2021-04-28T00:00:00"/>
    <d v="2021-04-27T00:00:00"/>
    <s v="EUR"/>
    <s v="CO098XXE"/>
    <n v="1"/>
    <n v="159.80000000000001"/>
    <n v="193.24723068737001"/>
    <n v="139.04357510789359"/>
    <n v="7.4999999999999997E-2"/>
    <n v="11.985000000000001"/>
  </r>
  <r>
    <n v="2021"/>
    <x v="0"/>
    <n v="9110129898"/>
    <s v="000020"/>
    <s v="ZREG06 / AFRICA"/>
    <s v="1100 / HYDRO Systems KG_DE"/>
    <s v="20538-00 / Tester fuer Unterwasserortungsgeraete"/>
    <s v="20538-00"/>
    <s v="Tester and Analyser for Underwater Locat"/>
    <s v="301 / Siefer, Alfred"/>
    <x v="5"/>
    <s v="107076 / Air Tanzania Company Ltd."/>
    <s v="Tansania"/>
    <s v="Tansania"/>
    <s v="GSE"/>
    <s v="P013"/>
    <s v="GS01250S"/>
    <s v="1,0000"/>
    <s v="0,8701"/>
    <s v="1,2093"/>
    <d v="2021-04-27T00:00:00"/>
    <d v="2021-04-27T00:00:00"/>
    <s v="EUR"/>
    <s v="GS01250S"/>
    <n v="1"/>
    <n v="926"/>
    <n v="1119.8181202534711"/>
    <n v="805.72184324098555"/>
    <n v="7.4999999999999997E-2"/>
    <n v="69.45"/>
  </r>
  <r>
    <n v="2021"/>
    <x v="0"/>
    <n v="9110129915"/>
    <s v="000010"/>
    <s v="ZREG01 / EUROPE"/>
    <s v="1100 / HYDRO Systems KG_DE"/>
    <s v="32027-106-000 / Anschlussstueck vollst. (FR)"/>
    <s v="32027-106-000"/>
    <s v="Connecting piece assy. (FR)"/>
    <s v="301 / Siefer, Alfred"/>
    <x v="1"/>
    <s v="-"/>
    <s v="Frankreich"/>
    <s v="Frankreich"/>
    <s v="Service"/>
    <s v="P033"/>
    <s v="GS006XXE"/>
    <s v="1,0000"/>
    <s v="0,8630"/>
    <s v="1,2010"/>
    <d v="2021-04-28T00:00:00"/>
    <d v="2021-04-26T00:00:00"/>
    <s v="EUR"/>
    <s v="GS006XXE"/>
    <n v="1"/>
    <n v="1184.9000000000001"/>
    <n v="1423.063989239047"/>
    <n v="1022.532124025924"/>
    <n v="7.4999999999999997E-2"/>
    <n v="88.867500000000007"/>
  </r>
  <r>
    <n v="2021"/>
    <x v="0"/>
    <n v="9110129916"/>
    <s v="000010"/>
    <s v="ZREG01 / EUROPE"/>
    <s v="1100 / HYDRO Systems KG_DE"/>
    <s v="00464-290-000 / Kugelsperrbolzen"/>
    <s v="00464-290-000"/>
    <s v="Ball lock pin"/>
    <s v="301 / Siefer, Alfred"/>
    <x v="6"/>
    <s v="-"/>
    <s v="Frankreich"/>
    <s v="Frankreich"/>
    <s v="Service"/>
    <s v="P033"/>
    <s v="CO098XXE"/>
    <s v="1,0000"/>
    <s v="0,8630"/>
    <s v="1,2010"/>
    <d v="2021-04-28T00:00:00"/>
    <d v="2021-04-26T00:00:00"/>
    <s v="EUR"/>
    <s v="CO098XXE"/>
    <n v="4"/>
    <n v="280"/>
    <n v="336.27978478093769"/>
    <n v="241.63135684636561"/>
    <n v="7.4999999999999997E-2"/>
    <n v="21"/>
  </r>
  <r>
    <n v="2021"/>
    <x v="0"/>
    <n v="9110129904"/>
    <s v="000010"/>
    <s v="ZREG06 / AFRICA"/>
    <s v="1100 / HYDRO Systems KG_DE"/>
    <s v="00432-544-000 / Scherbolzen"/>
    <s v="00432-544-000"/>
    <s v="Shear pin"/>
    <s v="301 / Siefer, Alfred"/>
    <x v="7"/>
    <s v="-"/>
    <s v="Algerien"/>
    <s v="Algerien"/>
    <s v="Service"/>
    <s v="P033"/>
    <s v="GS003XXE"/>
    <s v="1,0000"/>
    <s v="0,8630"/>
    <s v="1,2010"/>
    <d v="2021-04-27T00:00:00"/>
    <d v="2021-04-26T00:00:00"/>
    <s v="EUR"/>
    <s v="GS003XXE"/>
    <n v="20"/>
    <n v="2720"/>
    <n v="3266.717909300537"/>
    <n v="2347.276037936123"/>
    <n v="7.4999999999999997E-2"/>
    <n v="204"/>
  </r>
  <r>
    <n v="2021"/>
    <x v="0"/>
    <n v="9110129904"/>
    <s v="000020"/>
    <s v="ZREG06 / AFRICA"/>
    <s v="1100 / HYDRO Systems KG_DE"/>
    <s v="51755 / Sechskantmutter selbstsichernd"/>
    <s v="51755"/>
    <s v="Hexagonal nut self-locking"/>
    <s v="301 / Siefer, Alfred"/>
    <x v="7"/>
    <s v="-"/>
    <s v="Algerien"/>
    <s v="-"/>
    <s v="Service"/>
    <s v="P033"/>
    <s v="CO098XXE"/>
    <s v="1,0000"/>
    <s v="0,8630"/>
    <s v="1,2010"/>
    <d v="2021-04-27T00:00:00"/>
    <d v="2021-04-26T00:00:00"/>
    <s v="EUR"/>
    <s v="CO098XXE"/>
    <n v="20"/>
    <n v="200"/>
    <n v="240.1998462720984"/>
    <n v="172.59382631883261"/>
    <n v="7.4999999999999997E-2"/>
    <n v="15"/>
  </r>
  <r>
    <n v="2021"/>
    <x v="0"/>
    <n v="9110129904"/>
    <s v="000030"/>
    <s v="ZREG06 / AFRICA"/>
    <s v="1100 / HYDRO Systems KG_DE"/>
    <s v="33078-003-005 / Scherbuchse"/>
    <s v="33078-003-005"/>
    <s v="Shear bushing"/>
    <s v="301 / Siefer, Alfred"/>
    <x v="7"/>
    <s v="-"/>
    <s v="Algerien"/>
    <s v="-"/>
    <s v="Service"/>
    <s v="P033"/>
    <s v="GS003XXE"/>
    <s v="1,0000"/>
    <s v="0,8630"/>
    <s v="1,2010"/>
    <d v="2021-04-27T00:00:00"/>
    <d v="2021-04-26T00:00:00"/>
    <s v="EUR"/>
    <s v="GS003XXE"/>
    <n v="10"/>
    <n v="360"/>
    <n v="432.35972328977698"/>
    <n v="310.66888737389871"/>
    <n v="7.4999999999999997E-2"/>
    <n v="27"/>
  </r>
  <r>
    <n v="2021"/>
    <x v="0"/>
    <n v="9110129904"/>
    <s v="000040"/>
    <s v="ZREG06 / AFRICA"/>
    <s v="1100 / HYDRO Systems KG_DE"/>
    <s v="00432-543-000 / Fangbolzen"/>
    <s v="00432-543-000"/>
    <s v="Retaining pin"/>
    <s v="301 / Siefer, Alfred"/>
    <x v="7"/>
    <s v="-"/>
    <s v="Algerien"/>
    <s v="-"/>
    <s v="Service"/>
    <s v="P033"/>
    <s v="GS003XXE"/>
    <s v="1,0000"/>
    <s v="0,8630"/>
    <s v="1,2010"/>
    <d v="2021-04-27T00:00:00"/>
    <d v="2021-04-26T00:00:00"/>
    <s v="EUR"/>
    <s v="GS003XXE"/>
    <n v="5"/>
    <n v="895"/>
    <n v="1074.8943120676399"/>
    <n v="772.35737277677583"/>
    <n v="7.4999999999999997E-2"/>
    <n v="67.125"/>
  </r>
  <r>
    <n v="2021"/>
    <x v="0"/>
    <n v="9110129904"/>
    <s v="000050"/>
    <s v="ZREG06 / AFRICA"/>
    <s v="1100 / HYDRO Systems KG_DE"/>
    <s v="51758 / Sechskantmutter selbstsichernd"/>
    <s v="51758"/>
    <s v="Hexagonal nut self-locking"/>
    <s v="301 / Siefer, Alfred"/>
    <x v="7"/>
    <s v="-"/>
    <s v="Algerien"/>
    <s v="-"/>
    <s v="Service"/>
    <s v="P033"/>
    <s v="CO098XXE"/>
    <s v="1,0000"/>
    <s v="0,8630"/>
    <s v="1,2010"/>
    <d v="2021-04-27T00:00:00"/>
    <d v="2021-04-26T00:00:00"/>
    <s v="EUR"/>
    <s v="CO098XXE"/>
    <n v="5"/>
    <n v="50"/>
    <n v="60.049961568024592"/>
    <n v="43.148456579708153"/>
    <n v="7.4999999999999997E-2"/>
    <n v="3.75"/>
  </r>
  <r>
    <n v="2021"/>
    <x v="0"/>
    <n v="9110129723"/>
    <s v="000010"/>
    <s v="ZREG01 / EUROPE"/>
    <s v="1100 / HYDRO Systems KG_DE"/>
    <s v="00464-913-000 / Kugelsperrbolzen"/>
    <s v="00464-913-000"/>
    <s v="Ball lock pin"/>
    <s v="302 / Balsemin, Antony"/>
    <x v="0"/>
    <s v="-"/>
    <s v="Frankreich"/>
    <s v="Frankreich"/>
    <s v="Service"/>
    <s v="P033"/>
    <s v="CO098XXE"/>
    <s v="1,0000"/>
    <s v="0,8630"/>
    <s v="1,2010"/>
    <d v="2021-04-22T00:00:00"/>
    <d v="2021-04-22T00:00:00"/>
    <s v="EUR"/>
    <s v="CO098XXE"/>
    <n v="2"/>
    <n v="0"/>
    <n v="0"/>
    <n v="0"/>
    <n v="7.4999999999999997E-2"/>
    <n v="0"/>
  </r>
  <r>
    <n v="2021"/>
    <x v="0"/>
    <n v="9110129729"/>
    <s v="000010"/>
    <s v="ZREG06 / AFRICA"/>
    <s v="1100 / HYDRO Systems KG_DE"/>
    <s v="00489-072-000 / Absperrventil"/>
    <s v="00489-072-000"/>
    <s v="Stop valve"/>
    <s v="301 / Siefer, Alfred"/>
    <x v="8"/>
    <s v="100483 / ROYAL AIR MAROC"/>
    <s v="Marokko"/>
    <s v="Marokko"/>
    <s v="Service"/>
    <s v="P033"/>
    <s v="CO099XXE"/>
    <s v="1,0000"/>
    <s v="0,8630"/>
    <s v="1,2010"/>
    <d v="2021-04-22T00:00:00"/>
    <d v="2021-04-22T00:00:00"/>
    <s v="EUR"/>
    <s v="CO099XXE"/>
    <n v="2"/>
    <n v="532"/>
    <n v="638.93159108378165"/>
    <n v="459.09957800809468"/>
    <n v="7.4999999999999997E-2"/>
    <n v="39.9"/>
  </r>
  <r>
    <n v="2021"/>
    <x v="0"/>
    <n v="9110129729"/>
    <s v="000020"/>
    <s v="ZREG06 / AFRICA"/>
    <s v="1100 / HYDRO Systems KG_DE"/>
    <s v="00175-005-000 / Lufthydraulikpumpe vollst."/>
    <s v="00175-005-000"/>
    <s v="Air hydraulic pump assy."/>
    <s v="301 / Siefer, Alfred"/>
    <x v="8"/>
    <s v="-"/>
    <s v="Marokko"/>
    <s v="-"/>
    <s v="Service"/>
    <s v="P033"/>
    <s v="GS001XXE"/>
    <s v="1,0000"/>
    <s v="0,8630"/>
    <s v="1,2010"/>
    <d v="2021-04-22T00:00:00"/>
    <d v="2021-04-22T00:00:00"/>
    <s v="EUR"/>
    <s v="GS001XXE"/>
    <n v="1"/>
    <n v="3517"/>
    <n v="4223.9142966948493"/>
    <n v="3035.062435816671"/>
    <n v="7.4999999999999997E-2"/>
    <n v="263.77499999999998"/>
  </r>
  <r>
    <n v="2021"/>
    <x v="0"/>
    <n v="9110129729"/>
    <s v="000030"/>
    <s v="ZREG06 / AFRICA"/>
    <s v="1100 / HYDRO Systems KG_DE"/>
    <s v="00304-101-000 / Nutring"/>
    <s v="00304-101-000"/>
    <s v="Grooved ring"/>
    <s v="301 / Siefer, Alfred"/>
    <x v="8"/>
    <s v="-"/>
    <s v="Marokko"/>
    <s v="-"/>
    <s v="Service"/>
    <s v="P033"/>
    <s v="CO098XXE"/>
    <s v="1,0000"/>
    <s v="0,8630"/>
    <s v="1,2010"/>
    <d v="2021-04-22T00:00:00"/>
    <d v="2021-04-22T00:00:00"/>
    <s v="EUR"/>
    <s v="CO098XXE"/>
    <n v="2"/>
    <n v="130"/>
    <n v="156.12990007686389"/>
    <n v="112.1859871072412"/>
    <n v="7.4999999999999997E-2"/>
    <n v="9.75"/>
  </r>
  <r>
    <n v="2021"/>
    <x v="0"/>
    <n v="9110129745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30"/>
    <s v="1,2010"/>
    <d v="2021-04-22T00:00:00"/>
    <d v="2021-04-22T00:00:00"/>
    <s v="EUR"/>
    <s v="SE07001S"/>
    <n v="1"/>
    <n v="60"/>
    <n v="72.059953881629511"/>
    <n v="51.778147895649766"/>
    <n v="7.4999999999999997E-2"/>
    <n v="4.5"/>
  </r>
  <r>
    <n v="2021"/>
    <x v="0"/>
    <n v="9110129657"/>
    <s v="000010"/>
    <s v="ZREG01 / EUROPE"/>
    <s v="1100 / HYDRO Systems KG_DE"/>
    <s v="17240-004-031 / Lufthydraulikdichtung"/>
    <s v="17240-004-031"/>
    <s v="Air hydraulic seal"/>
    <s v="301 / Siefer, Alfred"/>
    <x v="1"/>
    <s v="-"/>
    <s v="Frankreich"/>
    <s v="Frankreich"/>
    <s v="Service"/>
    <s v="P033"/>
    <s v="GS002XXE"/>
    <s v="1,0000"/>
    <s v="0,8630"/>
    <s v="1,2010"/>
    <d v="2021-04-21T00:00:00"/>
    <d v="2021-04-20T00:00:00"/>
    <s v="EUR"/>
    <s v="GS002XXE"/>
    <n v="4"/>
    <n v="27.2"/>
    <n v="32.667179093005373"/>
    <n v="23.47276037936123"/>
    <n v="7.4999999999999997E-2"/>
    <n v="2.04"/>
  </r>
  <r>
    <n v="2021"/>
    <x v="0"/>
    <n v="9110129657"/>
    <s v="000020"/>
    <s v="ZREG01 / EUROPE"/>
    <s v="1100 / HYDRO Systems KG_DE"/>
    <s v="00495-126-000 / Sitzventil"/>
    <s v="00495-126-000"/>
    <s v="Seated valve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1"/>
    <n v="118.15"/>
    <n v="141.89805918524209"/>
    <n v="101.95980289785039"/>
    <n v="7.4999999999999997E-2"/>
    <n v="8.8612500000000001"/>
  </r>
  <r>
    <n v="2021"/>
    <x v="0"/>
    <n v="9110129657"/>
    <s v="000030"/>
    <s v="ZREG01 / EUROPE"/>
    <s v="1100 / HYDRO Systems KG_DE"/>
    <s v="00189-096-001 / Ventilsegment"/>
    <s v="00189-096-001"/>
    <s v="Valve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2"/>
    <n v="1331.1"/>
    <n v="1598.650076863951"/>
    <n v="1148.6982110649899"/>
    <n v="7.4999999999999997E-2"/>
    <n v="99.832499999999996"/>
  </r>
  <r>
    <n v="2021"/>
    <x v="0"/>
    <n v="9110129657"/>
    <s v="000040"/>
    <s v="ZREG01 / EUROPE"/>
    <s v="1100 / HYDRO Systems KG_DE"/>
    <s v="00189-096-002 / Dichtungssatz"/>
    <s v="00189-096-002"/>
    <s v="Seal kit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2"/>
    <n v="23.8"/>
    <n v="28.58378170637971"/>
    <n v="20.538665331941079"/>
    <n v="7.4999999999999997E-2"/>
    <n v="1.7849999999999999"/>
  </r>
  <r>
    <n v="2021"/>
    <x v="0"/>
    <n v="9110129659"/>
    <s v="000010"/>
    <s v="ZREG01 / EUROPE"/>
    <s v="1100 / HYDRO Systems KG_DE"/>
    <s v="33076-008-000 / Zugoese vollst."/>
    <s v="33076-008-000"/>
    <s v="Tow-eye assy."/>
    <s v="302 / Balsemin, Antony"/>
    <x v="0"/>
    <s v="-"/>
    <s v="Frankreich"/>
    <s v="Frankreich"/>
    <s v="Service"/>
    <s v="P033"/>
    <s v="GS003XXE"/>
    <s v="1,0000"/>
    <s v="0,8630"/>
    <s v="1,2010"/>
    <d v="2021-04-21T00:00:00"/>
    <d v="2021-04-20T00:00:00"/>
    <s v="EUR"/>
    <s v="GS003XXE"/>
    <n v="3"/>
    <n v="3195"/>
    <n v="3837.192544196771"/>
    <n v="2757.1863754433498"/>
    <n v="7.4999999999999997E-2"/>
    <n v="239.625"/>
  </r>
  <r>
    <n v="2021"/>
    <x v="0"/>
    <n v="9110129663"/>
    <s v="000010"/>
    <s v="ZREG01 / EUROPE"/>
    <s v="1100 / HYDRO Systems KG_DE"/>
    <s v="TOWUNIV3S20RH1_TY / Schleppstange"/>
    <s v="TOWUNIV3S20RH1_TY"/>
    <s v="Tow bar"/>
    <s v="302 / Balsemin, Antony"/>
    <x v="10"/>
    <s v="-"/>
    <s v="Frankreich"/>
    <s v="Frankreich"/>
    <s v="GSE"/>
    <s v="P006"/>
    <s v="GS00316S"/>
    <s v="1,0000"/>
    <s v="0,8630"/>
    <s v="1,2010"/>
    <d v="2021-04-21T00:00:00"/>
    <d v="2021-04-20T00:00:00"/>
    <s v="EUR"/>
    <s v="GS00316S"/>
    <n v="1"/>
    <n v="6026"/>
    <n v="7237.2213681783232"/>
    <n v="5200.2519869864254"/>
    <n v="7.4999999999999997E-2"/>
    <n v="451.95"/>
  </r>
  <r>
    <n v="2021"/>
    <x v="0"/>
    <n v="9110129612"/>
    <s v="000010"/>
    <s v="ZREG01 / EUROPE"/>
    <s v="1100 / HYDRO Systems KG_DE"/>
    <s v="BOB02B / Oeleinfuellgeraet"/>
    <s v="BOB02B"/>
    <s v="Oil filling unit"/>
    <s v="302 / Balsemin, Antony"/>
    <x v="10"/>
    <s v="103415 / Tarmac Aragón"/>
    <s v="Frankreich"/>
    <s v="Spanien"/>
    <s v="GSE"/>
    <s v="P013"/>
    <s v="GS01250S"/>
    <s v="1,0000"/>
    <s v="0,8630"/>
    <s v="1,2010"/>
    <d v="2021-04-20T00:00:00"/>
    <d v="2021-04-20T00:00:00"/>
    <s v="EUR"/>
    <s v="GS01250S"/>
    <n v="4"/>
    <n v="7460.8"/>
    <n v="8960.4150653343568"/>
    <n v="6438.4400969977314"/>
    <n v="7.4999999999999997E-2"/>
    <n v="559.55999999999995"/>
  </r>
  <r>
    <n v="2021"/>
    <x v="0"/>
    <n v="9110129612"/>
    <s v="000020"/>
    <s v="ZREG01 / EUROPE"/>
    <s v="1100 / HYDRO Systems KG_DE"/>
    <s v="BOB02G / Oeleinfuellgeraet"/>
    <s v="BOB02G"/>
    <s v="Oil filling unit"/>
    <s v="302 / Balsemin, Antony"/>
    <x v="10"/>
    <s v="-"/>
    <s v="Frankreich"/>
    <s v="-"/>
    <s v="GSE"/>
    <s v="P013"/>
    <s v="GS01250S"/>
    <s v="1,0000"/>
    <s v="0,8630"/>
    <s v="1,2010"/>
    <d v="2021-04-20T00:00:00"/>
    <d v="2021-04-20T00:00:00"/>
    <s v="EUR"/>
    <s v="GS01250S"/>
    <n v="2"/>
    <n v="3730.4"/>
    <n v="4480.2075326671784"/>
    <n v="3219.2200484988648"/>
    <n v="7.4999999999999997E-2"/>
    <n v="279.77999999999997"/>
  </r>
  <r>
    <n v="2021"/>
    <x v="0"/>
    <n v="9110129612"/>
    <s v="000030"/>
    <s v="ZREG01 / EUROPE"/>
    <s v="1100 / HYDRO Systems KG_DE"/>
    <s v="BOB02K / Oeleinfuellgeraet"/>
    <s v="BOB02K"/>
    <s v="Oil filling unit"/>
    <s v="302 / Balsemin, Antony"/>
    <x v="10"/>
    <s v="-"/>
    <s v="Frankreich"/>
    <s v="-"/>
    <s v="GSE"/>
    <s v="P013"/>
    <s v="GS01250S"/>
    <s v="1,0000"/>
    <s v="0,8630"/>
    <s v="1,2010"/>
    <d v="2021-04-20T00:00:00"/>
    <d v="2021-04-20T00:00:00"/>
    <s v="EUR"/>
    <s v="GS01250S"/>
    <n v="2"/>
    <n v="3730.4"/>
    <n v="4480.2075326671784"/>
    <n v="3219.2200484988648"/>
    <n v="7.4999999999999997E-2"/>
    <n v="279.77999999999997"/>
  </r>
  <r>
    <n v="2021"/>
    <x v="0"/>
    <n v="9110129613"/>
    <s v="000010"/>
    <s v="ZREG01 / EUROPE"/>
    <s v="1100 / HYDRO Systems KG_DE"/>
    <s v="HU82353 / Abdeckung"/>
    <s v="HU82353"/>
    <s v="Mask"/>
    <s v="302 / Balsemin, Antony"/>
    <x v="11"/>
    <s v="107996 / MAZERES AERO"/>
    <s v="Frankreich"/>
    <s v="Frankreich"/>
    <s v="Tooling"/>
    <s v="P025"/>
    <s v="TE03001S"/>
    <s v="1,0000"/>
    <s v="0,8630"/>
    <s v="1,2010"/>
    <d v="2021-04-20T00:00:00"/>
    <d v="2021-04-20T00:00:00"/>
    <s v="EUR"/>
    <s v="TE03001S"/>
    <n v="2"/>
    <n v="9211.68"/>
    <n v="11063.220599538819"/>
    <n v="7949.3954901233183"/>
    <n v="7.4999999999999997E-2"/>
    <n v="690.87599999999998"/>
  </r>
  <r>
    <n v="2021"/>
    <x v="0"/>
    <n v="9110129742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68"/>
    <s v="1,1902"/>
    <d v="2021-04-22T00:00:00"/>
    <d v="2021-04-19T00:00:00"/>
    <s v="EUR"/>
    <s v="SE07001S"/>
    <n v="1"/>
    <n v="1209"/>
    <n v="1438.9602351848989"/>
    <n v="1048.0054090601759"/>
    <n v="0"/>
    <n v="0"/>
  </r>
  <r>
    <n v="2021"/>
    <x v="0"/>
    <n v="9110129606"/>
    <s v="000010"/>
    <s v="ZREG01 / EUROPE"/>
    <s v="1100 / HYDRO Systems KG_DE"/>
    <s v="00336-007-000 / Kolbendichtsatz"/>
    <s v="00336-007-000"/>
    <s v="Piston seal set"/>
    <s v="301 / Siefer, Alfred"/>
    <x v="12"/>
    <s v="-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7.4999999999999997E-2"/>
    <n v="0"/>
  </r>
  <r>
    <n v="2021"/>
    <x v="0"/>
    <n v="9110129606"/>
    <s v="00002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7.4999999999999997E-2"/>
    <n v="0"/>
  </r>
  <r>
    <n v="2021"/>
    <x v="0"/>
    <n v="9110129606"/>
    <s v="000030"/>
    <s v="ZREG01 / EUROPE"/>
    <s v="1100 / HYDRO Systems KG_DE"/>
    <s v="00336-009-000 / Kolbendichtsatz"/>
    <s v="00336-009-000"/>
    <s v="Piston seal set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7.4999999999999997E-2"/>
    <n v="0"/>
  </r>
  <r>
    <n v="2021"/>
    <x v="0"/>
    <n v="9110129606"/>
    <s v="00004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7.4999999999999997E-2"/>
    <n v="0"/>
  </r>
  <r>
    <n v="2021"/>
    <x v="0"/>
    <n v="9110129606"/>
    <s v="00005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7.4999999999999997E-2"/>
    <n v="0"/>
  </r>
  <r>
    <n v="2021"/>
    <x v="0"/>
    <n v="9110129606"/>
    <s v="00006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7.4999999999999997E-2"/>
    <n v="0"/>
  </r>
  <r>
    <n v="2021"/>
    <x v="0"/>
    <n v="9110129607"/>
    <s v="000010"/>
    <s v="ZREG01 / EUROPE"/>
    <s v="1100 / HYDRO Systems KG_DE"/>
    <s v="00336-007-000 / Kolbendichtsatz"/>
    <s v="00336-007-000"/>
    <s v="Piston seal set"/>
    <s v="301 / Siefer, Alfred"/>
    <x v="12"/>
    <s v="100028 / Airbus Operations SAS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7.4999999999999997E-2"/>
    <n v="0"/>
  </r>
  <r>
    <n v="2021"/>
    <x v="0"/>
    <n v="9110129607"/>
    <s v="00002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7.4999999999999997E-2"/>
    <n v="0"/>
  </r>
  <r>
    <n v="2021"/>
    <x v="0"/>
    <n v="9110129607"/>
    <s v="000030"/>
    <s v="ZREG01 / EUROPE"/>
    <s v="1100 / HYDRO Systems KG_DE"/>
    <s v="00336-009-000 / Kolbendichtsatz"/>
    <s v="00336-009-000"/>
    <s v="Piston seal set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7.4999999999999997E-2"/>
    <n v="0"/>
  </r>
  <r>
    <n v="2021"/>
    <x v="0"/>
    <n v="9110129607"/>
    <s v="00004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7.4999999999999997E-2"/>
    <n v="0"/>
  </r>
  <r>
    <n v="2021"/>
    <x v="0"/>
    <n v="9110129607"/>
    <s v="00005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7.4999999999999997E-2"/>
    <n v="0"/>
  </r>
  <r>
    <n v="2021"/>
    <x v="0"/>
    <n v="9110129607"/>
    <s v="00006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7.4999999999999997E-2"/>
    <n v="0"/>
  </r>
  <r>
    <n v="2021"/>
    <x v="0"/>
    <n v="9110129631"/>
    <s v="000010"/>
    <s v="ZREG01 / EUROPE"/>
    <s v="1100 / HYDRO Systems KG_DE"/>
    <s v="00489-148-000 / Absperrventil"/>
    <s v="00489-148-000"/>
    <s v="Stop valve"/>
    <s v="301 / Siefer, Alfred"/>
    <x v="1"/>
    <s v="-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3"/>
    <n v="137.69999999999999"/>
    <n v="163.89150073197729"/>
    <n v="119.3633952254642"/>
    <n v="7.4999999999999997E-2"/>
    <n v="10.327499999999999"/>
  </r>
  <r>
    <n v="2021"/>
    <x v="0"/>
    <n v="9110129472"/>
    <s v="000010"/>
    <s v="ZREG01 / EUROPE"/>
    <s v="1100 / HYDRO Systems KG_DE"/>
    <s v="00166-230-000 / Lenkrolle"/>
    <s v="00166-230-000"/>
    <s v="Swivel castor"/>
    <s v="302 / Balsemin, Antony"/>
    <x v="0"/>
    <s v="100403 / Airbus Helicopters"/>
    <s v="Frankreich"/>
    <s v="Frankreich"/>
    <s v="Service"/>
    <s v="P033"/>
    <s v="CO098XXE"/>
    <s v="1,0000"/>
    <s v="0,8668"/>
    <s v="1,1902"/>
    <d v="2021-04-15T00:00:00"/>
    <d v="2021-04-15T00:00:00"/>
    <s v="EUR"/>
    <s v="CO098XXE"/>
    <n v="21"/>
    <n v="473.55"/>
    <n v="563.62251395517683"/>
    <n v="410.49045612940131"/>
    <n v="7.4999999999999997E-2"/>
    <n v="35.516249999999999"/>
  </r>
  <r>
    <n v="2021"/>
    <x v="0"/>
    <n v="9110129474"/>
    <s v="000080"/>
    <s v="ZREG01 / EUROPE"/>
    <s v="1100 / HYDRO Systems KG_DE"/>
    <s v="00411-031-000 / Kupferdichtung"/>
    <s v="00411-031-000"/>
    <s v="Copper gasket"/>
    <s v="301 / Siefer, Alfred"/>
    <x v="12"/>
    <s v="-"/>
    <s v="Frankreich"/>
    <s v="Frankreich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7.4999999999999997E-2"/>
    <n v="0"/>
  </r>
  <r>
    <n v="2021"/>
    <x v="0"/>
    <n v="9110129474"/>
    <s v="000090"/>
    <s v="ZREG01 / EUROPE"/>
    <s v="1100 / HYDRO Systems KG_DE"/>
    <s v="00189-126-001 / Dichtungssatz"/>
    <s v="00189-126-001"/>
    <s v="Seal kit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7.4999999999999997E-2"/>
    <n v="0"/>
  </r>
  <r>
    <n v="2021"/>
    <x v="0"/>
    <n v="9110129474"/>
    <s v="000100"/>
    <s v="ZREG01 / EUROPE"/>
    <s v="1100 / HYDRO Systems KG_DE"/>
    <s v="00145-136-002 / Verschmutzungsanzeige"/>
    <s v="00145-136-002"/>
    <s v="Filter blockade sensor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7.4999999999999997E-2"/>
    <n v="0"/>
  </r>
  <r>
    <n v="2021"/>
    <x v="0"/>
    <n v="9110129474"/>
    <s v="000110"/>
    <s v="ZREG01 / EUROPE"/>
    <s v="1100 / HYDRO Systems KG_DE"/>
    <s v="00945-219-000 / Batteriestecker"/>
    <s v="00945-219-000"/>
    <s v="Battery connector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7.4999999999999997E-2"/>
    <n v="0"/>
  </r>
  <r>
    <n v="2021"/>
    <x v="0"/>
    <n v="9110129474"/>
    <s v="000120"/>
    <s v="ZREG01 / EUROPE"/>
    <s v="1100 / HYDRO Systems KG_DE"/>
    <s v="00945-458-000 / Stecker"/>
    <s v="00945-458-000"/>
    <s v="Plug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7.4999999999999997E-2"/>
    <n v="0"/>
  </r>
  <r>
    <n v="2021"/>
    <x v="0"/>
    <n v="9110129474"/>
    <s v="000130"/>
    <s v="ZREG01 / EUROPE"/>
    <s v="1100 / HYDRO Systems KG_DE"/>
    <s v="00945-579-000 / Stecker"/>
    <s v="00945-579-000"/>
    <s v="Plug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7.4999999999999997E-2"/>
    <n v="0"/>
  </r>
  <r>
    <n v="2021"/>
    <x v="0"/>
    <n v="9110129379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68"/>
    <s v="1,1902"/>
    <d v="2021-04-14T00:00:00"/>
    <d v="2021-04-14T00:00:00"/>
    <s v="EUR"/>
    <s v="SE07001S"/>
    <n v="1"/>
    <n v="420"/>
    <n v="499.88693033718567"/>
    <n v="364.07135798616531"/>
    <n v="7.4999999999999997E-2"/>
    <n v="31.5"/>
  </r>
  <r>
    <n v="2021"/>
    <x v="0"/>
    <n v="9110129380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68"/>
    <s v="1,1902"/>
    <d v="2021-04-14T00:00:00"/>
    <d v="2021-04-14T00:00:00"/>
    <s v="EUR"/>
    <s v="SE07001S"/>
    <n v="1"/>
    <n v="120"/>
    <n v="142.82483723919589"/>
    <n v="104.02038799604721"/>
    <n v="7.4999999999999997E-2"/>
    <n v="9"/>
  </r>
  <r>
    <n v="2021"/>
    <x v="0"/>
    <n v="9110129429"/>
    <s v="010000"/>
    <s v="ZREG01 / EUROPE"/>
    <s v="1100 / HYDRO Systems KG_DE"/>
    <s v="SE_BI_REC / Rezertifizierung"/>
    <s v="SE_BI_REC"/>
    <s v="Recertification"/>
    <s v="301 / Siefer, Alfred"/>
    <x v="12"/>
    <s v="101543 / Sepang Aircraft Engineering"/>
    <s v="Frankreich"/>
    <s v="Malaysia"/>
    <s v="Service"/>
    <s v="P034"/>
    <s v="SE07001S"/>
    <s v="1,0000"/>
    <s v="0,8668"/>
    <s v="1,1902"/>
    <d v="2021-04-14T00:00:00"/>
    <d v="2021-04-14T00:00:00"/>
    <s v="EUR"/>
    <s v="SE07001S"/>
    <n v="1"/>
    <n v="3190"/>
    <n v="3796.7602566086248"/>
    <n v="2765.2086475615879"/>
    <n v="0"/>
    <n v="0"/>
  </r>
  <r>
    <n v="2021"/>
    <x v="0"/>
    <n v="9110129439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68"/>
    <s v="1,1902"/>
    <d v="2021-04-14T00:00:00"/>
    <d v="2021-04-14T00:00:00"/>
    <s v="EUR"/>
    <s v="SE07001S"/>
    <n v="1"/>
    <n v="29286"/>
    <n v="34856.401528225761"/>
    <n v="25386.175690435321"/>
    <n v="0"/>
    <n v="0"/>
  </r>
  <r>
    <n v="2021"/>
    <x v="0"/>
    <n v="9110129368"/>
    <s v="000010"/>
    <s v="ZREG01 / EUROPE"/>
    <s v="1100 / HYDRO Systems KG_DE"/>
    <s v="17240-003-000 / Laufrolle vollst."/>
    <s v="17240-003-000"/>
    <s v="Castor assy."/>
    <s v="301 / Siefer, Alfred"/>
    <x v="1"/>
    <s v="-"/>
    <s v="Frankreich"/>
    <s v="Frankreich"/>
    <s v="Service"/>
    <s v="P033"/>
    <s v="GS002XXE"/>
    <s v="1,0000"/>
    <s v="0,8668"/>
    <s v="1,1902"/>
    <d v="2021-04-14T00:00:00"/>
    <d v="2021-04-13T00:00:00"/>
    <s v="EUR"/>
    <s v="GS002XXE"/>
    <n v="2"/>
    <n v="838.1"/>
    <n v="997.51246741808416"/>
    <n v="726.49572649572644"/>
    <n v="7.4999999999999997E-2"/>
    <n v="62.857500000000002"/>
  </r>
  <r>
    <n v="2021"/>
    <x v="0"/>
    <n v="9110129302"/>
    <s v="000010"/>
    <s v="ZREG06 / AFRICA"/>
    <s v="1100 / HYDRO Systems KG_DE"/>
    <s v="00432-348-000 / Scherbolzen"/>
    <s v="00432-348-000"/>
    <s v="Shear pin"/>
    <s v="301 / Siefer, Alfred"/>
    <x v="13"/>
    <s v="-"/>
    <s v="Äthiopien"/>
    <s v="Äthiopien"/>
    <s v="Service"/>
    <s v="P033"/>
    <s v="GS003XXE"/>
    <s v="1,0000"/>
    <s v="0,8494"/>
    <s v="1,1781"/>
    <d v="2021-04-12T00:00:00"/>
    <d v="2021-04-09T00:00:00"/>
    <s v="EUR"/>
    <s v="GS003XXE"/>
    <n v="20"/>
    <n v="1120"/>
    <n v="1319.5098963242231"/>
    <n v="951.2969915232643"/>
    <n v="7.4999999999999997E-2"/>
    <n v="84"/>
  </r>
  <r>
    <n v="2021"/>
    <x v="0"/>
    <n v="9110129305"/>
    <s v="000010"/>
    <s v="ZREG01 / EUROPE"/>
    <s v="1100 / HYDRO Systems KG_DE"/>
    <s v="00316-017-000 / Turcon-Glyd-Ring"/>
    <s v="00316-017-000"/>
    <s v="Turcon-Glyd-Ring"/>
    <s v="301 / Siefer, Alfred"/>
    <x v="14"/>
    <s v="-"/>
    <s v="Frankreich"/>
    <s v="Frankreich"/>
    <s v="Service"/>
    <s v="P033"/>
    <s v="CO098XXE"/>
    <s v="1,0000"/>
    <s v="0,8494"/>
    <s v="1,1781"/>
    <d v="2021-04-12T00:00:00"/>
    <d v="2021-04-09T00:00:00"/>
    <s v="EUR"/>
    <s v="CO098XXE"/>
    <n v="1"/>
    <n v="33"/>
    <n v="38.878416588124409"/>
    <n v="28.029286357381899"/>
    <n v="7.4999999999999997E-2"/>
    <n v="2.4750000000000001"/>
  </r>
  <r>
    <n v="2021"/>
    <x v="0"/>
    <n v="9110129305"/>
    <s v="000020"/>
    <s v="ZREG01 / EUROPE"/>
    <s v="1100 / HYDRO Systems KG_DE"/>
    <s v="00314-013-000 / Stangenfuehrungsring"/>
    <s v="00314-013-000"/>
    <s v="Rod guide ring"/>
    <s v="301 / Siefer, Alfred"/>
    <x v="14"/>
    <s v="-"/>
    <s v="Frankreich"/>
    <s v="-"/>
    <s v="Service"/>
    <s v="P033"/>
    <s v="CO098XXE"/>
    <s v="1,0000"/>
    <s v="0,8494"/>
    <s v="1,1781"/>
    <d v="2021-04-12T00:00:00"/>
    <d v="2021-04-09T00:00:00"/>
    <s v="EUR"/>
    <s v="CO098XXE"/>
    <n v="1"/>
    <n v="16"/>
    <n v="18.850141376060321"/>
    <n v="13.58995702176092"/>
    <n v="7.4999999999999997E-2"/>
    <n v="1.2"/>
  </r>
  <r>
    <n v="2021"/>
    <x v="0"/>
    <n v="9110129305"/>
    <s v="000030"/>
    <s v="ZREG01 / EUROPE"/>
    <s v="1100 / HYDRO Systems KG_DE"/>
    <s v="00301-167-000 / O-Ring"/>
    <s v="00301-167-000"/>
    <s v="O-ring"/>
    <s v="301 / Siefer, Alfred"/>
    <x v="14"/>
    <s v="-"/>
    <s v="Frankreich"/>
    <s v="-"/>
    <s v="Service"/>
    <s v="P033"/>
    <s v="CO098XXE"/>
    <s v="1,0000"/>
    <s v="0,8494"/>
    <s v="1,1781"/>
    <d v="2021-04-12T00:00:00"/>
    <d v="2021-04-09T00:00:00"/>
    <s v="EUR"/>
    <s v="CO098XXE"/>
    <n v="1"/>
    <n v="9"/>
    <n v="10.603204524033931"/>
    <n v="7.644350824740517"/>
    <n v="7.4999999999999997E-2"/>
    <n v="0.67499999999999993"/>
  </r>
  <r>
    <n v="2021"/>
    <x v="0"/>
    <n v="9110129311"/>
    <s v="000010"/>
    <s v="ZREG01 / EUROPE"/>
    <s v="1100 / HYDRO Systems KG_DE"/>
    <s v="12791_00 / Hinweisschild"/>
    <s v="12791_00"/>
    <s v="Mandatory sign"/>
    <s v="302 / Balsemin, Antony"/>
    <x v="15"/>
    <s v="-"/>
    <s v="Frankreich"/>
    <s v="Frankreich"/>
    <s v="Service"/>
    <s v="P033"/>
    <s v="CO099XXE"/>
    <s v="1,0000"/>
    <s v="0,8494"/>
    <s v="1,1781"/>
    <d v="2021-04-12T00:00:00"/>
    <d v="2021-04-09T00:00:00"/>
    <s v="EUR"/>
    <s v="CO099XXE"/>
    <n v="2"/>
    <n v="0"/>
    <n v="0"/>
    <n v="0"/>
    <n v="7.4999999999999997E-2"/>
    <n v="0"/>
  </r>
  <r>
    <n v="2021"/>
    <x v="0"/>
    <n v="9110129311"/>
    <s v="000020"/>
    <s v="ZREG01 / EUROPE"/>
    <s v="1100 / HYDRO Systems KG_DE"/>
    <s v="12768_00 / Hinweisschild"/>
    <s v="12768_00"/>
    <s v="Mandatory sign"/>
    <s v="302 / Balsemin, Antony"/>
    <x v="15"/>
    <s v="-"/>
    <s v="Frankreich"/>
    <s v="-"/>
    <s v="Service"/>
    <s v="P033"/>
    <s v="CO099XXE"/>
    <s v="1,0000"/>
    <s v="0,8494"/>
    <s v="1,1781"/>
    <d v="2021-04-12T00:00:00"/>
    <d v="2021-04-09T00:00:00"/>
    <s v="EUR"/>
    <s v="CO099XXE"/>
    <n v="2"/>
    <n v="0"/>
    <n v="0"/>
    <n v="0"/>
    <n v="7.4999999999999997E-2"/>
    <n v="0"/>
  </r>
  <r>
    <n v="2021"/>
    <x v="0"/>
    <n v="9110129270"/>
    <s v="000010"/>
    <s v="ZREG01 / EUROPE"/>
    <s v="1100 / HYDRO Systems KG_DE"/>
    <s v="12791_00 / Hinweisschild"/>
    <s v="12791_00"/>
    <s v="Mandatory sign"/>
    <s v="301 / Siefer, Alfred"/>
    <x v="12"/>
    <s v="-"/>
    <s v="Frankreich"/>
    <s v="Frankreich"/>
    <s v="Service"/>
    <s v="P033"/>
    <s v="CO099XXE"/>
    <s v="1,0000"/>
    <s v="0,8494"/>
    <s v="1,1781"/>
    <d v="2021-04-08T00:00:00"/>
    <d v="2021-04-08T00:00:00"/>
    <s v="EUR"/>
    <s v="CO099XXE"/>
    <n v="4"/>
    <n v="0"/>
    <n v="0"/>
    <n v="0"/>
    <n v="7.4999999999999997E-2"/>
    <n v="0"/>
  </r>
  <r>
    <n v="2021"/>
    <x v="0"/>
    <n v="9110129270"/>
    <s v="000020"/>
    <s v="ZREG01 / EUROPE"/>
    <s v="1100 / HYDRO Systems KG_DE"/>
    <s v="12768_00 / Hinweisschild"/>
    <s v="12768_00"/>
    <s v="Mandatory sign"/>
    <s v="301 / Siefer, Alfred"/>
    <x v="12"/>
    <s v="-"/>
    <s v="Frankreich"/>
    <s v="-"/>
    <s v="Service"/>
    <s v="P033"/>
    <s v="CO099XXE"/>
    <s v="1,0000"/>
    <s v="0,8494"/>
    <s v="1,1781"/>
    <d v="2021-04-08T00:00:00"/>
    <d v="2021-04-08T00:00:00"/>
    <s v="EUR"/>
    <s v="CO099XXE"/>
    <n v="4"/>
    <n v="0"/>
    <n v="0"/>
    <n v="0"/>
    <n v="7.4999999999999997E-2"/>
    <n v="0"/>
  </r>
  <r>
    <n v="2021"/>
    <x v="0"/>
    <n v="9110129244"/>
    <s v="010000"/>
    <s v="ZREG06 / AFRICA"/>
    <s v="1100 / HYDRO Systems KG_DE"/>
    <s v="SE_NO_REC / Rezertifizierung"/>
    <s v="SE_NO_REC"/>
    <s v="Recertification"/>
    <s v="301 / Siefer, Alfred"/>
    <x v="16"/>
    <s v="100492 / South African Airways Technical"/>
    <s v="Südafrika"/>
    <s v="Südafrika"/>
    <s v="Service"/>
    <s v="P034"/>
    <s v="SE07321S"/>
    <s v="1,0000"/>
    <s v="0,8494"/>
    <s v="1,1781"/>
    <d v="2021-04-07T00:00:00"/>
    <d v="2021-04-07T00:00:00"/>
    <s v="EUR"/>
    <s v="SE07321S"/>
    <n v="1"/>
    <n v="825"/>
    <n v="971.96041470311036"/>
    <n v="700.73215893454733"/>
    <n v="0"/>
    <n v="0"/>
  </r>
  <r>
    <n v="2021"/>
    <x v="0"/>
    <n v="9110129244"/>
    <s v="020000"/>
    <s v="ZREG06 / AFRICA"/>
    <s v="1100 / HYDRO Systems KG_DE"/>
    <s v="SE_NO_MATERIAL / Materialverbrauch"/>
    <s v="SE_NO_MATERIAL"/>
    <s v="Material consumption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1084"/>
    <n v="1277.097078228087"/>
    <n v="920.71958822430224"/>
    <n v="0"/>
    <n v="0"/>
  </r>
  <r>
    <n v="2021"/>
    <x v="0"/>
    <n v="9110129244"/>
    <s v="030000"/>
    <s v="ZREG06 / AFRICA"/>
    <s v="1100 / HYDRO Systems KG_DE"/>
    <s v="SE_NO_LABOR / Arbeitszeit"/>
    <s v="SE_NO_LABOR"/>
    <s v="Labor Time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320"/>
    <n v="377.00282752120643"/>
    <n v="271.79914043521842"/>
    <n v="0"/>
    <n v="0"/>
  </r>
  <r>
    <n v="2021"/>
    <x v="0"/>
    <n v="9110129244"/>
    <s v="040000"/>
    <s v="ZREG06 / AFRICA"/>
    <s v="1100 / HYDRO Systems KG_DE"/>
    <s v="SE_NO_MISC / Sonstige Dienstleistungen"/>
    <s v="SE_NO_MISC"/>
    <s v="Miscellaneous Services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80"/>
    <n v="94.250706880301607"/>
    <n v="67.949785108804591"/>
    <n v="0"/>
    <n v="0"/>
  </r>
  <r>
    <n v="2021"/>
    <x v="0"/>
    <n v="9110129245"/>
    <s v="000010"/>
    <s v="ZREG01 / EUROPE"/>
    <s v="1100 / HYDRO Systems KG_DE"/>
    <s v="00107-072-001 / Deichsel"/>
    <s v="00107-072-001"/>
    <s v="Tow bar"/>
    <s v="301 / Siefer, Alfred"/>
    <x v="1"/>
    <s v="-"/>
    <s v="Frankreich"/>
    <s v="Frankreich"/>
    <s v="Service"/>
    <s v="P033"/>
    <s v="GS002XXE"/>
    <s v="1,0000"/>
    <s v="0,8494"/>
    <s v="1,1781"/>
    <d v="2021-04-07T00:00:00"/>
    <d v="2021-04-07T00:00:00"/>
    <s v="EUR"/>
    <s v="GS002XXE"/>
    <n v="1"/>
    <n v="430.95"/>
    <n v="507.71677662582471"/>
    <n v="366.03699865799172"/>
    <n v="7.4999999999999997E-2"/>
    <n v="32.321249999999999"/>
  </r>
  <r>
    <n v="2021"/>
    <x v="0"/>
    <n v="9110129245"/>
    <s v="000020"/>
    <s v="ZREG01 / EUROPE"/>
    <s v="1100 / HYDRO Systems KG_DE"/>
    <s v="17240-004-031 / Lufthydraulikdichtung"/>
    <s v="17240-004-031"/>
    <s v="Air hydraulic seal"/>
    <s v="301 / Siefer, Alfred"/>
    <x v="1"/>
    <s v="-"/>
    <s v="Frankreich"/>
    <s v="-"/>
    <s v="Service"/>
    <s v="P033"/>
    <s v="GS002XXE"/>
    <s v="1,0000"/>
    <s v="0,8494"/>
    <s v="1,1781"/>
    <d v="2021-04-07T00:00:00"/>
    <d v="2021-04-07T00:00:00"/>
    <s v="EUR"/>
    <s v="GS002XXE"/>
    <n v="1"/>
    <n v="6.8"/>
    <n v="8.0113100848256362"/>
    <n v="5.7757317342483896"/>
    <n v="7.4999999999999997E-2"/>
    <n v="0.51"/>
  </r>
  <r>
    <n v="2021"/>
    <x v="0"/>
    <n v="9110129245"/>
    <s v="000030"/>
    <s v="ZREG01 / EUROPE"/>
    <s v="1100 / HYDRO Systems KG_DE"/>
    <s v="00420-001-000 / Pumpenstange"/>
    <s v="00420-001-000"/>
    <s v="Pump rod"/>
    <s v="301 / Siefer, Alfred"/>
    <x v="1"/>
    <s v="-"/>
    <s v="Frankreich"/>
    <s v="-"/>
    <s v="Service"/>
    <s v="P033"/>
    <s v="GS001XXE"/>
    <s v="1,0000"/>
    <s v="0,8494"/>
    <s v="1,1781"/>
    <d v="2021-04-07T00:00:00"/>
    <d v="2021-04-07T00:00:00"/>
    <s v="EUR"/>
    <s v="GS001XXE"/>
    <n v="1"/>
    <n v="30.6"/>
    <n v="36.050895381715357"/>
    <n v="25.99079280411776"/>
    <n v="7.4999999999999997E-2"/>
    <n v="2.2949999999999999"/>
  </r>
  <r>
    <n v="2021"/>
    <x v="0"/>
    <n v="9110129253"/>
    <s v="000010"/>
    <s v="ZREG01 / EUROPE"/>
    <s v="1100 / HYDRO Systems KG_DE"/>
    <s v="00432-285-000 / Scherbolzen"/>
    <s v="00432-285-000"/>
    <s v="Shear pin"/>
    <s v="301 / Siefer, Alfred"/>
    <x v="2"/>
    <s v="-"/>
    <s v="Frankreich"/>
    <s v="Frankreich"/>
    <s v="Service"/>
    <s v="P033"/>
    <s v="GS003XXE"/>
    <s v="1,0000"/>
    <s v="0,8494"/>
    <s v="1,1781"/>
    <d v="2021-04-07T00:00:00"/>
    <d v="2021-04-07T00:00:00"/>
    <s v="EUR"/>
    <s v="GS003XXE"/>
    <n v="4"/>
    <n v="346"/>
    <n v="407.63430725730439"/>
    <n v="293.88282059557991"/>
    <n v="7.4999999999999997E-2"/>
    <n v="25.95"/>
  </r>
  <r>
    <n v="2021"/>
    <x v="0"/>
    <n v="9110129122"/>
    <s v="000010"/>
    <s v="ZREG01 / EUROPE"/>
    <s v="1100 / HYDRO Systems KG_DE"/>
    <s v="00407-006-000 / Klappstecker"/>
    <s v="00407-006-000"/>
    <s v="Clip pin"/>
    <s v="301 / Siefer, Alfred"/>
    <x v="17"/>
    <s v="-"/>
    <s v="Frankreich"/>
    <s v="Frankreich"/>
    <s v="Service"/>
    <s v="P033"/>
    <s v="CO098XXE"/>
    <s v="1,0000"/>
    <s v="0,8494"/>
    <s v="1,1781"/>
    <d v="2021-04-06T00:00:00"/>
    <d v="2021-04-06T00:00:00"/>
    <s v="EUR"/>
    <s v="CO098XXE"/>
    <n v="2"/>
    <n v="30"/>
    <n v="35.344015080113103"/>
    <n v="25.48116941580172"/>
    <n v="7.4999999999999997E-2"/>
    <n v="2.25"/>
  </r>
  <r>
    <n v="2021"/>
    <x v="0"/>
    <n v="9110129122"/>
    <s v="000020"/>
    <s v="ZREG01 / EUROPE"/>
    <s v="1100 / HYDRO Systems KG_DE"/>
    <s v="00402-014-000 / Bundbolzen"/>
    <s v="00402-014-000"/>
    <s v="Collar stud"/>
    <s v="301 / Siefer, Alfred"/>
    <x v="17"/>
    <s v="-"/>
    <s v="Frankreich"/>
    <s v="-"/>
    <s v="Service"/>
    <s v="P033"/>
    <s v="CO099XXE"/>
    <s v="1,0000"/>
    <s v="0,8494"/>
    <s v="1,1781"/>
    <d v="2021-04-06T00:00:00"/>
    <d v="2021-04-06T00:00:00"/>
    <s v="EUR"/>
    <s v="CO099XXE"/>
    <n v="1"/>
    <n v="165"/>
    <n v="194.39208294062209"/>
    <n v="140.14643178690949"/>
    <n v="7.4999999999999997E-2"/>
    <n v="12.375"/>
  </r>
  <r>
    <n v="2021"/>
    <x v="0"/>
    <n v="9110129122"/>
    <s v="000030"/>
    <s v="ZREG01 / EUROPE"/>
    <s v="1100 / HYDRO Systems KG_DE"/>
    <s v="00302-058-000 / Abstreifer"/>
    <s v="00302-058-000"/>
    <s v="Wiper"/>
    <s v="301 / Siefer, Alfred"/>
    <x v="17"/>
    <s v="-"/>
    <s v="Frankreich"/>
    <s v="-"/>
    <s v="Service"/>
    <s v="P033"/>
    <s v="CO098XXE"/>
    <s v="1,0000"/>
    <s v="0,8494"/>
    <s v="1,1781"/>
    <d v="2021-04-06T00:00:00"/>
    <d v="2021-04-06T00:00:00"/>
    <s v="EUR"/>
    <s v="CO098XXE"/>
    <n v="1"/>
    <n v="12"/>
    <n v="14.137606032045239"/>
    <n v="10.192467766320689"/>
    <n v="7.4999999999999997E-2"/>
    <n v="0.89999999999999991"/>
  </r>
  <r>
    <n v="2021"/>
    <x v="0"/>
    <n v="9110129122"/>
    <s v="000040"/>
    <s v="ZREG01 / EUROPE"/>
    <s v="1100 / HYDRO Systems KG_DE"/>
    <s v="00304-108-000 / Nutring"/>
    <s v="00304-108-000"/>
    <s v="Grooved ring"/>
    <s v="301 / Siefer, Alfred"/>
    <x v="17"/>
    <s v="-"/>
    <s v="Frankreich"/>
    <s v="-"/>
    <s v="Service"/>
    <s v="P033"/>
    <s v="CO098XXE"/>
    <s v="1,0000"/>
    <s v="0,8494"/>
    <s v="1,1781"/>
    <d v="2021-04-06T00:00:00"/>
    <d v="2021-04-06T00:00:00"/>
    <s v="EUR"/>
    <s v="CO098XXE"/>
    <n v="1"/>
    <n v="23"/>
    <n v="27.097078228086708"/>
    <n v="19.53556321878132"/>
    <n v="7.4999999999999997E-2"/>
    <n v="1.7249999999999999"/>
  </r>
  <r>
    <n v="2021"/>
    <x v="0"/>
    <n v="9110129144"/>
    <s v="000010"/>
    <s v="ZREG01 / EUROPE"/>
    <s v="1100 / HYDRO Systems KG_DE"/>
    <s v="SG195-001 / Dreibockheber Satz"/>
    <s v="SG195-001"/>
    <s v="Tripod jack set"/>
    <s v="302 / Balsemin, Antony"/>
    <x v="18"/>
    <s v="-"/>
    <s v="Frankreich"/>
    <s v="Frankreich"/>
    <s v="GSE"/>
    <s v="P001"/>
    <s v="GS00101C"/>
    <s v="1,0000"/>
    <s v="0,8494"/>
    <s v="1,1781"/>
    <d v="2021-04-06T00:00:00"/>
    <d v="2021-04-06T00:00:00"/>
    <s v="EUR"/>
    <s v="GS00101C"/>
    <n v="1"/>
    <n v="26104.73"/>
    <n v="30754.8656927427"/>
    <n v="22172.634922792051"/>
    <n v="7.4999999999999997E-2"/>
    <n v="1957.85475"/>
  </r>
  <r>
    <n v="2021"/>
    <x v="0"/>
    <n v="9110129144"/>
    <s v="000020"/>
    <s v="ZREG01 / EUROPE"/>
    <s v="1100 / HYDRO Systems KG_DE"/>
    <s v="D03012K2D1B01B0 / Dreibockheber"/>
    <s v="D03012K2D1B01B0"/>
    <s v="Tripod jack"/>
    <s v="302 / Balsemin, Antony"/>
    <x v="18"/>
    <s v="-"/>
    <s v="Frankreich"/>
    <s v="-"/>
    <s v="GSE"/>
    <s v="P001"/>
    <s v="GS00101S"/>
    <s v="1,0000"/>
    <s v="0,8494"/>
    <s v="1,1781"/>
    <d v="2021-04-06T00:00:00"/>
    <d v="2021-04-06T00:00:00"/>
    <s v="EUR"/>
    <s v="GS00101S"/>
    <n v="2"/>
    <n v="36146.269999999997"/>
    <n v="42585.14373232799"/>
    <n v="30701.640987310369"/>
    <n v="7.4999999999999997E-2"/>
    <n v="2710.9702499999999"/>
  </r>
  <r>
    <n v="2021"/>
    <x v="0"/>
    <n v="9110129089"/>
    <s v="000010"/>
    <s v="ZREG01 / EUROPE"/>
    <s v="1100 / HYDRO Systems KG_DE"/>
    <s v="00465-125-000 / Laufrad"/>
    <s v="00465-125-000"/>
    <s v="Wheel"/>
    <s v="302 / Balsemin, Antony"/>
    <x v="0"/>
    <s v="-"/>
    <s v="Frankreich"/>
    <s v="Frankreich"/>
    <s v="Service"/>
    <s v="P033"/>
    <s v="CO098XXE"/>
    <s v="1,0000"/>
    <s v="0,8538"/>
    <s v="1,1738"/>
    <d v="2021-04-01T00:00:00"/>
    <d v="2021-04-01T00:00:00"/>
    <s v="EUR"/>
    <s v="CO098XXE"/>
    <n v="14"/>
    <n v="5292"/>
    <n v="6211.9237947670536"/>
    <n v="4518.3268871186701"/>
    <n v="7.4999999999999997E-2"/>
    <n v="396.9"/>
  </r>
  <r>
    <n v="2021"/>
    <x v="1"/>
    <n v="9110129046"/>
    <s v="000010"/>
    <s v="ZREG01 / EUROPE"/>
    <s v="1100 / HYDRO Systems KG_DE"/>
    <s v="98S71005003200 / Drehmomentschluessel"/>
    <s v="98S71005003200"/>
    <s v="Torque wrench"/>
    <s v="302 / Balsemin, Antony"/>
    <x v="9"/>
    <s v="-"/>
    <s v="Frankreich"/>
    <s v="Frankreich"/>
    <s v="Tooling"/>
    <s v="P060"/>
    <s v="TA06601S"/>
    <s v="1,0000"/>
    <s v="0,8542"/>
    <s v="1,1776"/>
    <d v="2021-03-31T00:00:00"/>
    <d v="2021-03-31T00:00:00"/>
    <s v="EUR"/>
    <s v="TA06601S"/>
    <n v="2"/>
    <n v="572"/>
    <n v="673.60685854255973"/>
    <n v="488.58404585173349"/>
    <n v="0.05"/>
    <n v="28.6"/>
  </r>
  <r>
    <n v="2021"/>
    <x v="1"/>
    <n v="9110129047"/>
    <s v="000010"/>
    <s v="ZREG01 / EUROPE"/>
    <s v="1100 / HYDRO Systems KG_DE"/>
    <s v="98S71005003200 / Drehmomentschluessel"/>
    <s v="98S71005003200"/>
    <s v="Torque wrench"/>
    <s v="302 / Balsemin, Antony"/>
    <x v="9"/>
    <s v="107226 / Avions de Transport Régional GIE"/>
    <s v="Frankreich"/>
    <s v="Frankreich"/>
    <s v="Tooling"/>
    <s v="P060"/>
    <s v="TA06601S"/>
    <s v="1,0000"/>
    <s v="0,8542"/>
    <s v="1,1776"/>
    <d v="2021-03-31T00:00:00"/>
    <d v="2021-03-31T00:00:00"/>
    <s v="EUR"/>
    <s v="TA06601S"/>
    <n v="2"/>
    <n v="572"/>
    <n v="673.60685854255973"/>
    <n v="488.58404585173349"/>
    <n v="0.05"/>
    <n v="28.6"/>
  </r>
  <r>
    <n v="2021"/>
    <x v="1"/>
    <n v="9110129048"/>
    <s v="000010"/>
    <s v="ZREG01 / EUROPE"/>
    <s v="1100 / HYDRO Systems KG_DE"/>
    <s v="H47760 / Adapter"/>
    <s v="H47760"/>
    <s v="Adapter"/>
    <s v="302 / Balsemin, Antony"/>
    <x v="9"/>
    <s v="-"/>
    <s v="Frankreich"/>
    <s v="Frankreich"/>
    <s v="GSE"/>
    <s v="P019"/>
    <s v="TA09097S"/>
    <s v="1,0000"/>
    <s v="0,8542"/>
    <s v="1,1776"/>
    <d v="2021-03-31T00:00:00"/>
    <d v="2021-03-31T00:00:00"/>
    <s v="EUR"/>
    <s v="TA09097S"/>
    <n v="1"/>
    <n v="886"/>
    <n v="1043.3840501201189"/>
    <n v="756.79277032279003"/>
    <n v="0.05"/>
    <n v="44.300000000000004"/>
  </r>
  <r>
    <n v="2021"/>
    <x v="1"/>
    <n v="9110128999"/>
    <s v="000010"/>
    <s v="ZREG01 / EUROPE"/>
    <s v="1100 / HYDRO Systems KG_DE"/>
    <s v="S-2552 / Bolzen mit Kopf"/>
    <s v="S-2552"/>
    <s v="Bolt with head"/>
    <s v="301 / Siefer, Alfred"/>
    <x v="1"/>
    <s v="-"/>
    <s v="Frankreich"/>
    <s v="Frankreich"/>
    <s v="Service"/>
    <s v="P033"/>
    <s v="GS0XXXXE"/>
    <s v="1,0000"/>
    <s v="0,8601"/>
    <s v="1,1914"/>
    <d v="2021-03-30T00:00:00"/>
    <d v="2021-03-29T00:00:00"/>
    <s v="EUR"/>
    <s v="GS0XXXXE"/>
    <n v="20"/>
    <n v="136"/>
    <n v="162.024351306917"/>
    <n v="116.9691235916401"/>
    <n v="7.4999999999999997E-2"/>
    <n v="10.199999999999999"/>
  </r>
  <r>
    <n v="2021"/>
    <x v="1"/>
    <n v="9110128930"/>
    <s v="000010"/>
    <s v="ZREG01 / EUROPE"/>
    <s v="1100 / HYDRO Systems KG_DE"/>
    <s v="TPAA2A0A0A0A0_UP / Umbausatz vollst."/>
    <s v="TPAA2A0A0A0A0_UP"/>
    <s v="Modification kit assy."/>
    <s v="301 / Siefer, Alfred"/>
    <x v="19"/>
    <s v="100021 / Air France Industries"/>
    <s v="Frankreich"/>
    <s v="Frankreich"/>
    <s v="Service"/>
    <s v="P033"/>
    <s v="GS006XXE"/>
    <s v="1,0000"/>
    <s v="0,8601"/>
    <s v="1,1914"/>
    <d v="2021-03-29T00:00:00"/>
    <d v="2021-03-26T00:00:00"/>
    <s v="EUR"/>
    <s v="GS006XXE"/>
    <n v="1"/>
    <n v="1760"/>
    <n v="2096.7857227953959"/>
    <n v="1513.7180700094609"/>
    <n v="7.4999999999999997E-2"/>
    <n v="132"/>
  </r>
  <r>
    <n v="2021"/>
    <x v="1"/>
    <n v="9110128931"/>
    <s v="000010"/>
    <s v="ZREG06 / AFRICA"/>
    <s v="1100 / HYDRO Systems KG_DE"/>
    <s v="00465-152-000 / Laufrad"/>
    <s v="00465-152-000"/>
    <s v="Wheel"/>
    <s v="301 / Siefer, Alfred"/>
    <x v="3"/>
    <s v="100043 / Air Austral"/>
    <s v="Reunion"/>
    <s v="Reunion"/>
    <s v="Service"/>
    <s v="P033"/>
    <s v="CO098XXE"/>
    <s v="1,0000"/>
    <s v="0,8601"/>
    <s v="1,1914"/>
    <d v="2021-03-29T00:00:00"/>
    <d v="2021-03-26T00:00:00"/>
    <s v="EUR"/>
    <s v="CO098XXE"/>
    <n v="3"/>
    <n v="186"/>
    <n v="221.59212752269531"/>
    <n v="159.97247785327261"/>
    <n v="7.4999999999999997E-2"/>
    <n v="13.95"/>
  </r>
  <r>
    <n v="2021"/>
    <x v="1"/>
    <n v="9110128931"/>
    <s v="000020"/>
    <s v="ZREG06 / AFRICA"/>
    <s v="1100 / HYDRO Systems KG_DE"/>
    <s v="00495-101-000 / Wegeventil"/>
    <s v="00495-101-000"/>
    <s v="Directional valve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96"/>
    <n v="114.3701303342944"/>
    <n v="82.566440182334219"/>
    <n v="7.4999999999999997E-2"/>
    <n v="7.1999999999999993"/>
  </r>
  <r>
    <n v="2021"/>
    <x v="1"/>
    <n v="9110128931"/>
    <s v="000030"/>
    <s v="ZREG06 / AFRICA"/>
    <s v="1100 / HYDRO Systems KG_DE"/>
    <s v="54551 / Sperrkantring"/>
    <s v="54551"/>
    <s v="Tab wash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0"/>
    <n v="11.91355524315566"/>
    <n v="8.6006708523264805"/>
    <n v="7.4999999999999997E-2"/>
    <n v="0.75"/>
  </r>
  <r>
    <n v="2021"/>
    <x v="1"/>
    <n v="9110128931"/>
    <s v="000040"/>
    <s v="ZREG06 / AFRICA"/>
    <s v="1100 / HYDRO Systems KG_DE"/>
    <s v="00127-028-000 / Manometer"/>
    <s v="00127-028-000"/>
    <s v="Manomet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61"/>
    <n v="191.8082394148062"/>
    <n v="138.47080072245629"/>
    <n v="7.4999999999999997E-2"/>
    <n v="12.074999999999999"/>
  </r>
  <r>
    <n v="2021"/>
    <x v="1"/>
    <n v="9110128931"/>
    <s v="000050"/>
    <s v="ZREG06 / AFRICA"/>
    <s v="1100 / HYDRO Systems KG_DE"/>
    <s v="00470-034-000 / Manometer"/>
    <s v="00470-034-000"/>
    <s v="Manomet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89"/>
    <n v="225.166194095642"/>
    <n v="162.55267910897049"/>
    <n v="7.4999999999999997E-2"/>
    <n v="14.174999999999999"/>
  </r>
  <r>
    <n v="2021"/>
    <x v="1"/>
    <n v="9110128937"/>
    <s v="000010"/>
    <s v="ZREG01 / EUROPE"/>
    <s v="1100 / HYDRO Systems KG_DE"/>
    <s v="00433-097-000 / Winkelschwenkverschraubung vollst."/>
    <s v="00433-097-000"/>
    <s v="Angled swivel coupling assy."/>
    <s v="301 / Siefer, Alfred"/>
    <x v="17"/>
    <s v="-"/>
    <s v="Frankreich"/>
    <s v="Frankreich"/>
    <s v="Service"/>
    <s v="P033"/>
    <s v="CO099XXE"/>
    <s v="1,0000"/>
    <s v="0,8601"/>
    <s v="1,1914"/>
    <d v="2021-03-29T00:00:00"/>
    <d v="2021-03-26T00:00:00"/>
    <s v="EUR"/>
    <s v="CO099XXE"/>
    <n v="1"/>
    <n v="99"/>
    <n v="117.94419690724111"/>
    <n v="85.146641438032162"/>
    <n v="7.4999999999999997E-2"/>
    <n v="7.4249999999999998"/>
  </r>
  <r>
    <n v="2021"/>
    <x v="1"/>
    <n v="9110128850"/>
    <s v="000010"/>
    <s v="ZREG06 / AFRICA"/>
    <s v="1100 / HYDRO Systems KG_DE"/>
    <s v="00432-348-000 / Scherbolzen"/>
    <s v="00432-348-000"/>
    <s v="Shear pin"/>
    <s v="301 / Siefer, Alfred"/>
    <x v="13"/>
    <s v="100253 / Ethiopian Airlines S.C."/>
    <s v="Äthiopien"/>
    <s v="Äthiopien"/>
    <s v="Service"/>
    <s v="P033"/>
    <s v="GS003XXE"/>
    <s v="1,0000"/>
    <s v="0,8601"/>
    <s v="1,1914"/>
    <d v="2021-03-25T00:00:00"/>
    <d v="2021-03-25T00:00:00"/>
    <s v="EUR"/>
    <s v="GS003XXE"/>
    <n v="10"/>
    <n v="600"/>
    <n v="714.81331458933971"/>
    <n v="516.0402511395888"/>
    <n v="7.4999999999999997E-2"/>
    <n v="45"/>
  </r>
  <r>
    <n v="2021"/>
    <x v="1"/>
    <n v="9110128863"/>
    <s v="000010"/>
    <s v="ZREG01 / EUROPE"/>
    <s v="1100 / HYDRO Systems KG_DE"/>
    <s v="00432-285-000 / Scherbolzen"/>
    <s v="00432-285-000"/>
    <s v="Shear pin"/>
    <s v="301 / Siefer, Alfred"/>
    <x v="2"/>
    <s v="-"/>
    <s v="Frankreich"/>
    <s v="Frankreich"/>
    <s v="Service"/>
    <s v="P033"/>
    <s v="GS003XXE"/>
    <s v="1,0000"/>
    <s v="0,8601"/>
    <s v="1,1914"/>
    <d v="2021-03-25T00:00:00"/>
    <d v="2021-03-25T00:00:00"/>
    <s v="EUR"/>
    <s v="GS003XXE"/>
    <n v="4"/>
    <n v="366"/>
    <n v="436.03612189949718"/>
    <n v="314.78455319514921"/>
    <n v="7.4999999999999997E-2"/>
    <n v="27.45"/>
  </r>
  <r>
    <n v="2021"/>
    <x v="1"/>
    <n v="9110128864"/>
    <s v="000010"/>
    <s v="ZREG01 / EUROPE"/>
    <s v="1100 / HYDRO Systems KG_DE"/>
    <s v="N-730 / Druckfeder"/>
    <s v="N-730"/>
    <s v="Compression spring"/>
    <s v="301 / Siefer, Alfred"/>
    <x v="1"/>
    <s v="-"/>
    <s v="Frankreich"/>
    <s v="Frankreich"/>
    <s v="Service"/>
    <s v="P033"/>
    <s v="GS0XXXXE"/>
    <s v="1,0000"/>
    <s v="0,8601"/>
    <s v="1,1914"/>
    <d v="2021-03-25T00:00:00"/>
    <d v="2021-03-25T00:00:00"/>
    <s v="EUR"/>
    <s v="GS0XXXXE"/>
    <n v="20"/>
    <n v="136"/>
    <n v="162.024351306917"/>
    <n v="116.9691235916401"/>
    <n v="7.4999999999999997E-2"/>
    <n v="10.199999999999999"/>
  </r>
  <r>
    <n v="2021"/>
    <x v="1"/>
    <n v="9110128852"/>
    <s v="000010"/>
    <s v="ZREG01 / EUROPE"/>
    <s v="1100 / HYDRO Systems KG_DE"/>
    <s v="10011_00 / Typenschild"/>
    <s v="10011_00"/>
    <s v="Type plate"/>
    <s v="301 / Siefer, Alfred"/>
    <x v="2"/>
    <s v="-"/>
    <s v="Frankreich"/>
    <s v="Frankreich"/>
    <s v="Service"/>
    <s v="P033"/>
    <s v="CO099XXE"/>
    <s v="1,0000"/>
    <s v="0,8601"/>
    <s v="1,1914"/>
    <d v="2021-03-25T00:00:00"/>
    <d v="2021-03-24T00:00:00"/>
    <s v="EUR"/>
    <s v="CO099XXE"/>
    <n v="1"/>
    <n v="33.1"/>
    <n v="39.433867854845253"/>
    <n v="28.468220521200649"/>
    <n v="7.4999999999999997E-2"/>
    <n v="2.4824999999999999"/>
  </r>
  <r>
    <n v="2021"/>
    <x v="1"/>
    <n v="9110128853"/>
    <s v="000010"/>
    <s v="ZREG01 / EUROPE"/>
    <s v="1100 / HYDRO Systems KG_DE"/>
    <s v="10011_00 / Typenschild"/>
    <s v="10011_00"/>
    <s v="Type plate"/>
    <s v="301 / Siefer, Alfred"/>
    <x v="2"/>
    <s v="103795 / TCR France"/>
    <s v="Frankreich"/>
    <s v="Frankreich"/>
    <s v="Service"/>
    <s v="P033"/>
    <s v="CO099XXE"/>
    <s v="1,0000"/>
    <s v="0,8601"/>
    <s v="1,1914"/>
    <d v="2021-03-25T00:00:00"/>
    <d v="2021-03-24T00:00:00"/>
    <s v="EUR"/>
    <s v="CO099XXE"/>
    <n v="1"/>
    <n v="34"/>
    <n v="40.506087826729249"/>
    <n v="29.242280897910039"/>
    <n v="7.4999999999999997E-2"/>
    <n v="2.5499999999999998"/>
  </r>
  <r>
    <n v="2021"/>
    <x v="1"/>
    <n v="9110128806"/>
    <s v="000010"/>
    <s v="ZREG01 / EUROPE"/>
    <s v="1100 / HYDRO Systems KG_DE"/>
    <s v="00151-019-000 / Ablassschraube"/>
    <s v="00151-019-000"/>
    <s v="Release screw"/>
    <s v="301 / Siefer, Alfred"/>
    <x v="1"/>
    <s v="-"/>
    <s v="Frankreich"/>
    <s v="Frankreich"/>
    <s v="Service"/>
    <s v="P033"/>
    <s v="CO099XXE"/>
    <s v="1,0000"/>
    <s v="0,8601"/>
    <s v="1,1914"/>
    <d v="2021-03-24T00:00:00"/>
    <d v="2021-03-24T00:00:00"/>
    <s v="EUR"/>
    <s v="CO099XXE"/>
    <n v="1"/>
    <n v="148.75"/>
    <n v="177.21413424194051"/>
    <n v="127.9349789283564"/>
    <n v="7.4999999999999997E-2"/>
    <n v="11.15625"/>
  </r>
  <r>
    <n v="2021"/>
    <x v="1"/>
    <n v="9110128779"/>
    <s v="000010"/>
    <s v="ZREG01 / EUROPE"/>
    <s v="1100 / HYDRO Systems KG_DE"/>
    <s v="00489-284-000 / Sitzventil vollst."/>
    <s v="00489-284-000"/>
    <s v="Seated valve assy."/>
    <s v="301 / Siefer, Alfred"/>
    <x v="1"/>
    <s v="-"/>
    <s v="Frankreich"/>
    <s v="Frankreich"/>
    <s v="Service"/>
    <s v="P033"/>
    <s v="CO099XXE"/>
    <s v="1,0000"/>
    <s v="0,8601"/>
    <s v="1,1914"/>
    <d v="2021-03-23T00:00:00"/>
    <d v="2021-03-23T00:00:00"/>
    <s v="EUR"/>
    <s v="CO099XXE"/>
    <n v="6"/>
    <n v="4692"/>
    <n v="5589.8401200886356"/>
    <n v="4035.4347639115849"/>
    <n v="7.4999999999999997E-2"/>
    <n v="351.9"/>
  </r>
  <r>
    <n v="2021"/>
    <x v="1"/>
    <n v="9110128737"/>
    <s v="000010"/>
    <s v="ZREG01 / EUROPE"/>
    <s v="1100 / HYDRO Systems KG_DE"/>
    <s v="B-851-012 / Umbausatz vollst."/>
    <s v="B-851-012"/>
    <s v="Modification kit assy."/>
    <s v="301 / Siefer, Alfred"/>
    <x v="12"/>
    <s v="107414 / ACTEMIUM"/>
    <s v="Frankreich"/>
    <s v="Frankreich"/>
    <s v="Service"/>
    <s v="P033"/>
    <s v="GS001XXE"/>
    <s v="1,0000"/>
    <s v="0,8578"/>
    <s v="1,1933"/>
    <d v="2021-03-23T00:00:00"/>
    <d v="2021-03-19T00:00:00"/>
    <s v="EUR"/>
    <s v="GS001XXE"/>
    <n v="1"/>
    <n v="0"/>
    <n v="0"/>
    <n v="0"/>
    <n v="7.4999999999999997E-2"/>
    <n v="0"/>
  </r>
  <r>
    <n v="2021"/>
    <x v="1"/>
    <n v="9110128738"/>
    <s v="000010"/>
    <s v="ZREG01 / EUROPE"/>
    <s v="1100 / HYDRO Systems KG_DE"/>
    <s v="B-851-012 / Umbausatz vollst."/>
    <s v="B-851-012"/>
    <s v="Modification kit assy."/>
    <s v="301 / Siefer, Alfred"/>
    <x v="12"/>
    <s v="107414 / ACTEMIUM"/>
    <s v="Frankreich"/>
    <s v="Frankreich"/>
    <s v="Service"/>
    <s v="P033"/>
    <s v="GS001XXE"/>
    <s v="1,0000"/>
    <s v="0,8578"/>
    <s v="1,1933"/>
    <d v="2021-03-23T00:00:00"/>
    <d v="2021-03-19T00:00:00"/>
    <s v="EUR"/>
    <s v="GS001XXE"/>
    <n v="1"/>
    <n v="0"/>
    <n v="0"/>
    <n v="0"/>
    <n v="7.4999999999999997E-2"/>
    <n v="0"/>
  </r>
  <r>
    <n v="2021"/>
    <x v="1"/>
    <n v="9110128700"/>
    <s v="000010"/>
    <s v="ZREG01 / EUROPE"/>
    <s v="1100 / HYDRO Systems KG_DE"/>
    <s v="00432-275-000 / Scherbolzen"/>
    <s v="00432-275-000"/>
    <s v="Shear pin"/>
    <s v="302 / Balsemin, Antony"/>
    <x v="20"/>
    <s v="106137 / INTERAPPRO"/>
    <s v="Frankreich"/>
    <s v="Frankreich"/>
    <s v="Service"/>
    <s v="P033"/>
    <s v="GS003XXE"/>
    <s v="1,0000"/>
    <s v="0,8578"/>
    <s v="1,1933"/>
    <d v="2021-03-22T00:00:00"/>
    <d v="2021-03-18T00:00:00"/>
    <s v="EUR"/>
    <s v="GS003XXE"/>
    <n v="10"/>
    <n v="380.84"/>
    <n v="454.46300715990458"/>
    <n v="326.67415788164448"/>
    <n v="7.4999999999999997E-2"/>
    <n v="28.562999999999999"/>
  </r>
  <r>
    <n v="2021"/>
    <x v="1"/>
    <n v="9110128700"/>
    <s v="000020"/>
    <s v="ZREG01 / EUROPE"/>
    <s v="1100 / HYDRO Systems KG_DE"/>
    <s v="00432-285-000 / Scherbolzen"/>
    <s v="00432-285-000"/>
    <s v="Shear pin"/>
    <s v="302 / Balsemin, Antony"/>
    <x v="20"/>
    <s v="-"/>
    <s v="Frankreich"/>
    <s v="-"/>
    <s v="Service"/>
    <s v="P033"/>
    <s v="GS003XXE"/>
    <s v="1,0000"/>
    <s v="0,8578"/>
    <s v="1,1933"/>
    <d v="2021-03-22T00:00:00"/>
    <d v="2021-03-18T00:00:00"/>
    <s v="EUR"/>
    <s v="GS003XXE"/>
    <n v="4"/>
    <n v="332.66"/>
    <n v="396.96897374701678"/>
    <n v="285.34666883969078"/>
    <n v="7.4999999999999997E-2"/>
    <n v="24.9495"/>
  </r>
  <r>
    <n v="2021"/>
    <x v="1"/>
    <n v="9110128594"/>
    <s v="000010"/>
    <s v="ZREG01 / EUROPE"/>
    <s v="1100 / HYDRO Systems KG_DE"/>
    <s v="SE_BI_MISC / Sonstige Dienstleistungen"/>
    <s v="SE_BI_MISC"/>
    <s v="Miscellaneous Services"/>
    <s v="301 / Siefer, Alfred"/>
    <x v="12"/>
    <s v="-"/>
    <s v="Frankreich"/>
    <s v="Frankreich"/>
    <s v="Service"/>
    <s v="P034"/>
    <s v="SE07002S"/>
    <s v="1,0000"/>
    <s v="0,8578"/>
    <s v="1,1933"/>
    <d v="2021-03-18T00:00:00"/>
    <d v="2021-03-18T00:00:00"/>
    <s v="EUR"/>
    <s v="SE07002S"/>
    <n v="1"/>
    <n v="5150"/>
    <n v="6145.5847255369936"/>
    <n v="4417.5294430481808"/>
    <n v="0"/>
    <n v="0"/>
  </r>
  <r>
    <n v="2021"/>
    <x v="1"/>
    <n v="9110128594"/>
    <s v="000020"/>
    <s v="ZREG01 / EUROPE"/>
    <s v="1100 / HYDRO Systems KG_DE"/>
    <s v="SE_BI_MISC / Sonstige Dienstleistungen"/>
    <s v="SE_BI_MISC"/>
    <s v="Miscellaneous Services"/>
    <s v="301 / Siefer, Alfred"/>
    <x v="12"/>
    <s v="-"/>
    <s v="Frankreich"/>
    <s v="-"/>
    <s v="Service"/>
    <s v="P034"/>
    <s v="SE07002S"/>
    <s v="1,0000"/>
    <s v="0,8578"/>
    <s v="1,1933"/>
    <d v="2021-03-18T00:00:00"/>
    <d v="2021-03-18T00:00:00"/>
    <s v="EUR"/>
    <s v="SE07002S"/>
    <n v="1"/>
    <n v="2575"/>
    <n v="3072.7923627684968"/>
    <n v="2208.76472152409"/>
    <n v="0"/>
    <n v="0"/>
  </r>
  <r>
    <n v="2021"/>
    <x v="1"/>
    <n v="9110128645"/>
    <s v="000010"/>
    <s v="ZREG01 / EUROPE"/>
    <s v="1100 / HYDRO Systems KG_DE"/>
    <s v="00131-045-000 / Lufthydraulikpumpe"/>
    <s v="00131-045-000"/>
    <s v="Air hydraulic pump"/>
    <s v="301 / Siefer, Alfred"/>
    <x v="1"/>
    <s v="-"/>
    <s v="Frankreich"/>
    <s v="Frankreich"/>
    <s v="Service"/>
    <s v="P033"/>
    <s v="CO098XXE"/>
    <s v="1,0000"/>
    <s v="0,8578"/>
    <s v="1,1933"/>
    <d v="2021-03-19T00:00:00"/>
    <d v="2021-03-17T00:00:00"/>
    <s v="EUR"/>
    <s v="CO098XXE"/>
    <n v="2"/>
    <n v="1637.1"/>
    <n v="1953.579952267303"/>
    <n v="1404.2596992648889"/>
    <n v="7.4999999999999997E-2"/>
    <n v="122.78249999999998"/>
  </r>
  <r>
    <n v="2021"/>
    <x v="1"/>
    <n v="9110128550"/>
    <s v="000120"/>
    <s v="ZREG01 / EUROPE"/>
    <s v="1100 / HYDRO Systems KG_DE"/>
    <s v="98S27205004200 / Inspektionswerkzeug"/>
    <s v="98S27205004200"/>
    <s v="Inspection tool"/>
    <s v="302 / Balsemin, Antony"/>
    <x v="9"/>
    <s v="-"/>
    <s v="Frankreich"/>
    <s v="Frankreich"/>
    <s v="Tooling"/>
    <s v="P060"/>
    <s v="TA06601S"/>
    <s v="1,0000"/>
    <s v="0,8578"/>
    <s v="1,1933"/>
    <d v="2021-03-17T00:00:00"/>
    <d v="2021-03-17T00:00:00"/>
    <s v="EUR"/>
    <s v="TA06601S"/>
    <n v="1"/>
    <n v="310"/>
    <n v="369.92840095465402"/>
    <n v="265.90953929027887"/>
    <n v="0.05"/>
    <n v="15.5"/>
  </r>
  <r>
    <n v="2021"/>
    <x v="1"/>
    <n v="9110128551"/>
    <s v="000010"/>
    <s v="ZREG01 / EUROPE"/>
    <s v="1100 / HYDRO Systems KG_DE"/>
    <s v="98S61005002000 / Drehmomentschluessel"/>
    <s v="98S61005002000"/>
    <s v="Torque wrench"/>
    <s v="302 / Balsemin, Antony"/>
    <x v="9"/>
    <s v="107226 / Avions de Transport Régional GIE"/>
    <s v="Frankreich"/>
    <s v="Frankreich"/>
    <s v="Tooling"/>
    <s v="P060"/>
    <s v="TA06601S"/>
    <s v="1,0000"/>
    <s v="0,8578"/>
    <s v="1,1933"/>
    <d v="2021-03-17T00:00:00"/>
    <d v="2021-03-17T00:00:00"/>
    <s v="EUR"/>
    <s v="TA06601S"/>
    <n v="7"/>
    <n v="1624"/>
    <n v="1937.947494033413"/>
    <n v="1393.0228767981059"/>
    <n v="0.05"/>
    <n v="81.2"/>
  </r>
  <r>
    <n v="2021"/>
    <x v="1"/>
    <n v="9120027477"/>
    <s v="000010"/>
    <s v="ZREG03 / MIDDLEEAST"/>
    <s v="1200 / HYDRO Systems KG_UK"/>
    <s v="NBWC-9 / Bremsschuh"/>
    <s v="NBWC-9"/>
    <s v="Brake shoe"/>
    <s v="301 / Siefer, Alfred"/>
    <x v="13"/>
    <s v="-"/>
    <s v="Äthiopien"/>
    <s v="Äthiopien"/>
    <s v="Service"/>
    <s v="P033"/>
    <s v="GS012XXE"/>
    <s v="1,0000"/>
    <s v="0,8578"/>
    <s v="1,1933"/>
    <d v="2021-03-16T00:00:00"/>
    <d v="2021-03-16T00:00:00"/>
    <s v="EUR"/>
    <s v="GS012XXE"/>
    <n v="30"/>
    <n v="2137.5"/>
    <n v="2550.715990453461"/>
    <n v="1833.4891620418421"/>
    <n v="7.4999999999999997E-2"/>
    <n v="160.3125"/>
  </r>
  <r>
    <n v="2021"/>
    <x v="1"/>
    <n v="9110128489"/>
    <s v="000010"/>
    <s v="ZREG01 / EUROPE"/>
    <s v="1100 / HYDRO Systems KG_DE"/>
    <s v="063181 / Ausbauwerkzeug"/>
    <s v="063181"/>
    <s v="Removal tool"/>
    <s v="301 / Siefer, Alfred"/>
    <x v="19"/>
    <s v="-"/>
    <s v="Frankreich"/>
    <s v="Frankreich"/>
    <s v="Tooling"/>
    <s v="P025"/>
    <s v="TE03002S"/>
    <s v="1,0000"/>
    <s v="0,8590"/>
    <s v="1,1879"/>
    <d v="2021-03-16T00:00:00"/>
    <d v="2021-03-15T00:00:00"/>
    <s v="EUR"/>
    <s v="TE03002S"/>
    <n v="1"/>
    <n v="11312"/>
    <n v="13437.23272830942"/>
    <n v="9716.6270110548958"/>
    <n v="7.4999999999999997E-2"/>
    <n v="848.4"/>
  </r>
  <r>
    <n v="2021"/>
    <x v="1"/>
    <n v="9110128489"/>
    <s v="000020"/>
    <s v="ZREG01 / EUROPE"/>
    <s v="1100 / HYDRO Systems KG_DE"/>
    <s v="TNVC20077-01 / Kunststoffkoffer vollst."/>
    <s v="TNVC20077-01"/>
    <s v="Plastic case assy."/>
    <s v="301 / Siefer, Alfred"/>
    <x v="19"/>
    <s v="-"/>
    <s v="Frankreich"/>
    <s v="-"/>
    <s v="Service"/>
    <s v="P033"/>
    <s v="TE030XXE"/>
    <s v="1,0000"/>
    <s v="0,8590"/>
    <s v="1,1879"/>
    <d v="2021-03-16T00:00:00"/>
    <d v="2021-03-15T00:00:00"/>
    <s v="EUR"/>
    <s v="TE030XXE"/>
    <n v="1"/>
    <n v="1106"/>
    <n v="1313.788843485698"/>
    <n v="950.01674984323859"/>
    <n v="7.4999999999999997E-2"/>
    <n v="82.95"/>
  </r>
  <r>
    <n v="2021"/>
    <x v="1"/>
    <n v="9110128496"/>
    <s v="000010"/>
    <s v="ZREG01 / EUROPE"/>
    <s v="1100 / HYDRO Systems KG_DE"/>
    <s v="TOWUNIV8S20SH1_TY / Schleppstange"/>
    <s v="TOWUNIV8S20SH1_TY"/>
    <s v="Tow bar"/>
    <s v="302 / Balsemin, Antony"/>
    <x v="10"/>
    <s v="103415 / Tarmac Aragón"/>
    <s v="Frankreich"/>
    <s v="Spanien"/>
    <s v="GSE"/>
    <s v="P006"/>
    <s v="GS00316S"/>
    <s v="1,0000"/>
    <s v="0,8590"/>
    <s v="1,1879"/>
    <d v="2021-03-16T00:00:00"/>
    <d v="2021-03-15T00:00:00"/>
    <s v="EUR"/>
    <s v="GS00316S"/>
    <n v="1"/>
    <n v="7080"/>
    <n v="8410.1491969970539"/>
    <n v="6081.481545108616"/>
    <n v="7.4999999999999997E-2"/>
    <n v="531"/>
  </r>
  <r>
    <n v="2021"/>
    <x v="1"/>
    <n v="9110128526"/>
    <s v="000010"/>
    <s v="ZREG01 / EUROPE"/>
    <s v="1100 / HYDRO Systems KG_DE"/>
    <s v="00166-230-000 / Lenkrolle"/>
    <s v="00166-230-000"/>
    <s v="Swivel castor"/>
    <s v="302 / Balsemin, Antony"/>
    <x v="0"/>
    <s v="-"/>
    <s v="Frankreich"/>
    <s v="Frankreich"/>
    <s v="Service"/>
    <s v="P033"/>
    <s v="CO098XXE"/>
    <s v="1,0000"/>
    <s v="0,8590"/>
    <s v="1,1879"/>
    <d v="2021-03-16T00:00:00"/>
    <d v="2021-03-12T00:00:00"/>
    <s v="EUR"/>
    <s v="CO098XXE"/>
    <n v="19"/>
    <n v="437"/>
    <n v="519.10101682029836"/>
    <n v="375.36828180967018"/>
    <n v="7.4999999999999997E-2"/>
    <n v="32.774999999999999"/>
  </r>
  <r>
    <n v="2021"/>
    <x v="1"/>
    <n v="9110128435"/>
    <s v="000010"/>
    <s v="ZREG01 / EUROPE"/>
    <s v="1100 / HYDRO Systems KG_DE"/>
    <s v="063158 / Aus- und Einbauwerkzeug"/>
    <s v="063158"/>
    <s v="Removal/Installation tool"/>
    <s v="301 / Siefer, Alfred"/>
    <x v="19"/>
    <s v="-"/>
    <s v="Frankreich"/>
    <s v="Frankreich"/>
    <s v="Tooling"/>
    <s v="P025"/>
    <s v="TE03002S"/>
    <s v="1,0000"/>
    <s v="0,8590"/>
    <s v="1,1879"/>
    <d v="2021-03-12T00:00:00"/>
    <d v="2021-03-12T00:00:00"/>
    <s v="EUR"/>
    <s v="TE03002S"/>
    <n v="1"/>
    <n v="3275"/>
    <n v="3890.2879407013211"/>
    <n v="2813.1146977726999"/>
    <n v="7.4999999999999997E-2"/>
    <n v="245.625"/>
  </r>
  <r>
    <n v="2021"/>
    <x v="1"/>
    <n v="9110128435"/>
    <s v="000020"/>
    <s v="ZREG01 / EUROPE"/>
    <s v="1100 / HYDRO Systems KG_DE"/>
    <s v="TNVC20074-01 / Kunststoffkoffer vollst."/>
    <s v="TNVC20074-01"/>
    <s v="Plastic case assy."/>
    <s v="301 / Siefer, Alfred"/>
    <x v="19"/>
    <s v="-"/>
    <s v="Frankreich"/>
    <s v="-"/>
    <s v="Service"/>
    <s v="P033"/>
    <s v="TE030XXE"/>
    <s v="1,0000"/>
    <s v="0,8590"/>
    <s v="1,1879"/>
    <d v="2021-03-12T00:00:00"/>
    <d v="2021-03-12T00:00:00"/>
    <s v="EUR"/>
    <s v="TE030XXE"/>
    <n v="1"/>
    <n v="788"/>
    <n v="936.04485412905069"/>
    <n v="676.86546010530924"/>
    <n v="7.4999999999999997E-2"/>
    <n v="59.099999999999994"/>
  </r>
  <r>
    <n v="2021"/>
    <x v="1"/>
    <n v="9110128386"/>
    <s v="000010"/>
    <s v="ZREG01 / EUROPE"/>
    <s v="1100 / HYDRO Systems KG_DE"/>
    <s v="00403-033-000 / Zugfeder"/>
    <s v="00403-033-000"/>
    <s v="Tension spring"/>
    <s v="302 / Balsemin, Antony"/>
    <x v="20"/>
    <s v="106137 / INTERAPPRO"/>
    <s v="Frankreich"/>
    <s v="Frankreich"/>
    <s v="Service"/>
    <s v="P033"/>
    <s v="CO099XXE"/>
    <s v="1,0000"/>
    <s v="0,8590"/>
    <s v="1,1879"/>
    <d v="2021-03-11T00:00:00"/>
    <d v="2021-03-10T00:00:00"/>
    <s v="EUR"/>
    <s v="CO099XXE"/>
    <n v="2"/>
    <n v="57.4"/>
    <n v="68.183977953055219"/>
    <n v="49.304666764016183"/>
    <n v="7.4999999999999997E-2"/>
    <n v="4.3049999999999997"/>
  </r>
  <r>
    <n v="2021"/>
    <x v="1"/>
    <n v="9110128331"/>
    <s v="000010"/>
    <s v="ZREG01 / EUROPE"/>
    <s v="1100 / HYDRO Systems KG_DE"/>
    <s v="00336-009-000 / Kolbendichtsatz"/>
    <s v="00336-009-000"/>
    <s v="Piston seal set"/>
    <s v="301 / Siefer, Alfred"/>
    <x v="12"/>
    <s v="-"/>
    <s v="Frankreich"/>
    <s v="Frankreich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7.4999999999999997E-2"/>
    <n v="0"/>
  </r>
  <r>
    <n v="2021"/>
    <x v="1"/>
    <n v="9110128331"/>
    <s v="00002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3"/>
    <n v="0"/>
    <n v="0"/>
    <n v="0"/>
    <n v="7.4999999999999997E-2"/>
    <n v="0"/>
  </r>
  <r>
    <n v="2021"/>
    <x v="1"/>
    <n v="9110128331"/>
    <s v="000030"/>
    <s v="ZREG01 / EUROPE"/>
    <s v="1100 / HYDRO Systems KG_DE"/>
    <s v="00336-007-000 / Kolbendichtsatz"/>
    <s v="00336-007-000"/>
    <s v="Piston seal set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7.4999999999999997E-2"/>
    <n v="0"/>
  </r>
  <r>
    <n v="2021"/>
    <x v="1"/>
    <n v="9110128331"/>
    <s v="00004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3"/>
    <n v="0"/>
    <n v="0"/>
    <n v="0"/>
    <n v="7.4999999999999997E-2"/>
    <n v="0"/>
  </r>
  <r>
    <n v="2021"/>
    <x v="1"/>
    <n v="9110128331"/>
    <s v="00005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7.4999999999999997E-2"/>
    <n v="0"/>
  </r>
  <r>
    <n v="2021"/>
    <x v="1"/>
    <n v="9110128331"/>
    <s v="00006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7.4999999999999997E-2"/>
    <n v="0"/>
  </r>
  <r>
    <n v="2021"/>
    <x v="1"/>
    <n v="9110128331"/>
    <s v="000070"/>
    <s v="ZREG01 / EUROPE"/>
    <s v="1100 / HYDRO Systems KG_DE"/>
    <s v="00301-457-000 / O-Ring"/>
    <s v="00301-457-000"/>
    <s v="O-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7.4999999999999997E-2"/>
    <n v="0"/>
  </r>
  <r>
    <n v="2021"/>
    <x v="1"/>
    <n v="9110128264"/>
    <s v="000010"/>
    <s v="ZREG01 / EUROPE"/>
    <s v="1100 / HYDRO Systems KG_DE"/>
    <s v="98S71005003200 / Drehmomentschluessel"/>
    <s v="98S71005003200"/>
    <s v="Torque wrench"/>
    <s v="302 / Balsemin, Antony"/>
    <x v="9"/>
    <s v="-"/>
    <s v="Frankreich"/>
    <s v="Frankreich"/>
    <s v="Tooling"/>
    <s v="P060"/>
    <s v="TA06601S"/>
    <s v="1,0000"/>
    <s v="0,8645"/>
    <s v="1,2060"/>
    <d v="2021-03-08T00:00:00"/>
    <d v="2021-03-08T00:00:00"/>
    <s v="EUR"/>
    <s v="TA06601S"/>
    <n v="2"/>
    <n v="572"/>
    <n v="689.82983393432141"/>
    <n v="494.48032020194148"/>
    <n v="0.05"/>
    <n v="28.6"/>
  </r>
  <r>
    <n v="2021"/>
    <x v="1"/>
    <n v="9110128278"/>
    <s v="010000"/>
    <s v="ZREG06 / AFRICA"/>
    <s v="1100 / HYDRO Systems KG_DE"/>
    <s v="SE_BI_REC / Rezertifizierung"/>
    <s v="SE_BI_REC"/>
    <s v="Recertification"/>
    <s v="301 / Siefer, Alfred"/>
    <x v="8"/>
    <s v="-"/>
    <s v="Marokko"/>
    <s v="Marokko"/>
    <s v="Service"/>
    <s v="P034"/>
    <s v="SE07001S"/>
    <s v="1,0000"/>
    <s v="0,8645"/>
    <s v="1,2060"/>
    <d v="2021-03-08T00:00:00"/>
    <d v="2021-03-08T00:00:00"/>
    <s v="EUR"/>
    <s v="SE07001S"/>
    <n v="1"/>
    <n v="250"/>
    <n v="301.49905329297269"/>
    <n v="216.11902106728209"/>
    <n v="0"/>
    <n v="0"/>
  </r>
  <r>
    <n v="2021"/>
    <x v="1"/>
    <n v="9110128279"/>
    <s v="010000"/>
    <s v="ZREG06 / AFRICA"/>
    <s v="1100 / HYDRO Systems KG_DE"/>
    <s v="SE_BI_REC / Rezertifizierung"/>
    <s v="SE_BI_REC"/>
    <s v="Recertification"/>
    <s v="301 / Siefer, Alfred"/>
    <x v="8"/>
    <s v="-"/>
    <s v="Marokko"/>
    <s v="Marokko"/>
    <s v="Service"/>
    <s v="P034"/>
    <s v="SE07001S"/>
    <s v="1,0000"/>
    <s v="0,8645"/>
    <s v="1,2060"/>
    <d v="2021-03-08T00:00:00"/>
    <d v="2021-03-08T00:00:00"/>
    <s v="EUR"/>
    <s v="SE07001S"/>
    <n v="1"/>
    <n v="250"/>
    <n v="301.49905329297269"/>
    <n v="216.11902106728209"/>
    <n v="0"/>
    <n v="0"/>
  </r>
  <r>
    <n v="2021"/>
    <x v="1"/>
    <n v="9110128577"/>
    <s v="010000"/>
    <s v="ZREG06 / AFRICA"/>
    <s v="1100 / HYDRO Systems KG_DE"/>
    <s v="SE_BI_REC / Rezertifizierung"/>
    <s v="SE_BI_REC"/>
    <s v="Recertification"/>
    <s v="301 / Siefer, Alfred"/>
    <x v="21"/>
    <s v="100580 / Sabena Technics MIR"/>
    <s v="Tunesien"/>
    <s v="Tunesien"/>
    <s v="Service"/>
    <s v="P034"/>
    <s v="SE07001S"/>
    <s v="1,0000"/>
    <s v="0,8645"/>
    <s v="1,2060"/>
    <d v="2021-03-18T00:00:00"/>
    <d v="2021-03-05T00:00:00"/>
    <s v="EUR"/>
    <s v="SE07001S"/>
    <n v="1"/>
    <n v="1725"/>
    <n v="2080.3434677215109"/>
    <n v="1491.2212453642469"/>
    <n v="0"/>
    <n v="0"/>
  </r>
  <r>
    <n v="2021"/>
    <x v="1"/>
    <n v="9110128574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45"/>
    <s v="1,2060"/>
    <d v="2021-03-18T00:00:00"/>
    <d v="2021-03-04T00:00:00"/>
    <s v="EUR"/>
    <s v="SE07001S"/>
    <n v="1"/>
    <n v="0"/>
    <n v="0"/>
    <n v="0"/>
    <n v="0"/>
    <n v="0"/>
  </r>
  <r>
    <n v="2021"/>
    <x v="1"/>
    <n v="100006576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8T00:00:00"/>
    <d v="2021-03-04T00:00:00"/>
    <s v="EUR"/>
    <s v="SE07321S"/>
    <n v="-1"/>
    <n v="-635"/>
    <n v="-765.80759536415053"/>
    <n v="-548.94231351089661"/>
    <n v="0"/>
    <n v="0"/>
  </r>
  <r>
    <n v="2021"/>
    <x v="1"/>
    <n v="9110128248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8T00:00:00"/>
    <d v="2021-03-04T00:00:00"/>
    <s v="EUR"/>
    <s v="SE07321S"/>
    <n v="1"/>
    <n v="635"/>
    <n v="765.80759536415053"/>
    <n v="548.94231351089661"/>
    <n v="0"/>
    <n v="0"/>
  </r>
  <r>
    <n v="2021"/>
    <x v="1"/>
    <n v="9110128248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8T00:00:00"/>
    <d v="2021-03-04T00:00:00"/>
    <s v="EUR"/>
    <s v="SE07002S"/>
    <n v="1"/>
    <n v="1489"/>
    <n v="1795.7283614129451"/>
    <n v="1287.204889476732"/>
    <n v="0"/>
    <n v="0"/>
  </r>
  <r>
    <n v="2021"/>
    <x v="1"/>
    <n v="9110128248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8T00:00:00"/>
    <d v="2021-03-04T00:00:00"/>
    <s v="EUR"/>
    <s v="SE07002S"/>
    <n v="1"/>
    <n v="160"/>
    <n v="192.9593941075025"/>
    <n v="138.3161734830606"/>
    <n v="0"/>
    <n v="0"/>
  </r>
  <r>
    <n v="2021"/>
    <x v="1"/>
    <n v="9110128152"/>
    <s v="010000"/>
    <s v="ZREG01 / EUROPE"/>
    <s v="1100 / HYDRO Systems KG_DE"/>
    <s v="SE_BI_REP_ONSITE / Service vor Ort"/>
    <s v="SE_BI_REP_ONSITE"/>
    <s v="Service on-site"/>
    <s v="301 / Siefer, Alfred"/>
    <x v="12"/>
    <s v="-"/>
    <s v="Frankreich"/>
    <s v="Frankreich"/>
    <s v="Service"/>
    <s v="P034"/>
    <s v="SE07320S"/>
    <s v="1,0000"/>
    <s v="0,8645"/>
    <s v="1,2060"/>
    <d v="2021-03-04T00:00:00"/>
    <d v="2021-03-04T00:00:00"/>
    <s v="EUR"/>
    <s v="SE07320S"/>
    <n v="1"/>
    <n v="0"/>
    <n v="0"/>
    <n v="0"/>
    <n v="0"/>
    <n v="0"/>
  </r>
  <r>
    <n v="2021"/>
    <x v="1"/>
    <n v="9110128171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520"/>
    <n v="627.1180308493831"/>
    <n v="449.52756381994692"/>
    <n v="0"/>
    <n v="0"/>
  </r>
  <r>
    <n v="2021"/>
    <x v="1"/>
    <n v="9110128171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185"/>
    <n v="1429.1055126086901"/>
    <n v="1024.404159858917"/>
    <n v="0"/>
    <n v="0"/>
  </r>
  <r>
    <n v="2021"/>
    <x v="1"/>
    <n v="9110128171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240"/>
    <n v="289.43909116125383"/>
    <n v="207.47426022459089"/>
    <n v="0"/>
    <n v="0"/>
  </r>
  <r>
    <n v="2021"/>
    <x v="1"/>
    <n v="9110128171"/>
    <s v="040000"/>
    <s v="ZREG06 / AFRICA"/>
    <s v="1100 / HYDRO Systems KG_DE"/>
    <s v="SE_NO_MISC / Sonstige Dienstleistungen"/>
    <s v="SE_NO_MISC"/>
    <s v="Miscellaneous Services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80"/>
    <n v="96.479697053751252"/>
    <n v="69.158086741530283"/>
    <n v="0"/>
    <n v="0"/>
  </r>
  <r>
    <n v="2021"/>
    <x v="1"/>
    <n v="9110128172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520"/>
    <n v="627.1180308493831"/>
    <n v="449.52756381994692"/>
    <n v="0"/>
    <n v="0"/>
  </r>
  <r>
    <n v="2021"/>
    <x v="1"/>
    <n v="9110128172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3392"/>
    <n v="4090.739155079053"/>
    <n v="2932.3028778408839"/>
    <n v="0"/>
    <n v="0"/>
  </r>
  <r>
    <n v="2021"/>
    <x v="1"/>
    <n v="9110128172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80"/>
    <n v="217.07931837094031"/>
    <n v="155.60569516844311"/>
    <n v="0"/>
    <n v="0"/>
  </r>
  <r>
    <n v="2021"/>
    <x v="1"/>
    <n v="9110128173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635"/>
    <n v="765.80759536415053"/>
    <n v="548.94231351089661"/>
    <n v="0"/>
    <n v="0"/>
  </r>
  <r>
    <n v="2021"/>
    <x v="1"/>
    <n v="9110128174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635"/>
    <n v="765.80759536415053"/>
    <n v="548.94231351089661"/>
    <n v="0"/>
    <n v="0"/>
  </r>
  <r>
    <n v="2021"/>
    <x v="1"/>
    <n v="9110128174"/>
    <s v="040000"/>
    <s v="ZREG06 / AFRICA"/>
    <s v="1100 / HYDRO Systems KG_DE"/>
    <s v="SE_NO_MISC / Sonstige Dienstleistungen"/>
    <s v="SE_NO_MISC"/>
    <s v="Miscellaneous Services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45"/>
    <n v="174.86945090992421"/>
    <n v="125.3490322190236"/>
    <n v="0"/>
    <n v="0"/>
  </r>
  <r>
    <n v="2021"/>
    <x v="1"/>
    <n v="9110128174"/>
    <s v="040001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211"/>
    <n v="1460.461414151159"/>
    <n v="1046.880538049915"/>
    <n v="0"/>
    <n v="0"/>
  </r>
  <r>
    <n v="2021"/>
    <x v="1"/>
    <n v="9110128174"/>
    <s v="040002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80"/>
    <n v="96.479697053751252"/>
    <n v="69.158086741530283"/>
    <n v="0"/>
    <n v="0"/>
  </r>
  <r>
    <n v="2021"/>
    <x v="1"/>
    <n v="9110128097"/>
    <s v="000010"/>
    <s v="ZREG01 / EUROPE"/>
    <s v="1100 / HYDRO Systems KG_DE"/>
    <s v="00469-043-000 / Kugelhahn"/>
    <s v="00469-043-000"/>
    <s v="Ball valve"/>
    <s v="301 / Siefer, Alfred"/>
    <x v="1"/>
    <s v="-"/>
    <s v="Frankreich"/>
    <s v="Frankreich"/>
    <s v="Service"/>
    <s v="P033"/>
    <s v="CO098XXE"/>
    <s v="1,0000"/>
    <s v="0,8645"/>
    <s v="1,2060"/>
    <d v="2021-03-03T00:00:00"/>
    <d v="2021-03-02T00:00:00"/>
    <s v="EUR"/>
    <s v="CO098XXE"/>
    <n v="1"/>
    <n v="80.75"/>
    <n v="97.384194213630167"/>
    <n v="69.80644380473214"/>
    <n v="7.4999999999999997E-2"/>
    <n v="6.0562499999999995"/>
  </r>
  <r>
    <n v="2021"/>
    <x v="1"/>
    <n v="9110128097"/>
    <s v="000020"/>
    <s v="ZREG01 / EUROPE"/>
    <s v="1100 / HYDRO Systems KG_DE"/>
    <s v="00418-046-000 / Zapfen"/>
    <s v="00418-046-000"/>
    <s v="Plug"/>
    <s v="301 / Siefer, Alfred"/>
    <x v="1"/>
    <s v="-"/>
    <s v="Frankreich"/>
    <s v="-"/>
    <s v="Service"/>
    <s v="P033"/>
    <s v="CO099XXE"/>
    <s v="1,0000"/>
    <s v="0,8645"/>
    <s v="1,2060"/>
    <d v="2021-03-03T00:00:00"/>
    <d v="2021-03-02T00:00:00"/>
    <s v="EUR"/>
    <s v="CO099XXE"/>
    <n v="1"/>
    <n v="11.05"/>
    <n v="13.32625815554939"/>
    <n v="9.5524607311738716"/>
    <n v="7.4999999999999997E-2"/>
    <n v="0.82874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4" indent="0" outline="1" outlineData="1" multipleFieldFilters="0">
  <location ref="A64:C75" firstHeaderRow="1" firstDataRow="2" firstDataCol="1"/>
  <pivotFields count="30">
    <pivotField numFmtId="179" showAll="0" defaultSubtotal="0"/>
    <pivotField axis="axisCol" showAll="0" defaultSubtotal="0">
      <items count="4">
        <item m="1" x="2"/>
        <item m="1" x="3"/>
        <item x="1"/>
        <item x="0"/>
      </items>
    </pivotField>
    <pivotField numFmtId="49"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axis="axisRow" showAll="0" measureFilter="1" defaultSubtotal="0">
      <items count="32">
        <item x="1"/>
        <item x="2"/>
        <item x="20"/>
        <item x="9"/>
        <item x="12"/>
        <item x="10"/>
        <item x="8"/>
        <item x="0"/>
        <item x="18"/>
        <item m="1" x="22"/>
        <item m="1" x="23"/>
        <item m="1" x="27"/>
        <item x="14"/>
        <item m="1" x="25"/>
        <item m="1" x="28"/>
        <item m="1" x="26"/>
        <item x="15"/>
        <item m="1" x="31"/>
        <item m="1" x="29"/>
        <item m="1" x="24"/>
        <item m="1" x="30"/>
        <item x="19"/>
        <item x="13"/>
        <item x="21"/>
        <item x="4"/>
        <item x="3"/>
        <item x="5"/>
        <item x="6"/>
        <item x="7"/>
        <item x="11"/>
        <item x="16"/>
        <item x="1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80" showAll="0" defaultSubtotal="0"/>
    <pivotField showAll="0" defaultSubtotal="0"/>
    <pivotField showAll="0" defaultSubtotal="0"/>
    <pivotField numFmtId="4" showAll="0" defaultSubtotal="0"/>
    <pivotField dataField="1" numFmtId="4" showAll="0" defaultSubtotal="0"/>
    <pivotField numFmtId="4" showAll="0" defaultSubtotal="0"/>
    <pivotField numFmtId="4" showAll="0" defaultSubtotal="0"/>
    <pivotField numFmtId="181" showAll="0" defaultSubtotal="0"/>
    <pivotField numFmtId="168" showAll="0" defaultSubtotal="0"/>
  </pivotFields>
  <rowFields count="1">
    <field x="10"/>
  </rowFields>
  <rowItems count="10">
    <i>
      <x/>
    </i>
    <i>
      <x v="4"/>
    </i>
    <i>
      <x v="5"/>
    </i>
    <i>
      <x v="6"/>
    </i>
    <i>
      <x v="7"/>
    </i>
    <i>
      <x v="8"/>
    </i>
    <i>
      <x v="21"/>
    </i>
    <i>
      <x v="24"/>
    </i>
    <i>
      <x v="25"/>
    </i>
    <i>
      <x v="29"/>
    </i>
  </rowItems>
  <colFields count="1">
    <field x="1"/>
  </colFields>
  <colItems count="2">
    <i>
      <x v="2"/>
    </i>
    <i>
      <x v="3"/>
    </i>
  </colItems>
  <dataFields count="1">
    <dataField name="Sum of Net value in €" fld="25" baseField="0" baseItem="0" numFmtId="169"/>
  </dataFields>
  <formats count="4">
    <format dxfId="264">
      <pivotArea outline="0" collapsedLevelsAreSubtotals="1" fieldPosition="0"/>
    </format>
    <format dxfId="263">
      <pivotArea field="1" type="button" dataOnly="0" labelOnly="1" outline="0" axis="axisCol" fieldPosition="0"/>
    </format>
    <format dxfId="262">
      <pivotArea type="topRight" dataOnly="0" labelOnly="1" outline="0" fieldPosition="0"/>
    </format>
    <format dxfId="261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filters count="1">
    <filter fld="1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087B6D-5D82-42D4-B6F6-52FBAA0005E8}" name="Tabelle2" displayName="Tabelle2" ref="A1:F14" totalsRowShown="0" headerRowDxfId="788">
  <autoFilter ref="A1:F14" xr:uid="{A4087B6D-5D82-42D4-B6F6-52FBAA0005E8}"/>
  <tableColumns count="6">
    <tableColumn id="1" xr3:uid="{C7DCF2ED-9104-412F-B7CF-9470F5E6FC32}" name="BU"/>
    <tableColumn id="6" xr3:uid="{04134211-8321-4632-809D-3B9C1D6EB994}" name="Spalte1" dataDxfId="787"/>
    <tableColumn id="2" xr3:uid="{8FEF321F-F4B5-48F5-A3AC-FC44E1CC16FC}" name="Categorie" dataDxfId="786"/>
    <tableColumn id="3" xr3:uid="{AB4C9405-DFAD-41C0-A847-C5CD2E5BA5CB}" name="D-Status"/>
    <tableColumn id="4" xr3:uid="{82CE0616-B207-423E-B642-A11A7990ABBD}" name="Refuse Raison"/>
    <tableColumn id="5" xr3:uid="{AB9A0AFE-5F5F-4A95-8C7D-F7443E47B3C0}" name="externalis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45E4B6-81AE-490D-A1B2-59F8EA9B6430}" name="tbl_DCFC" displayName="tbl_DCFC" ref="A2:AW316" totalsRowShown="0" tableBorderDxfId="731">
  <autoFilter ref="A2:AW316" xr:uid="{C145E4B6-81AE-490D-A1B2-59F8EA9B6430}"/>
  <tableColumns count="49">
    <tableColumn id="1" xr3:uid="{29DA77CC-5119-4494-804F-7BA2C006D7B6}" name="Date" dataDxfId="730"/>
    <tableColumn id="2" xr3:uid="{8785E167-2B32-4458-9985-BEC68B8FB48E}" name="BU_Key" dataDxfId="729">
      <calculatedColumnFormula>IFERROR(INDEX(Tabelle2[BU],MATCH(tbl_DCFC[[#This Row],[Categorie]],CAT,0)),"")</calculatedColumnFormula>
    </tableColumn>
    <tableColumn id="3" xr3:uid="{79102419-D1FC-47E1-AB45-7EEDE88925AB}" name="CW" dataDxfId="728">
      <calculatedColumnFormula>IF(D3&lt;&gt;"","S"&amp;TEXT(WEEKNUM(D3,21),"00"),"")</calculatedColumnFormula>
    </tableColumn>
    <tableColumn id="4" xr3:uid="{1486D022-2051-48ED-9603-79A59ACF8C4A}" name="Date Devis" dataDxfId="727"/>
    <tableColumn id="5" xr3:uid="{D32DDDEF-8455-41A4-A1A7-F72BDDDBD87D}" name="Devis N°" dataDxfId="726"/>
    <tableColumn id="6" xr3:uid="{2488CDE6-5C0B-4AD3-B7B4-BD404DAC2C50}" name="Index" dataDxfId="725"/>
    <tableColumn id="7" xr3:uid="{E712CFAD-62DA-4274-BC2B-830ABBA8F4A6}" name="Client" dataDxfId="724"/>
    <tableColumn id="8" xr3:uid="{4A81DFB4-01B7-4230-BBDD-BEB4480996A7}" name="End Client" dataDxfId="723"/>
    <tableColumn id="9" xr3:uid="{9C921D02-0F03-464F-8549-3482A35AB95F}" name="D Montant € HT" dataDxfId="722"/>
    <tableColumn id="10" xr3:uid="{BE47B64A-B708-428C-89BD-729D25E3BC4C}" name="ASM" dataDxfId="721"/>
    <tableColumn id="11" xr3:uid="{EF1C14F8-E21F-484F-BE14-6984DF225ED3}" name="Categorie" dataDxfId="720"/>
    <tableColumn id="12" xr3:uid="{9E485E58-2B90-403C-B030-DE7C6CA4D6E1}" name="Status" dataDxfId="719"/>
    <tableColumn id="13" xr3:uid="{F0D23F1E-4F78-4A85-828E-51673FFD314A}" name="Spalte2" dataDxfId="718"/>
    <tableColumn id="14" xr3:uid="{4F4978C6-2CA6-416D-996A-5FCD9396E231}" name="CW ORDER" dataDxfId="717">
      <calculatedColumnFormula>IF(Q3&lt;&gt;"","S"&amp;TEXT(WEEKNUM(Q3,21),"00"),"")</calculatedColumnFormula>
    </tableColumn>
    <tableColumn id="15" xr3:uid="{1E98E834-BCF4-41B1-AD26-B2FC7C9F6577}" name="OI_Year" dataDxfId="716">
      <calculatedColumnFormula>IF(Data!$Q3="","",YEAR(Data!$Q3))</calculatedColumnFormula>
    </tableColumn>
    <tableColumn id="16" xr3:uid="{3AD7BD18-86FE-46B8-8324-EF3AD65057D0}" name="OI_Month" dataDxfId="715">
      <calculatedColumnFormula>IF(Data!$Q3="","",MONTH(Data!$Q3))</calculatedColumnFormula>
    </tableColumn>
    <tableColumn id="17" xr3:uid="{89F00C53-ABE8-4702-9066-61DBC98CFAEE}" name="Date Cmde" dataDxfId="714"/>
    <tableColumn id="18" xr3:uid="{8C229C65-F0B0-4272-92F1-8A991FDF50AF}" name="Cmde N°" dataDxfId="713"/>
    <tableColumn id="19" xr3:uid="{8735A2E3-347C-43B2-AFCA-63A68A1FF03D}" name="C Montant € HT" dataDxfId="712"/>
    <tableColumn id="20" xr3:uid="{126A9FD5-CA45-4275-8DE5-9DFDC1AC6C4B}" name="Montant Restant €" dataDxfId="711"/>
    <tableColumn id="21" xr3:uid="{E49B512D-6AC0-40A4-AE20-F3EEA5786637}" name="Délai (semaine)" dataDxfId="710"/>
    <tableColumn id="22" xr3:uid="{CA61DA55-EF8E-4E90-9BC4-18BCEC465B70}" name="Spalte4" dataDxfId="709"/>
    <tableColumn id="23" xr3:uid="{5A7E375E-3626-4E52-8EC8-B19C30762472}" name="Date réelle réception matériel" dataDxfId="708"/>
    <tableColumn id="24" xr3:uid="{62402606-B1F0-441F-B367-9110B7FFBA6A}" name="CW REV" dataDxfId="707">
      <calculatedColumnFormula>IF(AC3&lt;&gt;"","S"&amp;TEXT(WEEKNUM(AC3,21),"00"),"")</calculatedColumnFormula>
    </tableColumn>
    <tableColumn id="25" xr3:uid="{6A268F31-C47E-4CE9-9CD2-639DD09F209D}" name="Revenue_Year" dataDxfId="706">
      <calculatedColumnFormula>IF(Data!$AC3="","",YEAR(Data!$AC3))</calculatedColumnFormula>
    </tableColumn>
    <tableColumn id="26" xr3:uid="{0CBDEFBC-C08E-40D0-A9C1-C15A318023A7}" name="Revenue_Month" dataDxfId="705">
      <calculatedColumnFormula>IF(Data!$AC3="","",MONTH(Data!$AC3))</calculatedColumnFormula>
    </tableColumn>
    <tableColumn id="27" xr3:uid="{A7842F9D-2571-48F9-9367-FABE5475A12A}" name="Date Liv. Réelle" dataDxfId="704"/>
    <tableColumn id="28" xr3:uid="{ACA953BD-B7D6-4124-9E81-411B096F0114}" name="Facture N°" dataDxfId="703"/>
    <tableColumn id="29" xr3:uid="{DFBE4D53-E05B-44EE-9ADA-5EF9E4B05D38}" name="Date Facture" dataDxfId="702"/>
    <tableColumn id="30" xr3:uid="{C5CCD242-DD8E-4165-988D-531CA9EDD29D}" name="F Montant HT" dataDxfId="701"/>
    <tableColumn id="31" xr3:uid="{6EF42292-A844-46DD-9447-4BE1001232B3}" name="Date Liv. Prévue" dataDxfId="700"/>
    <tableColumn id="32" xr3:uid="{F5372375-B7F4-4B90-9E08-C0EA091E66D1}" name="In-house/_x000a_On-site" dataDxfId="699"/>
    <tableColumn id="33" xr3:uid="{CF2F2804-B211-4E23-8FF6-A5ACFADB5774}" name="Raison" dataDxfId="698"/>
    <tableColumn id="34" xr3:uid="{977EEDD8-191A-405C-B052-C95180F4CF4F}" name="Spalte7" dataDxfId="697"/>
    <tableColumn id="35" xr3:uid="{8EBD6A65-C92B-4F74-A530-C9ED08D77A1A}" name="parts" dataDxfId="696"/>
    <tableColumn id="36" xr3:uid="{E3A4E047-4D1A-4B0F-ABEB-3D4EDE77EB17}" name="Product Description" dataDxfId="695"/>
    <tableColumn id="37" xr3:uid="{E9A6CA95-E3C4-432C-A23F-0AE0F63F84CD}" name="Spalte8" dataDxfId="694"/>
    <tableColumn id="38" xr3:uid="{070228D5-FE8D-4BE6-8FE6-25E4E5D06FD6}" name="Commentaire" dataDxfId="693"/>
    <tableColumn id="39" xr3:uid="{7BF30B3D-7E5D-4E71-B4F1-C79E15B7C01F}" name="Spalte9" dataDxfId="692"/>
    <tableColumn id="40" xr3:uid="{37BE2959-539F-4E03-BDFA-9069DE7714FE}" name="l'externalisation" dataDxfId="691"/>
    <tableColumn id="41" xr3:uid="{4C7A2F2F-BD87-41C3-8A01-122B73E7CDBE}" name="Spalte10" dataDxfId="690"/>
    <tableColumn id="42" xr3:uid="{8901E7E9-2B14-4ECA-9A48-3907830F1C85}" name="Lien dossier" dataDxfId="689"/>
    <tableColumn id="43" xr3:uid="{436F605B-0313-4678-8F7A-5071AD7F8057}" name="Spalte11" dataDxfId="688"/>
    <tableColumn id="44" xr3:uid="{7A431D6F-61FE-449C-8136-F2AE117CDDC0}" name="Contact Person" dataDxfId="687"/>
    <tableColumn id="45" xr3:uid="{132E26A5-C387-4985-95BD-D3C8E8D03B8E}" name="Spalte12" dataDxfId="686"/>
    <tableColumn id="46" xr3:uid="{272DFE58-ADBD-49CB-BBAD-55578EDB9BC2}" name="Coûts achats" dataDxfId="685"/>
    <tableColumn id="49" xr3:uid="{D7025EEB-7217-48C7-9DFE-B69BA52E8CA6}" name="Coûts main d'œuvre" dataDxfId="684"/>
    <tableColumn id="47" xr3:uid="{DEA603DD-ED0F-45FE-AA11-071968AA69EE}" name="Marge" dataDxfId="683">
      <calculatedColumnFormula>IF(AT3="","",S3-AT3)</calculatedColumnFormula>
    </tableColumn>
    <tableColumn id="48" xr3:uid="{F6058A55-8FA4-4217-91A8-1D85BE8402CA}" name="Marge %" dataDxfId="682">
      <calculatedColumnFormula>IFERROR(IF(tbl_DCFC[[#This Row],[F Montant HT]]="","",tbl_DCFC[[#This Row],[Marge]]/tbl_DCFC[[#This Row],[F Montant HT]]),"")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I" displayName="OI" ref="A1:AL12" headerRowDxfId="69">
  <autoFilter ref="A1:AL12" xr:uid="{00000000-0009-0000-0100-000001000000}"/>
  <tableColumns count="38">
    <tableColumn id="37" xr3:uid="{00000000-0010-0000-0000-000025000000}" name="ENTITY" totalsRowDxfId="68"/>
    <tableColumn id="36" xr3:uid="{00000000-0010-0000-0000-000024000000}" name="CURR" totalsRowDxfId="67"/>
    <tableColumn id="35" xr3:uid="{00000000-0010-0000-0000-000023000000}" name="DIMENSION" totalsRowDxfId="66"/>
    <tableColumn id="38" xr3:uid="{00000000-0010-0000-0000-000026000000}" name="DIMENSION 2" totalsRowDxfId="65"/>
    <tableColumn id="1" xr3:uid="{00000000-0010-0000-0000-000001000000}" name="IC" totalsRowDxfId="64"/>
    <tableColumn id="33" xr3:uid="{00000000-0010-0000-0000-000021000000}" name="YEAR" totalsRowDxfId="63"/>
    <tableColumn id="34" xr3:uid="{00000000-0010-0000-0000-000022000000}" name="PG" totalsRowDxfId="62"/>
    <tableColumn id="3" xr3:uid="{00000000-0010-0000-0000-000003000000}" name="1" dataDxfId="61" totalsRowDxfId="60">
      <calculatedColumnFormula>SUMIFS(Data!$S:$S,Data!$Q:$Q,"&gt;="&amp;DATE(CurrentYear,H$1,1),Data!$Q:$Q,"&gt;="&amp;EOMONTH(DATE(CurrentYear,H$1,1),0),Data!$G:$G,"*HYDRO*")</calculatedColumnFormula>
    </tableColumn>
    <tableColumn id="4" xr3:uid="{00000000-0010-0000-0000-000004000000}" name="2" dataDxfId="59" totalsRowDxfId="58">
      <calculatedColumnFormula>SUMIFS(Data!$S:$S,Data!$Q:$Q,"&gt;="&amp;DATE(CurrentYear,I$1,1),Data!$Q:$Q,"&gt;="&amp;EOMONTH(DATE(CurrentYear,I$1,1),0))</calculatedColumnFormula>
    </tableColumn>
    <tableColumn id="5" xr3:uid="{00000000-0010-0000-0000-000005000000}" name="3" dataDxfId="57" totalsRowDxfId="56">
      <calculatedColumnFormula>SUMIFS(Data!$S:$S,Data!$Q:$Q,"&gt;="&amp;DATE(CurrentYear,J$1,1),Data!$Q:$Q,"&gt;="&amp;EOMONTH(DATE(CurrentYear,J$1,1),0))</calculatedColumnFormula>
    </tableColumn>
    <tableColumn id="6" xr3:uid="{00000000-0010-0000-0000-000006000000}" name="4" dataDxfId="55" totalsRowDxfId="54">
      <calculatedColumnFormula>SUMIFS(Data!$S:$S,Data!$Q:$Q,"&gt;="&amp;DATE(CurrentYear,K$1,1),Data!$Q:$Q,"&gt;="&amp;EOMONTH(DATE(CurrentYear,K$1,1),0))</calculatedColumnFormula>
    </tableColumn>
    <tableColumn id="7" xr3:uid="{00000000-0010-0000-0000-000007000000}" name="5" dataDxfId="53" totalsRowDxfId="52">
      <calculatedColumnFormula>SUMIFS(Data!$S:$S,Data!$Q:$Q,"&gt;="&amp;DATE(CurrentYear,L$1,1),Data!$Q:$Q,"&gt;="&amp;EOMONTH(DATE(CurrentYear,L$1,1),0))</calculatedColumnFormula>
    </tableColumn>
    <tableColumn id="8" xr3:uid="{00000000-0010-0000-0000-000008000000}" name="6" dataDxfId="51" totalsRowDxfId="50">
      <calculatedColumnFormula>SUMIFS(Data!$S:$S,Data!$Q:$Q,"&gt;="&amp;DATE(CurrentYear,M$1,1),Data!$Q:$Q,"&gt;="&amp;EOMONTH(DATE(CurrentYear,M$1,1),0))</calculatedColumnFormula>
    </tableColumn>
    <tableColumn id="9" xr3:uid="{00000000-0010-0000-0000-000009000000}" name="7" dataDxfId="49" totalsRowDxfId="48">
      <calculatedColumnFormula>SUMIFS(Data!$S:$S,Data!$Q:$Q,"&gt;="&amp;DATE(CurrentYear,N$1,1),Data!$Q:$Q,"&gt;="&amp;EOMONTH(DATE(CurrentYear,N$1,1),0))</calculatedColumnFormula>
    </tableColumn>
    <tableColumn id="10" xr3:uid="{00000000-0010-0000-0000-00000A000000}" name="8" dataDxfId="47" totalsRowDxfId="46">
      <calculatedColumnFormula>SUMIFS(Data!$S:$S,Data!$Q:$Q,"&gt;="&amp;DATE(CurrentYear,O$1,1),Data!$Q:$Q,"&gt;="&amp;EOMONTH(DATE(CurrentYear,O$1,1),0))</calculatedColumnFormula>
    </tableColumn>
    <tableColumn id="11" xr3:uid="{00000000-0010-0000-0000-00000B000000}" name="9" dataDxfId="45" totalsRowDxfId="44">
      <calculatedColumnFormula>SUMIFS(Data!$S:$S,Data!$Q:$Q,"&gt;="&amp;DATE(CurrentYear,P$1,1),Data!$Q:$Q,"&gt;="&amp;EOMONTH(DATE(CurrentYear,P$1,1),0))</calculatedColumnFormula>
    </tableColumn>
    <tableColumn id="12" xr3:uid="{00000000-0010-0000-0000-00000C000000}" name="10" dataDxfId="43" totalsRowDxfId="42">
      <calculatedColumnFormula>SUMIFS(Data!$S:$S,Data!$Q:$Q,"&gt;="&amp;DATE(CurrentYear,Q$1,1),Data!$Q:$Q,"&gt;="&amp;EOMONTH(DATE(CurrentYear,Q$1,1),0))</calculatedColumnFormula>
    </tableColumn>
    <tableColumn id="13" xr3:uid="{00000000-0010-0000-0000-00000D000000}" name="11" dataDxfId="41" totalsRowDxfId="40">
      <calculatedColumnFormula>SUMIFS(Data!$S:$S,Data!$Q:$Q,"&gt;="&amp;DATE(CurrentYear,R$1,1),Data!$Q:$Q,"&gt;="&amp;EOMONTH(DATE(CurrentYear,R$1,1),0))</calculatedColumnFormula>
    </tableColumn>
    <tableColumn id="14" xr3:uid="{00000000-0010-0000-0000-00000E000000}" name="12" dataDxfId="39" totalsRowDxfId="38">
      <calculatedColumnFormula>SUMIFS(Data!$S:$S,Data!$Q:$Q,"&gt;="&amp;DATE(CurrentYear,S$1,1),Data!$Q:$Q,"&gt;="&amp;EOMONTH(DATE(CurrentYear,S$1,1),0))</calculatedColumnFormula>
    </tableColumn>
    <tableColumn id="15" xr3:uid="{00000000-0010-0000-0000-00000F000000}" name="1 YTD" dataDxfId="37" totalsRowDxfId="36">
      <calculatedColumnFormula>SUM(OI[[#This Row],[1]])</calculatedColumnFormula>
    </tableColumn>
    <tableColumn id="16" xr3:uid="{00000000-0010-0000-0000-000010000000}" name="2 YTD" dataDxfId="35" totalsRowDxfId="34">
      <calculatedColumnFormula>SUM(OI[[#This Row],[1]],OI[[#This Row],[2]])</calculatedColumnFormula>
    </tableColumn>
    <tableColumn id="17" xr3:uid="{00000000-0010-0000-0000-000011000000}" name="3 YTD" dataDxfId="33" totalsRowDxfId="32">
      <calculatedColumnFormula>SUM(OI[[#This Row],[1]],OI[[#This Row],[2]],OI[[#This Row],[3]])</calculatedColumnFormula>
    </tableColumn>
    <tableColumn id="18" xr3:uid="{00000000-0010-0000-0000-000012000000}" name="4 YTD" dataDxfId="31" totalsRowDxfId="30">
      <calculatedColumnFormula>SUM(OI[[#This Row],[1]],OI[[#This Row],[2]],OI[[#This Row],[3]],OI[[#This Row],[4]])</calculatedColumnFormula>
    </tableColumn>
    <tableColumn id="19" xr3:uid="{00000000-0010-0000-0000-000013000000}" name="5 YTD" dataDxfId="29" totalsRowDxfId="28">
      <calculatedColumnFormula>SUM(OI[[#This Row],[1]],OI[[#This Row],[2]],OI[[#This Row],[3]],OI[[#This Row],[4]],OI[[#This Row],[5]])</calculatedColumnFormula>
    </tableColumn>
    <tableColumn id="20" xr3:uid="{00000000-0010-0000-0000-000014000000}" name="6 YTD" dataDxfId="27" totalsRowDxfId="26">
      <calculatedColumnFormula>SUM(OI[[#This Row],[1]],OI[[#This Row],[2]],OI[[#This Row],[3]],OI[[#This Row],[4]],OI[[#This Row],[5]],OI[[#This Row],[6]])</calculatedColumnFormula>
    </tableColumn>
    <tableColumn id="21" xr3:uid="{00000000-0010-0000-0000-000015000000}" name="7 YTD" dataDxfId="25" totalsRowDxfId="24">
      <calculatedColumnFormula>SUM(OI[[#This Row],[1]],OI[[#This Row],[2]],OI[[#This Row],[3]],OI[[#This Row],[4]],OI[[#This Row],[5]],OI[[#This Row],[6]],OI[[#This Row],[7]])</calculatedColumnFormula>
    </tableColumn>
    <tableColumn id="22" xr3:uid="{00000000-0010-0000-0000-000016000000}" name="8 YTD" dataDxfId="23" totalsRowDxfId="22">
      <calculatedColumnFormula>SUM(OI[[#This Row],[1]],OI[[#This Row],[2]],OI[[#This Row],[3]],OI[[#This Row],[4]],OI[[#This Row],[5]],OI[[#This Row],[6]],OI[[#This Row],[7]],OI[[#This Row],[8]])</calculatedColumnFormula>
    </tableColumn>
    <tableColumn id="23" xr3:uid="{00000000-0010-0000-0000-000017000000}" name="9 YTD" dataDxfId="21" totalsRowDxfId="20">
      <calculatedColumnFormula>SUM(OI[[#This Row],[1]],OI[[#This Row],[2]],OI[[#This Row],[3]],OI[[#This Row],[4]],OI[[#This Row],[5]],OI[[#This Row],[6]],OI[[#This Row],[7]],OI[[#This Row],[8]],OI[[#This Row],[9]])</calculatedColumnFormula>
    </tableColumn>
    <tableColumn id="24" xr3:uid="{00000000-0010-0000-0000-000018000000}" name="10 YTD" dataDxfId="19" totalsRowDxfId="18">
      <calculatedColumnFormula>SUM(OI[[#This Row],[1]],OI[[#This Row],[2]],OI[[#This Row],[3]],OI[[#This Row],[4]],OI[[#This Row],[5]],OI[[#This Row],[6]],OI[[#This Row],[7]],OI[[#This Row],[8]],OI[[#This Row],[9]],OI[[#This Row],[10]])</calculatedColumnFormula>
    </tableColumn>
    <tableColumn id="25" xr3:uid="{00000000-0010-0000-0000-000019000000}" name="11 YTD" dataDxfId="17" totalsRowDxfId="16">
      <calculatedColumnFormula>SUM(OI[[#This Row],[1]],OI[[#This Row],[2]],OI[[#This Row],[3]],OI[[#This Row],[4]],OI[[#This Row],[5]],OI[[#This Row],[6]],OI[[#This Row],[7]],OI[[#This Row],[8]],OI[[#This Row],[9]],OI[[#This Row],[10]],OI[[#This Row],[11]])</calculatedColumnFormula>
    </tableColumn>
    <tableColumn id="26" xr3:uid="{00000000-0010-0000-0000-00001A000000}" name="12 YTD" dataDxfId="15" totalsRowDxfId="14">
      <calculatedColumnFormula>SUM(OI[[#This Row],[1]],OI[[#This Row],[2]],OI[[#This Row],[3]],OI[[#This Row],[4]],OI[[#This Row],[5]],OI[[#This Row],[6]],OI[[#This Row],[7]],OI[[#This Row],[8]],OI[[#This Row],[9]],OI[[#This Row],[10]],OI[[#This Row],[11]],OI[[#This Row],[12]])</calculatedColumnFormula>
    </tableColumn>
    <tableColumn id="27" xr3:uid="{00000000-0010-0000-0000-00001B000000}" name="Q1" dataDxfId="13" totalsRowDxfId="12">
      <calculatedColumnFormula>SUM(OI[[#This Row],[1]],OI[[#This Row],[2]],OI[[#This Row],[3]])</calculatedColumnFormula>
    </tableColumn>
    <tableColumn id="28" xr3:uid="{00000000-0010-0000-0000-00001C000000}" name="Q2" dataDxfId="11" totalsRowDxfId="10">
      <calculatedColumnFormula>SUM(OI[[#This Row],[4]],OI[[#This Row],[5]],OI[[#This Row],[6]])</calculatedColumnFormula>
    </tableColumn>
    <tableColumn id="29" xr3:uid="{00000000-0010-0000-0000-00001D000000}" name="Q3" dataDxfId="9" totalsRowDxfId="8">
      <calculatedColumnFormula>SUM(OI[[#This Row],[7]],OI[[#This Row],[8]],OI[[#This Row],[9]])</calculatedColumnFormula>
    </tableColumn>
    <tableColumn id="30" xr3:uid="{00000000-0010-0000-0000-00001E000000}" name="Q4" dataDxfId="7" totalsRowDxfId="6">
      <calculatedColumnFormula>SUM(OI[[#This Row],[10]],OI[[#This Row],[11]],OI[[#This Row],[12]])</calculatedColumnFormula>
    </tableColumn>
    <tableColumn id="31" xr3:uid="{00000000-0010-0000-0000-00001F000000}" name="S1" dataDxfId="5" totalsRowDxfId="4">
      <calculatedColumnFormula>SUM(OI[[#This Row],[1]],OI[[#This Row],[2]],OI[[#This Row],[3]],OI[[#This Row],[4]],OI[[#This Row],[5]],OI[[#This Row],[6]])</calculatedColumnFormula>
    </tableColumn>
    <tableColumn id="32" xr3:uid="{00000000-0010-0000-0000-000020000000}" name="S2" dataDxfId="3" totalsRowDxfId="2">
      <calculatedColumnFormula>SUM(OI[[#This Row],[7]],OI[[#This Row],[8]],OI[[#This Row],[9]],OI[[#This Row],[10]],OI[[#This Row],[11]],OI[[#This Row],[12]])</calculatedColumnFormula>
    </tableColumn>
    <tableColumn id="2" xr3:uid="{00000000-0010-0000-0000-000002000000}" name="VKGRP" dataDxfId="1" totalsRowDxfId="0">
      <calculatedColumnFormula>"HYFR"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0" dT="2021-11-15T15:42:36.63" personId="{AE34661E-7E1D-48BB-967E-34ED2BDF82E4}" id="{B8ED1A14-B280-424E-877B-AE36F8300B3A}">
    <text>Calculation sheet HYKG</text>
  </threadedComment>
  <threadedComment ref="E266" dT="2021-11-19T14:10:00.67" personId="{AE34661E-7E1D-48BB-967E-34ED2BDF82E4}" id="{7D6129B7-8816-4DB3-BE6F-E955A352BD57}">
    <text>Calculation sheet HYKG</text>
  </threadedComment>
  <threadedComment ref="E279" dT="2021-12-16T07:46:03.56" personId="{1F1F9AF0-BBB4-47E2-9E58-EA0E79665B9D}" id="{A79299AE-68F9-42B9-963E-66C1A8AB94AA}">
    <text>Process GSE HYKG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AFFAIRES%202021/AIA%20CF/Devis%20n&#176;4685%20-%20Maintenance%20Noria%20n&#176;6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17"/>
  <sheetViews>
    <sheetView workbookViewId="0">
      <selection activeCell="B11" sqref="B11"/>
    </sheetView>
  </sheetViews>
  <sheetFormatPr baseColWidth="10" defaultColWidth="11.44140625" defaultRowHeight="14.4" x14ac:dyDescent="0.3"/>
  <cols>
    <col min="1" max="1" width="11.44140625" style="437"/>
    <col min="2" max="2" width="14.44140625" style="437" bestFit="1" customWidth="1"/>
    <col min="3" max="3" width="18.109375" bestFit="1" customWidth="1"/>
    <col min="4" max="4" width="12.88671875" bestFit="1" customWidth="1"/>
    <col min="5" max="5" width="15.5546875" customWidth="1"/>
    <col min="6" max="6" width="16.5546875" customWidth="1"/>
  </cols>
  <sheetData>
    <row r="1" spans="1:15" x14ac:dyDescent="0.3">
      <c r="A1" s="852" t="s">
        <v>776</v>
      </c>
      <c r="B1" s="852" t="s">
        <v>531</v>
      </c>
      <c r="C1" s="852" t="s">
        <v>1</v>
      </c>
      <c r="D1" s="852" t="s">
        <v>10</v>
      </c>
      <c r="E1" s="852" t="s">
        <v>177</v>
      </c>
      <c r="F1" s="852" t="s">
        <v>178</v>
      </c>
      <c r="H1" s="239">
        <v>2022</v>
      </c>
    </row>
    <row r="2" spans="1:15" x14ac:dyDescent="0.3">
      <c r="A2" s="853" t="s">
        <v>171</v>
      </c>
      <c r="B2" s="437" t="s">
        <v>585</v>
      </c>
      <c r="C2" t="s">
        <v>580</v>
      </c>
      <c r="D2" t="s">
        <v>5</v>
      </c>
      <c r="E2" t="s">
        <v>26</v>
      </c>
      <c r="F2" t="s">
        <v>26</v>
      </c>
      <c r="H2" s="20" t="s">
        <v>37</v>
      </c>
      <c r="N2" t="s">
        <v>992</v>
      </c>
      <c r="O2" s="851" t="s">
        <v>581</v>
      </c>
    </row>
    <row r="3" spans="1:15" x14ac:dyDescent="0.3">
      <c r="A3" s="853" t="s">
        <v>785</v>
      </c>
      <c r="B3" s="437" t="s">
        <v>586</v>
      </c>
      <c r="C3" s="668" t="s">
        <v>582</v>
      </c>
      <c r="D3" t="s">
        <v>9</v>
      </c>
      <c r="E3" t="s">
        <v>27</v>
      </c>
      <c r="F3" t="s">
        <v>148</v>
      </c>
      <c r="H3" s="1" t="s">
        <v>38</v>
      </c>
      <c r="N3" t="s">
        <v>993</v>
      </c>
      <c r="O3" s="851" t="s">
        <v>574</v>
      </c>
    </row>
    <row r="4" spans="1:15" x14ac:dyDescent="0.3">
      <c r="A4" s="853" t="s">
        <v>777</v>
      </c>
      <c r="B4" s="437" t="s">
        <v>153</v>
      </c>
      <c r="C4" t="s">
        <v>579</v>
      </c>
      <c r="D4" t="s">
        <v>6</v>
      </c>
      <c r="E4" t="s">
        <v>28</v>
      </c>
      <c r="F4" t="s">
        <v>149</v>
      </c>
      <c r="H4" s="23" t="s">
        <v>39</v>
      </c>
      <c r="O4" s="851" t="s">
        <v>592</v>
      </c>
    </row>
    <row r="5" spans="1:15" x14ac:dyDescent="0.3">
      <c r="A5" s="853" t="s">
        <v>777</v>
      </c>
      <c r="B5" s="66" t="s">
        <v>587</v>
      </c>
      <c r="C5" t="s">
        <v>581</v>
      </c>
      <c r="D5" t="s">
        <v>253</v>
      </c>
      <c r="E5" t="s">
        <v>29</v>
      </c>
      <c r="F5" t="s">
        <v>152</v>
      </c>
      <c r="H5" s="25" t="s">
        <v>40</v>
      </c>
      <c r="O5" s="851" t="s">
        <v>518</v>
      </c>
    </row>
    <row r="6" spans="1:15" x14ac:dyDescent="0.3">
      <c r="A6" s="853" t="s">
        <v>171</v>
      </c>
      <c r="B6" s="437" t="s">
        <v>153</v>
      </c>
      <c r="C6" t="s">
        <v>593</v>
      </c>
      <c r="D6" t="s">
        <v>8</v>
      </c>
      <c r="E6" t="s">
        <v>30</v>
      </c>
      <c r="F6" t="s">
        <v>147</v>
      </c>
      <c r="H6" s="21" t="s">
        <v>41</v>
      </c>
      <c r="O6" s="851" t="s">
        <v>579</v>
      </c>
    </row>
    <row r="7" spans="1:15" x14ac:dyDescent="0.3">
      <c r="A7" s="853" t="s">
        <v>171</v>
      </c>
      <c r="B7" s="437" t="s">
        <v>588</v>
      </c>
      <c r="C7" t="s">
        <v>518</v>
      </c>
      <c r="D7" s="258" t="s">
        <v>7</v>
      </c>
      <c r="F7" t="s">
        <v>151</v>
      </c>
      <c r="H7" s="22" t="s">
        <v>42</v>
      </c>
      <c r="O7" s="851" t="s">
        <v>569</v>
      </c>
    </row>
    <row r="8" spans="1:15" x14ac:dyDescent="0.3">
      <c r="A8" s="853" t="s">
        <v>778</v>
      </c>
      <c r="B8" s="437" t="s">
        <v>594</v>
      </c>
      <c r="C8" t="s">
        <v>569</v>
      </c>
      <c r="F8" t="s">
        <v>150</v>
      </c>
      <c r="H8" s="24" t="s">
        <v>43</v>
      </c>
      <c r="O8" s="851" t="s">
        <v>584</v>
      </c>
    </row>
    <row r="9" spans="1:15" x14ac:dyDescent="0.3">
      <c r="A9" s="853" t="s">
        <v>785</v>
      </c>
      <c r="B9" s="437" t="s">
        <v>589</v>
      </c>
      <c r="C9" t="s">
        <v>583</v>
      </c>
      <c r="F9" t="s">
        <v>153</v>
      </c>
      <c r="H9" s="19" t="s">
        <v>44</v>
      </c>
      <c r="O9" s="851" t="s">
        <v>582</v>
      </c>
    </row>
    <row r="10" spans="1:15" x14ac:dyDescent="0.3">
      <c r="A10" s="853" t="s">
        <v>778</v>
      </c>
      <c r="B10" s="437" t="s">
        <v>590</v>
      </c>
      <c r="C10" t="s">
        <v>574</v>
      </c>
      <c r="H10" s="28" t="s">
        <v>45</v>
      </c>
      <c r="O10" s="824" t="s">
        <v>583</v>
      </c>
    </row>
    <row r="11" spans="1:15" x14ac:dyDescent="0.3">
      <c r="A11" s="853" t="s">
        <v>777</v>
      </c>
      <c r="B11" s="66" t="s">
        <v>591</v>
      </c>
      <c r="C11" s="437" t="s">
        <v>592</v>
      </c>
      <c r="H11" s="26" t="s">
        <v>46</v>
      </c>
    </row>
    <row r="12" spans="1:15" x14ac:dyDescent="0.3">
      <c r="A12" s="853" t="s">
        <v>777</v>
      </c>
      <c r="B12" s="437" t="s">
        <v>153</v>
      </c>
      <c r="C12" s="668" t="s">
        <v>584</v>
      </c>
      <c r="H12" s="29" t="s">
        <v>47</v>
      </c>
    </row>
    <row r="13" spans="1:15" x14ac:dyDescent="0.3">
      <c r="A13" s="853" t="s">
        <v>777</v>
      </c>
      <c r="B13" s="437" t="s">
        <v>153</v>
      </c>
      <c r="C13" s="668" t="s">
        <v>750</v>
      </c>
      <c r="H13" s="27" t="s">
        <v>48</v>
      </c>
    </row>
    <row r="14" spans="1:15" x14ac:dyDescent="0.3">
      <c r="A14" s="853" t="s">
        <v>777</v>
      </c>
      <c r="B14" s="437" t="s">
        <v>153</v>
      </c>
      <c r="C14" s="668" t="s">
        <v>751</v>
      </c>
    </row>
    <row r="15" spans="1:15" x14ac:dyDescent="0.3">
      <c r="C15" s="660"/>
    </row>
    <row r="16" spans="1:15" x14ac:dyDescent="0.3">
      <c r="C16" s="660"/>
    </row>
    <row r="17" spans="3:3" x14ac:dyDescent="0.3">
      <c r="C17" s="660"/>
    </row>
  </sheetData>
  <sortState xmlns:xlrd2="http://schemas.microsoft.com/office/spreadsheetml/2017/richdata2" ref="C2:C12">
    <sortCondition ref="C2"/>
  </sortState>
  <dataValidations disablePrompts="1" count="1">
    <dataValidation type="list" allowBlank="1" showInputMessage="1" showErrorMessage="1" sqref="O2:O10" xr:uid="{86519FD7-4F86-4946-87DB-7A3D3F02EF09}">
      <formula1>CAT</formula1>
    </dataValidation>
  </dataValidations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BC604"/>
  <sheetViews>
    <sheetView tabSelected="1" topLeftCell="A224" zoomScale="85" zoomScaleNormal="85" workbookViewId="0">
      <selection activeCell="R146" sqref="R146"/>
    </sheetView>
  </sheetViews>
  <sheetFormatPr baseColWidth="10" defaultColWidth="11.44140625" defaultRowHeight="14.4" outlineLevelCol="1" x14ac:dyDescent="0.3"/>
  <cols>
    <col min="1" max="1" width="10.88671875" style="314" bestFit="1" customWidth="1"/>
    <col min="2" max="2" width="4.5546875" style="261" customWidth="1"/>
    <col min="3" max="3" width="10.109375" style="258" bestFit="1" customWidth="1"/>
    <col min="4" max="4" width="12.33203125" style="314" customWidth="1"/>
    <col min="5" max="5" width="10.5546875" style="258" customWidth="1"/>
    <col min="6" max="6" width="8.109375" style="258" bestFit="1" customWidth="1"/>
    <col min="7" max="7" width="16.44140625" style="258" customWidth="1"/>
    <col min="8" max="8" width="5.88671875" style="258" customWidth="1"/>
    <col min="9" max="9" width="17.109375" style="13" customWidth="1"/>
    <col min="10" max="10" width="13.88671875" style="258" customWidth="1"/>
    <col min="11" max="11" width="26.88671875" style="258" customWidth="1"/>
    <col min="12" max="12" width="12.109375" style="258" customWidth="1"/>
    <col min="13" max="13" width="3.88671875" style="259" customWidth="1"/>
    <col min="14" max="14" width="12.5546875" style="258" customWidth="1"/>
    <col min="15" max="16" width="10.5546875" style="437" hidden="1" customWidth="1" outlineLevel="1"/>
    <col min="17" max="17" width="15.88671875" style="255" customWidth="1" collapsed="1"/>
    <col min="18" max="18" width="10.88671875" style="9" bestFit="1" customWidth="1"/>
    <col min="19" max="19" width="17.88671875" style="438" customWidth="1"/>
    <col min="20" max="20" width="19.88671875" style="254" customWidth="1"/>
    <col min="21" max="21" width="16.44140625" style="260" customWidth="1"/>
    <col min="22" max="22" width="9.33203125" style="259" customWidth="1"/>
    <col min="23" max="23" width="29.5546875" style="314" customWidth="1"/>
    <col min="24" max="24" width="9.6640625" style="258" customWidth="1"/>
    <col min="25" max="26" width="19.109375" style="437" hidden="1" customWidth="1" outlineLevel="1"/>
    <col min="27" max="27" width="16.5546875" style="314" customWidth="1" collapsed="1"/>
    <col min="28" max="28" width="12.109375" style="99" bestFit="1" customWidth="1"/>
    <col min="29" max="29" width="14.109375" style="255" bestFit="1" customWidth="1"/>
    <col min="30" max="30" width="15.109375" style="254" customWidth="1"/>
    <col min="31" max="31" width="17.44140625" style="314" customWidth="1"/>
    <col min="32" max="32" width="9.33203125" style="259" customWidth="1"/>
    <col min="33" max="33" width="9.88671875" style="258" bestFit="1" customWidth="1"/>
    <col min="34" max="34" width="2.33203125" style="259" customWidth="1"/>
    <col min="35" max="35" width="9" style="258" customWidth="1"/>
    <col min="36" max="36" width="43.44140625" style="258" customWidth="1"/>
    <col min="37" max="37" width="1.5546875" style="259" customWidth="1"/>
    <col min="38" max="38" width="110.5546875" style="258" customWidth="1"/>
    <col min="39" max="39" width="9.33203125" style="259" customWidth="1"/>
    <col min="40" max="40" width="34.88671875" style="262" customWidth="1"/>
    <col min="41" max="41" width="10.44140625" style="259" customWidth="1"/>
    <col min="42" max="42" width="61.88671875" style="258" customWidth="1"/>
    <col min="43" max="43" width="10.44140625" style="259" customWidth="1"/>
    <col min="44" max="44" width="32.88671875" style="260" customWidth="1"/>
    <col min="45" max="45" width="10.44140625" style="259" customWidth="1"/>
    <col min="46" max="46" width="16.88671875" style="298" customWidth="1"/>
    <col min="47" max="47" width="14" style="298" customWidth="1"/>
    <col min="48" max="49" width="13.109375" style="298" bestFit="1" customWidth="1"/>
    <col min="50" max="16384" width="11.44140625" style="258"/>
  </cols>
  <sheetData>
    <row r="1" spans="1:55" x14ac:dyDescent="0.3">
      <c r="A1" s="647" t="s">
        <v>35</v>
      </c>
      <c r="C1" s="877" t="s">
        <v>25</v>
      </c>
      <c r="D1" s="878"/>
      <c r="E1" s="877"/>
      <c r="F1" s="877"/>
      <c r="G1" s="877"/>
      <c r="H1" s="877"/>
      <c r="I1" s="877"/>
      <c r="J1" s="877"/>
      <c r="K1" s="877"/>
      <c r="L1" s="877"/>
      <c r="M1" s="396"/>
      <c r="N1" s="873" t="s">
        <v>15</v>
      </c>
      <c r="O1" s="873"/>
      <c r="P1" s="873"/>
      <c r="Q1" s="874"/>
      <c r="R1" s="874"/>
      <c r="S1" s="874"/>
      <c r="T1" s="874"/>
      <c r="U1" s="874"/>
      <c r="V1" s="396"/>
      <c r="W1" s="646"/>
      <c r="X1" s="875" t="s">
        <v>20</v>
      </c>
      <c r="Y1" s="875"/>
      <c r="Z1" s="875"/>
      <c r="AA1" s="874"/>
      <c r="AB1" s="874"/>
      <c r="AC1" s="874"/>
      <c r="AD1" s="874"/>
      <c r="AE1" s="876"/>
      <c r="AF1" s="396"/>
      <c r="AG1" s="3" t="s">
        <v>21</v>
      </c>
      <c r="AH1" s="396"/>
      <c r="AI1" s="103" t="s">
        <v>144</v>
      </c>
      <c r="AJ1" s="2"/>
      <c r="AK1" s="396"/>
      <c r="AL1" s="7"/>
      <c r="AM1" s="396"/>
      <c r="AN1" s="104" t="s">
        <v>145</v>
      </c>
      <c r="AO1" s="396"/>
      <c r="AP1" s="6"/>
      <c r="AQ1" s="396"/>
      <c r="AR1" s="10"/>
      <c r="AS1" s="396"/>
      <c r="AT1" s="297"/>
      <c r="AU1" s="297"/>
      <c r="AV1" s="297"/>
      <c r="AW1" s="297"/>
    </row>
    <row r="2" spans="1:55" s="223" customFormat="1" ht="28.8" x14ac:dyDescent="0.3">
      <c r="A2" s="834" t="s">
        <v>24</v>
      </c>
      <c r="B2" s="757" t="s">
        <v>782</v>
      </c>
      <c r="C2" s="758" t="s">
        <v>33</v>
      </c>
      <c r="D2" s="759" t="s">
        <v>17</v>
      </c>
      <c r="E2" s="760" t="s">
        <v>11</v>
      </c>
      <c r="F2" s="760" t="s">
        <v>34</v>
      </c>
      <c r="G2" s="760" t="s">
        <v>0</v>
      </c>
      <c r="H2" s="761" t="s">
        <v>110</v>
      </c>
      <c r="I2" s="762" t="s">
        <v>111</v>
      </c>
      <c r="J2" s="761" t="s">
        <v>387</v>
      </c>
      <c r="K2" s="760" t="s">
        <v>1</v>
      </c>
      <c r="L2" s="760" t="s">
        <v>2</v>
      </c>
      <c r="M2" s="763" t="s">
        <v>532</v>
      </c>
      <c r="N2" s="764" t="s">
        <v>623</v>
      </c>
      <c r="O2" s="764" t="s">
        <v>542</v>
      </c>
      <c r="P2" s="764" t="s">
        <v>543</v>
      </c>
      <c r="Q2" s="765" t="s">
        <v>16</v>
      </c>
      <c r="R2" s="764" t="s">
        <v>13</v>
      </c>
      <c r="S2" s="766" t="s">
        <v>112</v>
      </c>
      <c r="T2" s="767" t="s">
        <v>14</v>
      </c>
      <c r="U2" s="764" t="s">
        <v>12</v>
      </c>
      <c r="V2" s="757" t="s">
        <v>533</v>
      </c>
      <c r="W2" s="768" t="s">
        <v>363</v>
      </c>
      <c r="X2" s="769" t="s">
        <v>624</v>
      </c>
      <c r="Y2" s="769" t="s">
        <v>546</v>
      </c>
      <c r="Z2" s="769" t="s">
        <v>545</v>
      </c>
      <c r="AA2" s="768" t="s">
        <v>175</v>
      </c>
      <c r="AB2" s="770" t="s">
        <v>18</v>
      </c>
      <c r="AC2" s="771" t="s">
        <v>19</v>
      </c>
      <c r="AD2" s="772" t="s">
        <v>113</v>
      </c>
      <c r="AE2" s="768" t="s">
        <v>176</v>
      </c>
      <c r="AF2" s="867" t="s">
        <v>991</v>
      </c>
      <c r="AG2" s="773" t="s">
        <v>22</v>
      </c>
      <c r="AH2" s="757" t="s">
        <v>534</v>
      </c>
      <c r="AI2" s="758" t="s">
        <v>143</v>
      </c>
      <c r="AJ2" s="758" t="s">
        <v>3</v>
      </c>
      <c r="AK2" s="757" t="s">
        <v>535</v>
      </c>
      <c r="AL2" s="774" t="s">
        <v>31</v>
      </c>
      <c r="AM2" s="757" t="s">
        <v>536</v>
      </c>
      <c r="AN2" s="775" t="s">
        <v>146</v>
      </c>
      <c r="AO2" s="757" t="s">
        <v>537</v>
      </c>
      <c r="AP2" s="776" t="s">
        <v>191</v>
      </c>
      <c r="AQ2" s="757" t="s">
        <v>538</v>
      </c>
      <c r="AR2" s="777" t="s">
        <v>32</v>
      </c>
      <c r="AS2" s="757" t="s">
        <v>539</v>
      </c>
      <c r="AT2" s="778" t="s">
        <v>192</v>
      </c>
      <c r="AU2" s="778" t="s">
        <v>729</v>
      </c>
      <c r="AV2" s="779" t="s">
        <v>730</v>
      </c>
      <c r="AW2" s="779" t="s">
        <v>736</v>
      </c>
    </row>
    <row r="3" spans="1:55" ht="15" customHeight="1" x14ac:dyDescent="0.3">
      <c r="A3" s="782"/>
      <c r="B3" s="780" t="str">
        <f>IFERROR(INDEX(Tabelle2[BU],MATCH(tbl_DCFC[[#This Row],[Categorie]],CAT,0)),"")</f>
        <v>INT</v>
      </c>
      <c r="C3" s="781"/>
      <c r="D3" s="782">
        <v>43831</v>
      </c>
      <c r="E3" s="781"/>
      <c r="F3" s="781"/>
      <c r="G3" s="781" t="s">
        <v>381</v>
      </c>
      <c r="H3" s="781"/>
      <c r="I3" s="783">
        <v>50000</v>
      </c>
      <c r="J3" s="781" t="s">
        <v>394</v>
      </c>
      <c r="K3" s="781" t="s">
        <v>582</v>
      </c>
      <c r="L3" s="792" t="s">
        <v>5</v>
      </c>
      <c r="M3" s="784"/>
      <c r="N3" s="789"/>
      <c r="O3" s="781">
        <f>IF(Data!$Q3="","",YEAR(Data!$Q3))</f>
        <v>2021</v>
      </c>
      <c r="P3" s="781">
        <f>IF(Data!$Q3="","",MONTH(Data!$Q3))</f>
        <v>2</v>
      </c>
      <c r="Q3" s="856">
        <v>44239</v>
      </c>
      <c r="R3" s="857" t="s">
        <v>444</v>
      </c>
      <c r="S3" s="858"/>
      <c r="T3" s="859"/>
      <c r="U3" s="860" t="s">
        <v>385</v>
      </c>
      <c r="V3" s="784"/>
      <c r="W3" s="786"/>
      <c r="X3" s="785" t="str">
        <f t="shared" ref="X3:X66" si="0">IF(AC3&lt;&gt;"","S"&amp;TEXT(WEEKNUM(AC3,21),"00"),"")</f>
        <v/>
      </c>
      <c r="Y3" s="785" t="str">
        <f>IF(Data!$AC3="","",YEAR(Data!$AC3))</f>
        <v/>
      </c>
      <c r="Z3" s="785" t="str">
        <f>IF(Data!$AC3="","",MONTH(Data!$AC3))</f>
        <v/>
      </c>
      <c r="AA3" s="786"/>
      <c r="AB3" s="787"/>
      <c r="AC3" s="786"/>
      <c r="AD3" s="866"/>
      <c r="AE3" s="786" t="s">
        <v>385</v>
      </c>
      <c r="AF3" s="784"/>
      <c r="AG3"/>
      <c r="AH3" s="784"/>
      <c r="AI3" s="788">
        <v>1</v>
      </c>
      <c r="AJ3" s="788" t="s">
        <v>393</v>
      </c>
      <c r="AK3" s="784"/>
      <c r="AL3" s="788"/>
      <c r="AM3" s="784"/>
      <c r="AN3" s="785"/>
      <c r="AO3" s="784"/>
      <c r="AP3" s="788"/>
      <c r="AQ3" s="784"/>
      <c r="AR3" s="790"/>
      <c r="AS3" s="784"/>
      <c r="AT3" s="791"/>
      <c r="AU3" s="791"/>
      <c r="AV3" s="804" t="str">
        <f t="shared" ref="AV3:AV34" si="1">IF(AT3="","",S3-AT3-AU3)</f>
        <v/>
      </c>
      <c r="AW3" s="847" t="str">
        <f>IFERROR(IF(tbl_DCFC[[#This Row],[F Montant HT]]="","",tbl_DCFC[[#This Row],[Marge]]/tbl_DCFC[[#This Row],[F Montant HT]]),"")</f>
        <v/>
      </c>
      <c r="AX3" s="258" t="s">
        <v>385</v>
      </c>
      <c r="AY3" s="258" t="s">
        <v>385</v>
      </c>
      <c r="AZ3" s="258" t="s">
        <v>385</v>
      </c>
      <c r="BA3" s="258" t="s">
        <v>385</v>
      </c>
      <c r="BC3" s="258" t="s">
        <v>385</v>
      </c>
    </row>
    <row r="4" spans="1:55" s="437" customFormat="1" ht="15" customHeight="1" x14ac:dyDescent="0.3">
      <c r="A4" s="782"/>
      <c r="B4" s="780" t="str">
        <f>IFERROR(INDEX(Tabelle2[BU],MATCH(tbl_DCFC[[#This Row],[Categorie]],CAT,0)),"")</f>
        <v>TOO</v>
      </c>
      <c r="C4" s="781"/>
      <c r="D4" s="782">
        <v>44215</v>
      </c>
      <c r="E4" s="781">
        <v>4524</v>
      </c>
      <c r="F4" s="781" t="s">
        <v>380</v>
      </c>
      <c r="G4" s="781" t="s">
        <v>114</v>
      </c>
      <c r="H4" s="781"/>
      <c r="I4" s="783">
        <v>2980</v>
      </c>
      <c r="J4" s="781" t="s">
        <v>260</v>
      </c>
      <c r="K4" s="781" t="s">
        <v>584</v>
      </c>
      <c r="L4" s="781" t="s">
        <v>6</v>
      </c>
      <c r="M4" s="780"/>
      <c r="N4" s="793" t="str">
        <f>IF(Q4&lt;&gt;"","S"&amp;TEXT(WEEKNUM(Q4,21),"00"),"")</f>
        <v/>
      </c>
      <c r="O4" s="793" t="str">
        <f>IF(Data!$Q4="","",YEAR(Data!$Q4))</f>
        <v/>
      </c>
      <c r="P4" s="793" t="str">
        <f>IF(Data!$Q4="","",MONTH(Data!$Q4))</f>
        <v/>
      </c>
      <c r="Q4" s="794"/>
      <c r="R4" s="795"/>
      <c r="S4" s="796"/>
      <c r="T4" s="797"/>
      <c r="U4" s="798"/>
      <c r="V4" s="780"/>
      <c r="W4" s="810"/>
      <c r="X4" s="793" t="str">
        <f t="shared" si="0"/>
        <v/>
      </c>
      <c r="Y4" s="793" t="str">
        <f>IF(Data!$AC4="","",YEAR(Data!$AC4))</f>
        <v/>
      </c>
      <c r="Z4" s="793" t="str">
        <f>IF(Data!$AC4="","",MONTH(Data!$AC4))</f>
        <v/>
      </c>
      <c r="AA4" s="810"/>
      <c r="AB4" s="811"/>
      <c r="AC4" s="810"/>
      <c r="AD4" s="812"/>
      <c r="AE4" s="794"/>
      <c r="AF4" s="784"/>
      <c r="AG4"/>
      <c r="AH4" s="780"/>
      <c r="AI4" s="801">
        <v>2</v>
      </c>
      <c r="AJ4" s="801" t="s">
        <v>404</v>
      </c>
      <c r="AK4" s="780"/>
      <c r="AL4" s="812"/>
      <c r="AM4" s="780"/>
      <c r="AN4" s="793"/>
      <c r="AO4" s="780"/>
      <c r="AP4" s="801" t="s">
        <v>405</v>
      </c>
      <c r="AQ4" s="780"/>
      <c r="AR4" s="802"/>
      <c r="AS4" s="780"/>
      <c r="AT4" s="803"/>
      <c r="AU4" s="803"/>
      <c r="AV4" s="804" t="str">
        <f t="shared" si="1"/>
        <v/>
      </c>
      <c r="AW4" s="847" t="str">
        <f>IFERROR(IF(tbl_DCFC[[#This Row],[F Montant HT]]="","",tbl_DCFC[[#This Row],[Marge]]/tbl_DCFC[[#This Row],[F Montant HT]]),"")</f>
        <v/>
      </c>
      <c r="AX4" s="437" t="s">
        <v>385</v>
      </c>
      <c r="AY4" s="437" t="s">
        <v>385</v>
      </c>
      <c r="AZ4" s="437" t="s">
        <v>385</v>
      </c>
      <c r="BA4" s="437" t="s">
        <v>385</v>
      </c>
      <c r="BC4" s="437" t="s">
        <v>385</v>
      </c>
    </row>
    <row r="5" spans="1:55" s="437" customFormat="1" ht="15" customHeight="1" x14ac:dyDescent="0.3">
      <c r="A5" s="782"/>
      <c r="B5" s="780" t="str">
        <f>IFERROR(INDEX(Tabelle2[BU],MATCH(tbl_DCFC[[#This Row],[Categorie]],CAT,0)),"")</f>
        <v>SER</v>
      </c>
      <c r="C5" s="781"/>
      <c r="D5" s="782">
        <v>44230</v>
      </c>
      <c r="E5" s="805">
        <v>4532</v>
      </c>
      <c r="F5" s="781" t="s">
        <v>380</v>
      </c>
      <c r="G5" s="781" t="s">
        <v>381</v>
      </c>
      <c r="H5" s="781"/>
      <c r="I5" s="783">
        <v>6900</v>
      </c>
      <c r="J5" s="781" t="s">
        <v>259</v>
      </c>
      <c r="K5" s="781" t="s">
        <v>574</v>
      </c>
      <c r="L5" s="781" t="s">
        <v>5</v>
      </c>
      <c r="M5" s="780"/>
      <c r="N5" s="781"/>
      <c r="O5" s="781">
        <f>IF(Data!$Q5="","",YEAR(Data!$Q5))</f>
        <v>2021</v>
      </c>
      <c r="P5" s="781">
        <f>IF(Data!$Q5="","",MONTH(Data!$Q5))</f>
        <v>2</v>
      </c>
      <c r="Q5" s="813">
        <v>44231</v>
      </c>
      <c r="R5" s="814" t="s">
        <v>692</v>
      </c>
      <c r="S5" s="815">
        <v>6900</v>
      </c>
      <c r="T5" s="816"/>
      <c r="U5" s="817"/>
      <c r="V5" s="780"/>
      <c r="W5" s="794"/>
      <c r="X5" s="793" t="str">
        <f t="shared" si="0"/>
        <v>S06</v>
      </c>
      <c r="Y5" s="793">
        <f>IF(Data!$AC5="","",YEAR(Data!$AC5))</f>
        <v>2022</v>
      </c>
      <c r="Z5" s="822">
        <f>IF(Data!$AC5="","",MONTH(Data!$AC5))</f>
        <v>2</v>
      </c>
      <c r="AA5" s="794">
        <v>44561</v>
      </c>
      <c r="AB5" s="800">
        <v>5196</v>
      </c>
      <c r="AC5" s="794">
        <v>44601</v>
      </c>
      <c r="AD5" s="796">
        <v>6900</v>
      </c>
      <c r="AE5" s="794">
        <v>44561</v>
      </c>
      <c r="AF5" s="784"/>
      <c r="AG5"/>
      <c r="AH5" s="780"/>
      <c r="AI5" s="806">
        <v>1</v>
      </c>
      <c r="AJ5" s="806" t="s">
        <v>693</v>
      </c>
      <c r="AK5" s="780"/>
      <c r="AL5" s="806"/>
      <c r="AM5" s="780"/>
      <c r="AN5" s="793"/>
      <c r="AO5" s="780"/>
      <c r="AP5" s="806"/>
      <c r="AQ5" s="780"/>
      <c r="AR5" s="808"/>
      <c r="AS5" s="780"/>
      <c r="AT5" s="809">
        <v>1415.21</v>
      </c>
      <c r="AU5" s="809">
        <v>4700</v>
      </c>
      <c r="AV5" s="804">
        <f t="shared" si="1"/>
        <v>784.79</v>
      </c>
      <c r="AW5" s="847">
        <f>IFERROR(IF(tbl_DCFC[[#This Row],[F Montant HT]]="","",tbl_DCFC[[#This Row],[Marge]]/tbl_DCFC[[#This Row],[F Montant HT]]),"")</f>
        <v>0.11373768115942029</v>
      </c>
      <c r="AX5" s="437" t="s">
        <v>385</v>
      </c>
      <c r="AY5" s="437" t="s">
        <v>385</v>
      </c>
      <c r="AZ5" s="437" t="s">
        <v>385</v>
      </c>
      <c r="BA5" s="437" t="s">
        <v>385</v>
      </c>
      <c r="BC5" s="437" t="s">
        <v>385</v>
      </c>
    </row>
    <row r="6" spans="1:55" s="437" customFormat="1" ht="15" customHeight="1" x14ac:dyDescent="0.3">
      <c r="A6" s="782"/>
      <c r="B6" s="780" t="str">
        <f>IFERROR(INDEX(Tabelle2[BU],MATCH(tbl_DCFC[[#This Row],[Categorie]],CAT,0)),"")</f>
        <v>SER</v>
      </c>
      <c r="C6" s="781"/>
      <c r="D6" s="782">
        <v>44236</v>
      </c>
      <c r="E6" s="781">
        <v>4537</v>
      </c>
      <c r="F6" s="781" t="s">
        <v>380</v>
      </c>
      <c r="G6" s="781" t="s">
        <v>384</v>
      </c>
      <c r="H6" s="781"/>
      <c r="I6" s="783"/>
      <c r="J6" s="781" t="s">
        <v>260</v>
      </c>
      <c r="K6" s="781" t="s">
        <v>574</v>
      </c>
      <c r="L6" s="781" t="s">
        <v>9</v>
      </c>
      <c r="M6" s="780"/>
      <c r="N6" s="793" t="str">
        <f>IF(Q6&lt;&gt;"","S"&amp;TEXT(WEEKNUM(Q6,21),"00"),"")</f>
        <v/>
      </c>
      <c r="O6" s="793" t="str">
        <f>IF(Data!$Q6="","",YEAR(Data!$Q6))</f>
        <v/>
      </c>
      <c r="P6" s="793" t="str">
        <f>IF(Data!$Q6="","",MONTH(Data!$Q6))</f>
        <v/>
      </c>
      <c r="Q6" s="794"/>
      <c r="R6" s="795"/>
      <c r="S6" s="796"/>
      <c r="T6" s="797"/>
      <c r="U6" s="798"/>
      <c r="V6" s="780"/>
      <c r="W6" s="794"/>
      <c r="X6" s="793" t="str">
        <f t="shared" si="0"/>
        <v/>
      </c>
      <c r="Y6" s="793" t="str">
        <f>IF(Data!$AC6="","",YEAR(Data!$AC6))</f>
        <v/>
      </c>
      <c r="Z6" s="793" t="str">
        <f>IF(Data!$AC6="","",MONTH(Data!$AC6))</f>
        <v/>
      </c>
      <c r="AA6" s="794"/>
      <c r="AB6" s="800"/>
      <c r="AC6" s="794"/>
      <c r="AD6" s="796"/>
      <c r="AE6" s="794"/>
      <c r="AF6" s="784"/>
      <c r="AG6"/>
      <c r="AH6" s="780"/>
      <c r="AI6" s="801">
        <v>1</v>
      </c>
      <c r="AJ6" s="801" t="s">
        <v>430</v>
      </c>
      <c r="AK6" s="780"/>
      <c r="AL6" s="801" t="s">
        <v>677</v>
      </c>
      <c r="AM6" s="780"/>
      <c r="AN6" s="793"/>
      <c r="AO6" s="780"/>
      <c r="AP6" s="801" t="s">
        <v>429</v>
      </c>
      <c r="AQ6" s="780"/>
      <c r="AR6" s="802"/>
      <c r="AS6" s="780"/>
      <c r="AT6" s="803"/>
      <c r="AU6" s="803"/>
      <c r="AV6" s="804" t="str">
        <f t="shared" si="1"/>
        <v/>
      </c>
      <c r="AW6" s="847" t="str">
        <f>IFERROR(IF(tbl_DCFC[[#This Row],[F Montant HT]]="","",tbl_DCFC[[#This Row],[Marge]]/tbl_DCFC[[#This Row],[F Montant HT]]),"")</f>
        <v/>
      </c>
      <c r="AX6" s="437" t="s">
        <v>385</v>
      </c>
      <c r="AY6" s="437" t="s">
        <v>385</v>
      </c>
      <c r="AZ6" s="437" t="s">
        <v>385</v>
      </c>
      <c r="BA6" s="437" t="s">
        <v>385</v>
      </c>
      <c r="BC6" s="437" t="s">
        <v>385</v>
      </c>
    </row>
    <row r="7" spans="1:55" s="437" customFormat="1" ht="15" customHeight="1" x14ac:dyDescent="0.3">
      <c r="A7" s="782"/>
      <c r="B7" s="780" t="str">
        <f>IFERROR(INDEX(Tabelle2[BU],MATCH(tbl_DCFC[[#This Row],[Categorie]],CAT,0)),"")</f>
        <v>SER</v>
      </c>
      <c r="C7" s="781"/>
      <c r="D7" s="782">
        <v>44260</v>
      </c>
      <c r="E7" s="781">
        <v>4553</v>
      </c>
      <c r="F7" s="781" t="s">
        <v>380</v>
      </c>
      <c r="G7" s="781" t="s">
        <v>398</v>
      </c>
      <c r="H7" s="781"/>
      <c r="I7" s="783">
        <v>1035.6500000000001</v>
      </c>
      <c r="J7" s="781" t="s">
        <v>260</v>
      </c>
      <c r="K7" s="781" t="s">
        <v>574</v>
      </c>
      <c r="L7" s="781" t="s">
        <v>5</v>
      </c>
      <c r="M7" s="780"/>
      <c r="N7" s="781"/>
      <c r="O7" s="781">
        <f>IF(Data!$Q7="","",YEAR(Data!$Q7))</f>
        <v>2021</v>
      </c>
      <c r="P7" s="781">
        <f>IF(Data!$Q7="","",MONTH(Data!$Q7))</f>
        <v>3</v>
      </c>
      <c r="Q7" s="813">
        <v>44267</v>
      </c>
      <c r="R7" s="814" t="s">
        <v>657</v>
      </c>
      <c r="S7" s="815">
        <v>1035.6500000000001</v>
      </c>
      <c r="T7" s="816"/>
      <c r="U7" s="817"/>
      <c r="V7" s="780"/>
      <c r="W7" s="794"/>
      <c r="X7" s="793" t="str">
        <f t="shared" si="0"/>
        <v/>
      </c>
      <c r="Y7" s="793" t="str">
        <f>IF(Data!$AC7="","",YEAR(Data!$AC7))</f>
        <v/>
      </c>
      <c r="Z7" s="793" t="str">
        <f>IF(Data!$AC7="","",MONTH(Data!$AC7))</f>
        <v/>
      </c>
      <c r="AA7" s="794"/>
      <c r="AB7" s="800"/>
      <c r="AC7" s="794"/>
      <c r="AD7" s="796"/>
      <c r="AE7" s="794">
        <v>44926</v>
      </c>
      <c r="AF7" s="784"/>
      <c r="AG7"/>
      <c r="AH7" s="780"/>
      <c r="AI7" s="806">
        <v>1</v>
      </c>
      <c r="AJ7" s="806" t="s">
        <v>463</v>
      </c>
      <c r="AK7" s="780"/>
      <c r="AL7" s="806"/>
      <c r="AM7" s="780"/>
      <c r="AN7" s="793"/>
      <c r="AO7" s="780"/>
      <c r="AP7" s="807"/>
      <c r="AQ7" s="780"/>
      <c r="AR7" s="808"/>
      <c r="AS7" s="780"/>
      <c r="AT7" s="809"/>
      <c r="AU7" s="809"/>
      <c r="AV7" s="804" t="str">
        <f t="shared" si="1"/>
        <v/>
      </c>
      <c r="AW7" s="847" t="str">
        <f>IFERROR(IF(tbl_DCFC[[#This Row],[F Montant HT]]="","",tbl_DCFC[[#This Row],[Marge]]/tbl_DCFC[[#This Row],[F Montant HT]]),"")</f>
        <v/>
      </c>
      <c r="AX7" s="437" t="s">
        <v>385</v>
      </c>
      <c r="AY7" s="437" t="s">
        <v>385</v>
      </c>
      <c r="AZ7" s="437" t="s">
        <v>385</v>
      </c>
      <c r="BA7" s="437" t="s">
        <v>385</v>
      </c>
      <c r="BC7" s="437" t="s">
        <v>385</v>
      </c>
    </row>
    <row r="8" spans="1:55" ht="15" customHeight="1" x14ac:dyDescent="0.3">
      <c r="A8" s="782"/>
      <c r="B8" s="780" t="str">
        <f>IFERROR(INDEX(Tabelle2[BU],MATCH(tbl_DCFC[[#This Row],[Categorie]],CAT,0)),"")</f>
        <v>TOO</v>
      </c>
      <c r="C8" s="781"/>
      <c r="D8" s="782">
        <v>44267</v>
      </c>
      <c r="E8" s="781">
        <v>4555</v>
      </c>
      <c r="F8" s="781" t="s">
        <v>380</v>
      </c>
      <c r="G8" s="781" t="s">
        <v>381</v>
      </c>
      <c r="H8" s="781" t="s">
        <v>114</v>
      </c>
      <c r="I8" s="783"/>
      <c r="J8" s="781" t="s">
        <v>260</v>
      </c>
      <c r="K8" s="781" t="s">
        <v>592</v>
      </c>
      <c r="L8" s="781" t="s">
        <v>7</v>
      </c>
      <c r="M8" s="780"/>
      <c r="N8" s="793" t="str">
        <f>IF(Q8&lt;&gt;"","S"&amp;TEXT(WEEKNUM(Q8,21),"00"),"")</f>
        <v/>
      </c>
      <c r="O8" s="793" t="str">
        <f>IF(Data!$Q8="","",YEAR(Data!$Q8))</f>
        <v/>
      </c>
      <c r="P8" s="793" t="str">
        <f>IF(Data!$Q8="","",MONTH(Data!$Q8))</f>
        <v/>
      </c>
      <c r="Q8" s="794"/>
      <c r="R8" s="795"/>
      <c r="S8" s="796"/>
      <c r="T8" s="797"/>
      <c r="U8" s="798"/>
      <c r="V8" s="780"/>
      <c r="W8" s="794"/>
      <c r="X8" s="793" t="str">
        <f t="shared" si="0"/>
        <v/>
      </c>
      <c r="Y8" s="793" t="str">
        <f>IF(Data!$AC8="","",YEAR(Data!$AC8))</f>
        <v/>
      </c>
      <c r="Z8" s="793" t="str">
        <f>IF(Data!$AC8="","",MONTH(Data!$AC8))</f>
        <v/>
      </c>
      <c r="AA8" s="794"/>
      <c r="AB8" s="800"/>
      <c r="AC8" s="794"/>
      <c r="AD8" s="796"/>
      <c r="AE8" s="794"/>
      <c r="AF8" s="784"/>
      <c r="AG8"/>
      <c r="AH8" s="780"/>
      <c r="AI8" s="806">
        <v>1</v>
      </c>
      <c r="AJ8" s="806" t="s">
        <v>392</v>
      </c>
      <c r="AK8" s="780"/>
      <c r="AL8" s="806" t="s">
        <v>994</v>
      </c>
      <c r="AM8" s="780"/>
      <c r="AN8" s="793"/>
      <c r="AO8" s="780"/>
      <c r="AP8" s="806" t="s">
        <v>484</v>
      </c>
      <c r="AQ8" s="780"/>
      <c r="AR8" s="808"/>
      <c r="AS8" s="780"/>
      <c r="AT8" s="809"/>
      <c r="AU8" s="809"/>
      <c r="AV8" s="804" t="str">
        <f t="shared" si="1"/>
        <v/>
      </c>
      <c r="AW8" s="847" t="str">
        <f>IFERROR(IF(tbl_DCFC[[#This Row],[F Montant HT]]="","",tbl_DCFC[[#This Row],[Marge]]/tbl_DCFC[[#This Row],[F Montant HT]]),"")</f>
        <v/>
      </c>
      <c r="AX8" s="258" t="s">
        <v>385</v>
      </c>
      <c r="AY8" s="258" t="s">
        <v>385</v>
      </c>
      <c r="AZ8" s="258" t="s">
        <v>385</v>
      </c>
      <c r="BA8" s="258" t="s">
        <v>385</v>
      </c>
      <c r="BC8" s="258" t="s">
        <v>385</v>
      </c>
    </row>
    <row r="9" spans="1:55" ht="15" customHeight="1" x14ac:dyDescent="0.3">
      <c r="A9" s="782"/>
      <c r="B9" s="780" t="str">
        <f>IFERROR(INDEX(Tabelle2[BU],MATCH(tbl_DCFC[[#This Row],[Categorie]],CAT,0)),"")</f>
        <v>SER</v>
      </c>
      <c r="C9" s="781"/>
      <c r="D9" s="782">
        <v>44292</v>
      </c>
      <c r="E9" s="805">
        <v>4561</v>
      </c>
      <c r="F9" s="781" t="s">
        <v>380</v>
      </c>
      <c r="G9" s="781" t="s">
        <v>114</v>
      </c>
      <c r="H9" s="781"/>
      <c r="I9" s="783"/>
      <c r="J9" s="781" t="s">
        <v>260</v>
      </c>
      <c r="K9" s="781" t="s">
        <v>569</v>
      </c>
      <c r="L9" s="781" t="s">
        <v>9</v>
      </c>
      <c r="M9" s="780"/>
      <c r="N9" s="793" t="str">
        <f>IF(Q9&lt;&gt;"","S"&amp;TEXT(WEEKNUM(Q9,21),"00"),"")</f>
        <v/>
      </c>
      <c r="O9" s="793" t="str">
        <f>IF(Data!$Q9="","",YEAR(Data!$Q9))</f>
        <v/>
      </c>
      <c r="P9" s="793" t="str">
        <f>IF(Data!$Q9="","",MONTH(Data!$Q9))</f>
        <v/>
      </c>
      <c r="Q9" s="794"/>
      <c r="R9" s="795"/>
      <c r="S9" s="796"/>
      <c r="T9" s="797"/>
      <c r="U9" s="798"/>
      <c r="V9" s="780"/>
      <c r="W9" s="794"/>
      <c r="X9" s="793" t="str">
        <f t="shared" si="0"/>
        <v/>
      </c>
      <c r="Y9" s="793" t="str">
        <f>IF(Data!$AC9="","",YEAR(Data!$AC9))</f>
        <v/>
      </c>
      <c r="Z9" s="822" t="str">
        <f>IF(Data!$AC9="","",MONTH(Data!$AC9))</f>
        <v/>
      </c>
      <c r="AA9" s="794"/>
      <c r="AB9" s="800"/>
      <c r="AC9" s="794"/>
      <c r="AD9" s="796"/>
      <c r="AE9" s="794"/>
      <c r="AF9" s="784"/>
      <c r="AG9"/>
      <c r="AH9" s="780"/>
      <c r="AI9" s="806">
        <v>1</v>
      </c>
      <c r="AJ9" s="806" t="s">
        <v>676</v>
      </c>
      <c r="AK9" s="780"/>
      <c r="AL9" s="818" t="s">
        <v>836</v>
      </c>
      <c r="AM9" s="780"/>
      <c r="AN9" s="793"/>
      <c r="AO9" s="780"/>
      <c r="AP9" s="806" t="s">
        <v>568</v>
      </c>
      <c r="AQ9" s="780"/>
      <c r="AR9" s="808"/>
      <c r="AS9" s="780"/>
      <c r="AT9" s="809"/>
      <c r="AU9" s="809"/>
      <c r="AV9" s="804" t="str">
        <f t="shared" si="1"/>
        <v/>
      </c>
      <c r="AW9" s="847" t="str">
        <f>IFERROR(IF(tbl_DCFC[[#This Row],[F Montant HT]]="","",tbl_DCFC[[#This Row],[Marge]]/tbl_DCFC[[#This Row],[F Montant HT]]),"")</f>
        <v/>
      </c>
      <c r="AX9" s="258" t="s">
        <v>385</v>
      </c>
      <c r="AY9" s="258" t="s">
        <v>385</v>
      </c>
      <c r="AZ9" s="258" t="s">
        <v>385</v>
      </c>
      <c r="BA9" s="258" t="s">
        <v>385</v>
      </c>
    </row>
    <row r="10" spans="1:55" ht="15" customHeight="1" x14ac:dyDescent="0.3">
      <c r="A10" s="782"/>
      <c r="B10" s="780" t="str">
        <f>IFERROR(INDEX(Tabelle2[BU],MATCH(tbl_DCFC[[#This Row],[Categorie]],CAT,0)),"")</f>
        <v>TOO</v>
      </c>
      <c r="C10" s="781"/>
      <c r="D10" s="782">
        <v>44298</v>
      </c>
      <c r="E10" s="805">
        <v>4569</v>
      </c>
      <c r="F10" s="781" t="s">
        <v>380</v>
      </c>
      <c r="G10" s="781" t="s">
        <v>571</v>
      </c>
      <c r="H10" s="781"/>
      <c r="I10" s="783">
        <v>3236</v>
      </c>
      <c r="J10" s="781" t="s">
        <v>260</v>
      </c>
      <c r="K10" s="781" t="s">
        <v>592</v>
      </c>
      <c r="L10" s="781" t="s">
        <v>5</v>
      </c>
      <c r="M10" s="780"/>
      <c r="N10" s="781"/>
      <c r="O10" s="781">
        <f>IF(Data!$Q10="","",YEAR(Data!$Q10))</f>
        <v>2021</v>
      </c>
      <c r="P10" s="781">
        <f>IF(Data!$Q10="","",MONTH(Data!$Q10))</f>
        <v>9</v>
      </c>
      <c r="Q10" s="813">
        <v>44453</v>
      </c>
      <c r="R10" s="814" t="s">
        <v>694</v>
      </c>
      <c r="S10" s="815">
        <v>3236</v>
      </c>
      <c r="T10" s="816"/>
      <c r="U10" s="817"/>
      <c r="V10" s="780"/>
      <c r="W10" s="794"/>
      <c r="X10" s="793" t="str">
        <f t="shared" si="0"/>
        <v>S09</v>
      </c>
      <c r="Y10" s="793">
        <f>IF(Data!$AC10="","",YEAR(Data!$AC10))</f>
        <v>2022</v>
      </c>
      <c r="Z10" s="822">
        <f>IF(Data!$AC10="","",MONTH(Data!$AC10))</f>
        <v>2</v>
      </c>
      <c r="AA10" s="794">
        <v>44620</v>
      </c>
      <c r="AB10" s="800">
        <v>5208</v>
      </c>
      <c r="AC10" s="794">
        <v>44620</v>
      </c>
      <c r="AD10" s="796">
        <v>3236</v>
      </c>
      <c r="AE10" s="794">
        <v>44592</v>
      </c>
      <c r="AF10" s="784"/>
      <c r="AG10"/>
      <c r="AH10" s="780"/>
      <c r="AI10" s="806">
        <v>1</v>
      </c>
      <c r="AJ10" s="806" t="s">
        <v>572</v>
      </c>
      <c r="AK10" s="780"/>
      <c r="AL10" s="806"/>
      <c r="AM10" s="780"/>
      <c r="AN10" s="793"/>
      <c r="AO10" s="780"/>
      <c r="AP10" s="806" t="s">
        <v>573</v>
      </c>
      <c r="AQ10" s="780"/>
      <c r="AR10" s="808"/>
      <c r="AS10" s="780"/>
      <c r="AT10" s="809">
        <v>911</v>
      </c>
      <c r="AU10" s="809"/>
      <c r="AV10" s="804">
        <f t="shared" si="1"/>
        <v>2325</v>
      </c>
      <c r="AW10" s="847">
        <f>IFERROR(IF(tbl_DCFC[[#This Row],[F Montant HT]]="","",tbl_DCFC[[#This Row],[Marge]]/tbl_DCFC[[#This Row],[F Montant HT]]),"")</f>
        <v>0.71847960444993819</v>
      </c>
      <c r="AX10" s="258" t="s">
        <v>385</v>
      </c>
      <c r="AY10" s="258" t="s">
        <v>385</v>
      </c>
      <c r="AZ10" s="258" t="s">
        <v>385</v>
      </c>
      <c r="BA10" s="258" t="s">
        <v>385</v>
      </c>
    </row>
    <row r="11" spans="1:55" s="437" customFormat="1" ht="15" customHeight="1" x14ac:dyDescent="0.3">
      <c r="A11" s="782"/>
      <c r="B11" s="780" t="str">
        <f>IFERROR(INDEX(Tabelle2[BU],MATCH(tbl_DCFC[[#This Row],[Categorie]],CAT,0)),"")</f>
        <v>SER</v>
      </c>
      <c r="C11" s="781"/>
      <c r="D11" s="782">
        <v>44300</v>
      </c>
      <c r="E11" s="805">
        <v>4571</v>
      </c>
      <c r="F11" s="781" t="s">
        <v>380</v>
      </c>
      <c r="G11" s="781" t="s">
        <v>381</v>
      </c>
      <c r="H11" s="781"/>
      <c r="I11" s="783">
        <v>1200</v>
      </c>
      <c r="J11" s="781" t="s">
        <v>259</v>
      </c>
      <c r="K11" s="781" t="s">
        <v>574</v>
      </c>
      <c r="L11" s="781" t="s">
        <v>5</v>
      </c>
      <c r="M11" s="780"/>
      <c r="N11" s="781"/>
      <c r="O11" s="781">
        <f>IF(Data!$Q11="","",YEAR(Data!$Q11))</f>
        <v>2021</v>
      </c>
      <c r="P11" s="781">
        <f>IF(Data!$Q11="","",MONTH(Data!$Q11))</f>
        <v>4</v>
      </c>
      <c r="Q11" s="813">
        <v>44300</v>
      </c>
      <c r="R11" s="814" t="s">
        <v>578</v>
      </c>
      <c r="S11" s="815">
        <v>1200</v>
      </c>
      <c r="T11" s="816"/>
      <c r="U11" s="817"/>
      <c r="V11" s="780"/>
      <c r="W11" s="794"/>
      <c r="X11" s="793" t="str">
        <f t="shared" si="0"/>
        <v>S10</v>
      </c>
      <c r="Y11" s="793">
        <f>IF(Data!$AC11="","",YEAR(Data!$AC11))</f>
        <v>2022</v>
      </c>
      <c r="Z11" s="822">
        <f>IF(Data!$AC11="","",MONTH(Data!$AC11))</f>
        <v>3</v>
      </c>
      <c r="AA11" s="794">
        <v>44319</v>
      </c>
      <c r="AB11" s="800">
        <v>5212</v>
      </c>
      <c r="AC11" s="794">
        <v>44629</v>
      </c>
      <c r="AD11" s="796">
        <v>1200</v>
      </c>
      <c r="AE11" s="794"/>
      <c r="AF11" s="784"/>
      <c r="AG11"/>
      <c r="AH11" s="780"/>
      <c r="AI11" s="806">
        <v>1</v>
      </c>
      <c r="AJ11" s="806" t="s">
        <v>576</v>
      </c>
      <c r="AK11" s="780"/>
      <c r="AL11" s="806"/>
      <c r="AM11" s="780"/>
      <c r="AN11" s="793"/>
      <c r="AO11" s="780"/>
      <c r="AP11" s="806" t="s">
        <v>577</v>
      </c>
      <c r="AQ11" s="780"/>
      <c r="AR11" s="808"/>
      <c r="AS11" s="780"/>
      <c r="AT11" s="809">
        <v>660</v>
      </c>
      <c r="AU11" s="809">
        <v>362.5</v>
      </c>
      <c r="AV11" s="804">
        <f t="shared" si="1"/>
        <v>177.5</v>
      </c>
      <c r="AW11" s="847">
        <f>IFERROR(IF(tbl_DCFC[[#This Row],[F Montant HT]]="","",tbl_DCFC[[#This Row],[Marge]]/tbl_DCFC[[#This Row],[F Montant HT]]),"")</f>
        <v>0.14791666666666667</v>
      </c>
      <c r="AX11" s="437" t="s">
        <v>385</v>
      </c>
      <c r="AY11" s="437" t="s">
        <v>385</v>
      </c>
      <c r="AZ11" s="437" t="s">
        <v>385</v>
      </c>
      <c r="BA11" s="437" t="s">
        <v>385</v>
      </c>
    </row>
    <row r="12" spans="1:55" ht="15" customHeight="1" x14ac:dyDescent="0.3">
      <c r="A12" s="782"/>
      <c r="B12" s="780" t="str">
        <f>IFERROR(INDEX(Tabelle2[BU],MATCH(tbl_DCFC[[#This Row],[Categorie]],CAT,0)),"")</f>
        <v>SER</v>
      </c>
      <c r="C12" s="781"/>
      <c r="D12" s="782">
        <v>44365</v>
      </c>
      <c r="E12" s="805">
        <v>4604</v>
      </c>
      <c r="F12" s="781" t="s">
        <v>380</v>
      </c>
      <c r="G12" s="781" t="s">
        <v>570</v>
      </c>
      <c r="H12" s="781"/>
      <c r="I12" s="783">
        <v>1945</v>
      </c>
      <c r="J12" s="781" t="s">
        <v>259</v>
      </c>
      <c r="K12" s="781" t="s">
        <v>574</v>
      </c>
      <c r="L12" s="781" t="s">
        <v>5</v>
      </c>
      <c r="M12" s="780"/>
      <c r="N12" s="781"/>
      <c r="O12" s="781">
        <f>IF(Data!$Q12="","",YEAR(Data!$Q12))</f>
        <v>2021</v>
      </c>
      <c r="P12" s="781">
        <f>IF(Data!$Q12="","",MONTH(Data!$Q12))</f>
        <v>6</v>
      </c>
      <c r="Q12" s="813">
        <v>44365</v>
      </c>
      <c r="R12" s="814" t="s">
        <v>671</v>
      </c>
      <c r="S12" s="815">
        <v>1945</v>
      </c>
      <c r="T12" s="816"/>
      <c r="U12" s="817"/>
      <c r="V12" s="780"/>
      <c r="W12" s="794">
        <v>44364</v>
      </c>
      <c r="X12" s="793" t="str">
        <f t="shared" si="0"/>
        <v>S06</v>
      </c>
      <c r="Y12" s="793">
        <f>IF(Data!$AC12="","",YEAR(Data!$AC12))</f>
        <v>2022</v>
      </c>
      <c r="Z12" s="822">
        <f>IF(Data!$AC12="","",MONTH(Data!$AC12))</f>
        <v>2</v>
      </c>
      <c r="AA12" s="794">
        <v>44595</v>
      </c>
      <c r="AB12" s="800">
        <v>5197</v>
      </c>
      <c r="AC12" s="794">
        <v>44601</v>
      </c>
      <c r="AD12" s="796">
        <v>1945</v>
      </c>
      <c r="AE12" s="794">
        <v>44620</v>
      </c>
      <c r="AF12" s="784"/>
      <c r="AG12"/>
      <c r="AH12" s="780"/>
      <c r="AI12" s="801">
        <v>1</v>
      </c>
      <c r="AJ12" s="801" t="s">
        <v>672</v>
      </c>
      <c r="AK12" s="780"/>
      <c r="AL12" s="801"/>
      <c r="AM12" s="780"/>
      <c r="AN12" s="793"/>
      <c r="AO12" s="780"/>
      <c r="AP12" s="801" t="s">
        <v>673</v>
      </c>
      <c r="AQ12" s="780"/>
      <c r="AR12" s="802"/>
      <c r="AS12" s="780"/>
      <c r="AT12" s="803">
        <v>576</v>
      </c>
      <c r="AU12" s="803">
        <v>62.5</v>
      </c>
      <c r="AV12" s="804">
        <f t="shared" si="1"/>
        <v>1306.5</v>
      </c>
      <c r="AW12" s="847">
        <f>IFERROR(IF(tbl_DCFC[[#This Row],[F Montant HT]]="","",tbl_DCFC[[#This Row],[Marge]]/tbl_DCFC[[#This Row],[F Montant HT]]),"")</f>
        <v>0.67172236503856042</v>
      </c>
    </row>
    <row r="13" spans="1:55" ht="15" customHeight="1" x14ac:dyDescent="0.3">
      <c r="A13" s="782"/>
      <c r="B13" s="780" t="str">
        <f>IFERROR(INDEX(Tabelle2[BU],MATCH(tbl_DCFC[[#This Row],[Categorie]],CAT,0)),"")</f>
        <v>GSE</v>
      </c>
      <c r="C13" s="781"/>
      <c r="D13" s="782">
        <v>44365</v>
      </c>
      <c r="E13" s="805">
        <v>4605</v>
      </c>
      <c r="F13" s="781" t="s">
        <v>380</v>
      </c>
      <c r="G13" s="781" t="s">
        <v>114</v>
      </c>
      <c r="H13" s="781"/>
      <c r="I13" s="783">
        <v>48920</v>
      </c>
      <c r="J13" s="781" t="s">
        <v>260</v>
      </c>
      <c r="K13" s="781" t="s">
        <v>518</v>
      </c>
      <c r="L13" s="781" t="s">
        <v>6</v>
      </c>
      <c r="M13" s="780"/>
      <c r="N13" s="793" t="str">
        <f>IF(Q13&lt;&gt;"","S"&amp;TEXT(WEEKNUM(Q13,21),"00"),"")</f>
        <v/>
      </c>
      <c r="O13" s="793" t="str">
        <f>IF(Data!$Q13="","",YEAR(Data!$Q13))</f>
        <v/>
      </c>
      <c r="P13" s="793" t="str">
        <f>IF(Data!$Q13="","",MONTH(Data!$Q13))</f>
        <v/>
      </c>
      <c r="Q13" s="794"/>
      <c r="R13" s="795"/>
      <c r="S13" s="796"/>
      <c r="T13" s="797"/>
      <c r="U13" s="798"/>
      <c r="V13" s="780"/>
      <c r="W13" s="794"/>
      <c r="X13" s="793" t="str">
        <f t="shared" si="0"/>
        <v/>
      </c>
      <c r="Y13" s="793" t="str">
        <f>IF(Data!$AC13="","",YEAR(Data!$AC13))</f>
        <v/>
      </c>
      <c r="Z13" s="822" t="str">
        <f>IF(Data!$AC13="","",MONTH(Data!$AC13))</f>
        <v/>
      </c>
      <c r="AA13" s="794"/>
      <c r="AB13" s="800"/>
      <c r="AC13" s="794"/>
      <c r="AD13" s="796"/>
      <c r="AE13" s="794"/>
      <c r="AF13" s="784"/>
      <c r="AG13"/>
      <c r="AH13" s="780"/>
      <c r="AI13" s="801">
        <v>8</v>
      </c>
      <c r="AJ13" s="801" t="s">
        <v>674</v>
      </c>
      <c r="AK13" s="780"/>
      <c r="AL13" s="801"/>
      <c r="AM13" s="780"/>
      <c r="AN13" s="793"/>
      <c r="AO13" s="780"/>
      <c r="AP13" s="801" t="s">
        <v>675</v>
      </c>
      <c r="AQ13" s="780"/>
      <c r="AR13" s="802"/>
      <c r="AS13" s="780"/>
      <c r="AT13" s="803"/>
      <c r="AU13" s="803"/>
      <c r="AV13" s="804" t="str">
        <f t="shared" si="1"/>
        <v/>
      </c>
      <c r="AW13" s="847" t="str">
        <f>IFERROR(IF(tbl_DCFC[[#This Row],[F Montant HT]]="","",tbl_DCFC[[#This Row],[Marge]]/tbl_DCFC[[#This Row],[F Montant HT]]),"")</f>
        <v/>
      </c>
      <c r="AX13" s="258" t="s">
        <v>385</v>
      </c>
      <c r="AY13" s="258" t="s">
        <v>385</v>
      </c>
      <c r="AZ13" s="258" t="s">
        <v>385</v>
      </c>
      <c r="BA13" s="258" t="s">
        <v>385</v>
      </c>
    </row>
    <row r="14" spans="1:55" ht="15" customHeight="1" x14ac:dyDescent="0.3">
      <c r="A14" s="782"/>
      <c r="B14" s="780" t="str">
        <f>IFERROR(INDEX(Tabelle2[BU],MATCH(tbl_DCFC[[#This Row],[Categorie]],CAT,0)),"")</f>
        <v>SER</v>
      </c>
      <c r="C14" s="781"/>
      <c r="D14" s="782">
        <v>44396</v>
      </c>
      <c r="E14" s="805">
        <v>4620</v>
      </c>
      <c r="F14" s="781" t="s">
        <v>380</v>
      </c>
      <c r="G14" s="781" t="s">
        <v>398</v>
      </c>
      <c r="H14" s="781"/>
      <c r="I14" s="783">
        <v>492</v>
      </c>
      <c r="J14" s="781" t="s">
        <v>260</v>
      </c>
      <c r="K14" s="781" t="s">
        <v>574</v>
      </c>
      <c r="L14" s="781" t="s">
        <v>5</v>
      </c>
      <c r="M14" s="780"/>
      <c r="N14" s="781"/>
      <c r="O14" s="781">
        <f>IF(Data!$Q14="","",YEAR(Data!$Q14))</f>
        <v>2021</v>
      </c>
      <c r="P14" s="781">
        <f>IF(Data!$Q14="","",MONTH(Data!$Q14))</f>
        <v>10</v>
      </c>
      <c r="Q14" s="813">
        <v>44473</v>
      </c>
      <c r="R14" s="814" t="s">
        <v>701</v>
      </c>
      <c r="S14" s="815">
        <v>492</v>
      </c>
      <c r="T14" s="816"/>
      <c r="U14" s="817"/>
      <c r="V14" s="780"/>
      <c r="W14" s="794"/>
      <c r="X14" s="793" t="str">
        <f t="shared" si="0"/>
        <v/>
      </c>
      <c r="Y14" s="793" t="str">
        <f>IF(Data!$AC14="","",YEAR(Data!$AC14))</f>
        <v/>
      </c>
      <c r="Z14" s="822" t="str">
        <f>IF(Data!$AC14="","",MONTH(Data!$AC14))</f>
        <v/>
      </c>
      <c r="AA14" s="794"/>
      <c r="AB14" s="800"/>
      <c r="AC14" s="794"/>
      <c r="AD14" s="796"/>
      <c r="AE14" s="794">
        <v>44926</v>
      </c>
      <c r="AF14" s="784"/>
      <c r="AG14"/>
      <c r="AH14" s="780"/>
      <c r="AI14" s="806">
        <v>1</v>
      </c>
      <c r="AJ14" s="806" t="s">
        <v>678</v>
      </c>
      <c r="AK14" s="780"/>
      <c r="AL14" s="806"/>
      <c r="AM14" s="780"/>
      <c r="AN14" s="793"/>
      <c r="AO14" s="780"/>
      <c r="AP14" s="806"/>
      <c r="AQ14" s="780"/>
      <c r="AR14" s="808"/>
      <c r="AS14" s="780"/>
      <c r="AT14" s="809"/>
      <c r="AU14" s="809"/>
      <c r="AV14" s="804" t="str">
        <f t="shared" si="1"/>
        <v/>
      </c>
      <c r="AW14" s="847" t="str">
        <f>IFERROR(IF(tbl_DCFC[[#This Row],[F Montant HT]]="","",tbl_DCFC[[#This Row],[Marge]]/tbl_DCFC[[#This Row],[F Montant HT]]),"")</f>
        <v/>
      </c>
      <c r="AX14" s="258" t="s">
        <v>385</v>
      </c>
      <c r="AY14" s="258" t="s">
        <v>385</v>
      </c>
      <c r="AZ14" s="258" t="s">
        <v>385</v>
      </c>
      <c r="BA14" s="258" t="s">
        <v>385</v>
      </c>
    </row>
    <row r="15" spans="1:55" ht="15" customHeight="1" x14ac:dyDescent="0.3">
      <c r="A15" s="782"/>
      <c r="B15" s="780" t="str">
        <f>IFERROR(INDEX(Tabelle2[BU],MATCH(tbl_DCFC[[#This Row],[Categorie]],CAT,0)),"")</f>
        <v>SER</v>
      </c>
      <c r="C15" s="781"/>
      <c r="D15" s="782">
        <v>44404</v>
      </c>
      <c r="E15" s="805">
        <v>4623</v>
      </c>
      <c r="F15" s="781" t="s">
        <v>380</v>
      </c>
      <c r="G15" s="781" t="s">
        <v>398</v>
      </c>
      <c r="H15" s="781"/>
      <c r="I15" s="783">
        <v>360.65</v>
      </c>
      <c r="J15" s="781" t="s">
        <v>260</v>
      </c>
      <c r="K15" s="781" t="s">
        <v>574</v>
      </c>
      <c r="L15" s="781" t="s">
        <v>5</v>
      </c>
      <c r="M15" s="780"/>
      <c r="N15" s="781"/>
      <c r="O15" s="781">
        <f>IF(Data!$Q15="","",YEAR(Data!$Q15))</f>
        <v>2021</v>
      </c>
      <c r="P15" s="781">
        <f>IF(Data!$Q15="","",MONTH(Data!$Q15))</f>
        <v>10</v>
      </c>
      <c r="Q15" s="813">
        <v>44473</v>
      </c>
      <c r="R15" s="814" t="s">
        <v>702</v>
      </c>
      <c r="S15" s="815">
        <v>361</v>
      </c>
      <c r="T15" s="816"/>
      <c r="U15" s="817"/>
      <c r="V15" s="780"/>
      <c r="W15" s="794"/>
      <c r="X15" s="793" t="str">
        <f t="shared" si="0"/>
        <v/>
      </c>
      <c r="Y15" s="793" t="str">
        <f>IF(Data!$AC15="","",YEAR(Data!$AC15))</f>
        <v/>
      </c>
      <c r="Z15" s="822" t="str">
        <f>IF(Data!$AC15="","",MONTH(Data!$AC15))</f>
        <v/>
      </c>
      <c r="AA15" s="794"/>
      <c r="AB15" s="800"/>
      <c r="AC15" s="794"/>
      <c r="AD15" s="796"/>
      <c r="AE15" s="794">
        <v>44926</v>
      </c>
      <c r="AF15" s="784"/>
      <c r="AG15"/>
      <c r="AH15" s="780"/>
      <c r="AI15" s="801">
        <v>1</v>
      </c>
      <c r="AJ15" s="801" t="s">
        <v>679</v>
      </c>
      <c r="AK15" s="780"/>
      <c r="AL15" s="801"/>
      <c r="AM15" s="780"/>
      <c r="AN15" s="793"/>
      <c r="AO15" s="780"/>
      <c r="AP15" s="801"/>
      <c r="AQ15" s="780"/>
      <c r="AR15" s="802"/>
      <c r="AS15" s="780"/>
      <c r="AT15" s="803"/>
      <c r="AU15" s="803"/>
      <c r="AV15" s="804" t="str">
        <f t="shared" si="1"/>
        <v/>
      </c>
      <c r="AW15" s="847" t="str">
        <f>IFERROR(IF(tbl_DCFC[[#This Row],[F Montant HT]]="","",tbl_DCFC[[#This Row],[Marge]]/tbl_DCFC[[#This Row],[F Montant HT]]),"")</f>
        <v/>
      </c>
      <c r="AX15" s="258" t="s">
        <v>385</v>
      </c>
      <c r="AY15" s="258" t="s">
        <v>385</v>
      </c>
      <c r="AZ15" s="258" t="s">
        <v>385</v>
      </c>
      <c r="BA15" s="258" t="s">
        <v>385</v>
      </c>
    </row>
    <row r="16" spans="1:55" ht="15" customHeight="1" x14ac:dyDescent="0.3">
      <c r="A16" s="782"/>
      <c r="B16" s="780" t="str">
        <f>IFERROR(INDEX(Tabelle2[BU],MATCH(tbl_DCFC[[#This Row],[Categorie]],CAT,0)),"")</f>
        <v>SER</v>
      </c>
      <c r="C16" s="781"/>
      <c r="D16" s="782">
        <v>44411</v>
      </c>
      <c r="E16" s="805">
        <v>4630</v>
      </c>
      <c r="F16" s="781" t="s">
        <v>380</v>
      </c>
      <c r="G16" s="781" t="s">
        <v>389</v>
      </c>
      <c r="H16" s="781"/>
      <c r="I16" s="783"/>
      <c r="J16" s="781" t="s">
        <v>260</v>
      </c>
      <c r="K16" s="781" t="s">
        <v>574</v>
      </c>
      <c r="L16" s="781" t="s">
        <v>9</v>
      </c>
      <c r="M16" s="780"/>
      <c r="N16" s="793" t="str">
        <f t="shared" ref="N16:N24" si="2">IF(Q16&lt;&gt;"","S"&amp;TEXT(WEEKNUM(Q16,21),"00"),"")</f>
        <v/>
      </c>
      <c r="O16" s="793" t="str">
        <f>IF(Data!$Q16="","",YEAR(Data!$Q16))</f>
        <v/>
      </c>
      <c r="P16" s="793" t="str">
        <f>IF(Data!$Q16="","",MONTH(Data!$Q16))</f>
        <v/>
      </c>
      <c r="Q16" s="794"/>
      <c r="R16" s="795"/>
      <c r="S16" s="796"/>
      <c r="T16" s="797"/>
      <c r="U16" s="798"/>
      <c r="V16" s="780"/>
      <c r="W16" s="794"/>
      <c r="X16" s="793" t="str">
        <f t="shared" si="0"/>
        <v/>
      </c>
      <c r="Y16" s="793" t="str">
        <f>IF(Data!$AC16="","",YEAR(Data!$AC16))</f>
        <v/>
      </c>
      <c r="Z16" s="822" t="str">
        <f>IF(Data!$AC16="","",MONTH(Data!$AC16))</f>
        <v/>
      </c>
      <c r="AA16" s="794"/>
      <c r="AB16" s="800"/>
      <c r="AC16" s="794"/>
      <c r="AD16" s="796"/>
      <c r="AE16" s="794"/>
      <c r="AF16" s="784"/>
      <c r="AG16"/>
      <c r="AH16" s="780"/>
      <c r="AI16" s="801">
        <v>3</v>
      </c>
      <c r="AJ16" s="801" t="s">
        <v>683</v>
      </c>
      <c r="AK16" s="780"/>
      <c r="AL16" s="801" t="s">
        <v>960</v>
      </c>
      <c r="AM16" s="780"/>
      <c r="AN16" s="793"/>
      <c r="AO16" s="780"/>
      <c r="AP16" s="801" t="s">
        <v>682</v>
      </c>
      <c r="AQ16" s="780"/>
      <c r="AR16" s="802"/>
      <c r="AS16" s="780"/>
      <c r="AT16" s="803"/>
      <c r="AU16" s="803"/>
      <c r="AV16" s="804" t="str">
        <f t="shared" si="1"/>
        <v/>
      </c>
      <c r="AW16" s="847" t="str">
        <f>IFERROR(IF(tbl_DCFC[[#This Row],[F Montant HT]]="","",tbl_DCFC[[#This Row],[Marge]]/tbl_DCFC[[#This Row],[F Montant HT]]),"")</f>
        <v/>
      </c>
      <c r="AX16" s="258">
        <v>-7</v>
      </c>
      <c r="AY16" s="258" t="s">
        <v>385</v>
      </c>
      <c r="AZ16" s="258" t="s">
        <v>385</v>
      </c>
      <c r="BA16" s="258">
        <v>-7</v>
      </c>
    </row>
    <row r="17" spans="1:53" ht="15" customHeight="1" x14ac:dyDescent="0.3">
      <c r="A17" s="782"/>
      <c r="B17" s="780" t="str">
        <f>IFERROR(INDEX(Tabelle2[BU],MATCH(tbl_DCFC[[#This Row],[Categorie]],CAT,0)),"")</f>
        <v>SER</v>
      </c>
      <c r="C17" s="781"/>
      <c r="D17" s="782">
        <v>44411</v>
      </c>
      <c r="E17" s="805">
        <v>4634</v>
      </c>
      <c r="F17" s="781" t="s">
        <v>380</v>
      </c>
      <c r="G17" s="781" t="s">
        <v>690</v>
      </c>
      <c r="H17" s="781"/>
      <c r="I17" s="783"/>
      <c r="J17" s="781" t="s">
        <v>260</v>
      </c>
      <c r="K17" s="781" t="s">
        <v>569</v>
      </c>
      <c r="L17" s="781" t="s">
        <v>6</v>
      </c>
      <c r="M17" s="780"/>
      <c r="N17" s="793" t="str">
        <f t="shared" si="2"/>
        <v/>
      </c>
      <c r="O17" s="793" t="str">
        <f>IF(Data!$Q17="","",YEAR(Data!$Q17))</f>
        <v/>
      </c>
      <c r="P17" s="793" t="str">
        <f>IF(Data!$Q17="","",MONTH(Data!$Q17))</f>
        <v/>
      </c>
      <c r="Q17" s="794"/>
      <c r="R17" s="795"/>
      <c r="S17" s="796"/>
      <c r="T17" s="797"/>
      <c r="U17" s="798"/>
      <c r="V17" s="780"/>
      <c r="W17" s="794"/>
      <c r="X17" s="793" t="str">
        <f t="shared" si="0"/>
        <v/>
      </c>
      <c r="Y17" s="793" t="str">
        <f>IF(Data!$AC17="","",YEAR(Data!$AC17))</f>
        <v/>
      </c>
      <c r="Z17" s="822" t="str">
        <f>IF(Data!$AC17="","",MONTH(Data!$AC17))</f>
        <v/>
      </c>
      <c r="AA17" s="794"/>
      <c r="AB17" s="800"/>
      <c r="AC17" s="794"/>
      <c r="AD17" s="796"/>
      <c r="AE17" s="794"/>
      <c r="AF17" s="784"/>
      <c r="AG17"/>
      <c r="AH17" s="780"/>
      <c r="AI17" s="801">
        <v>1</v>
      </c>
      <c r="AJ17" s="801" t="s">
        <v>687</v>
      </c>
      <c r="AK17" s="780"/>
      <c r="AL17" s="801" t="s">
        <v>691</v>
      </c>
      <c r="AM17" s="780"/>
      <c r="AN17" s="793"/>
      <c r="AO17" s="780"/>
      <c r="AP17" s="801" t="s">
        <v>688</v>
      </c>
      <c r="AQ17" s="780"/>
      <c r="AR17" s="802"/>
      <c r="AS17" s="780"/>
      <c r="AT17" s="803"/>
      <c r="AU17" s="803"/>
      <c r="AV17" s="804" t="str">
        <f t="shared" si="1"/>
        <v/>
      </c>
      <c r="AW17" s="847" t="str">
        <f>IFERROR(IF(tbl_DCFC[[#This Row],[F Montant HT]]="","",tbl_DCFC[[#This Row],[Marge]]/tbl_DCFC[[#This Row],[F Montant HT]]),"")</f>
        <v/>
      </c>
      <c r="AX17" s="258" t="s">
        <v>385</v>
      </c>
      <c r="AY17" s="258" t="s">
        <v>385</v>
      </c>
      <c r="AZ17" s="258" t="s">
        <v>385</v>
      </c>
      <c r="BA17" s="258" t="s">
        <v>385</v>
      </c>
    </row>
    <row r="18" spans="1:53" ht="15" customHeight="1" x14ac:dyDescent="0.3">
      <c r="A18" s="782"/>
      <c r="B18" s="780" t="str">
        <f>IFERROR(INDEX(Tabelle2[BU],MATCH(tbl_DCFC[[#This Row],[Categorie]],CAT,0)),"")</f>
        <v>SER</v>
      </c>
      <c r="C18" s="781"/>
      <c r="D18" s="782">
        <v>44447</v>
      </c>
      <c r="E18" s="805">
        <v>4633</v>
      </c>
      <c r="F18" s="781" t="s">
        <v>380</v>
      </c>
      <c r="G18" s="781" t="s">
        <v>668</v>
      </c>
      <c r="H18" s="781"/>
      <c r="I18" s="783">
        <v>1200</v>
      </c>
      <c r="J18" s="781" t="s">
        <v>260</v>
      </c>
      <c r="K18" s="781" t="s">
        <v>574</v>
      </c>
      <c r="L18" s="781" t="s">
        <v>9</v>
      </c>
      <c r="M18" s="780"/>
      <c r="N18" s="793" t="str">
        <f t="shared" si="2"/>
        <v/>
      </c>
      <c r="O18" s="793" t="str">
        <f>IF(Data!$Q18="","",YEAR(Data!$Q18))</f>
        <v/>
      </c>
      <c r="P18" s="793" t="str">
        <f>IF(Data!$Q18="","",MONTH(Data!$Q18))</f>
        <v/>
      </c>
      <c r="Q18" s="794"/>
      <c r="R18" s="795"/>
      <c r="S18" s="796"/>
      <c r="T18" s="797"/>
      <c r="U18" s="798"/>
      <c r="V18" s="780"/>
      <c r="W18" s="794"/>
      <c r="X18" s="793" t="str">
        <f t="shared" si="0"/>
        <v/>
      </c>
      <c r="Y18" s="793" t="str">
        <f>IF(Data!$AC18="","",YEAR(Data!$AC18))</f>
        <v/>
      </c>
      <c r="Z18" s="822" t="str">
        <f>IF(Data!$AC18="","",MONTH(Data!$AC18))</f>
        <v/>
      </c>
      <c r="AA18" s="794"/>
      <c r="AB18" s="800"/>
      <c r="AC18" s="794"/>
      <c r="AD18" s="796"/>
      <c r="AE18" s="794"/>
      <c r="AF18" s="784"/>
      <c r="AG18"/>
      <c r="AH18" s="780"/>
      <c r="AI18" s="806">
        <v>13</v>
      </c>
      <c r="AJ18" s="806" t="s">
        <v>685</v>
      </c>
      <c r="AK18" s="780"/>
      <c r="AL18" s="806" t="s">
        <v>959</v>
      </c>
      <c r="AM18" s="780"/>
      <c r="AN18" s="793"/>
      <c r="AO18" s="780"/>
      <c r="AP18" s="806" t="s">
        <v>686</v>
      </c>
      <c r="AQ18" s="780"/>
      <c r="AR18" s="808"/>
      <c r="AS18" s="780"/>
      <c r="AT18" s="809"/>
      <c r="AU18" s="809"/>
      <c r="AV18" s="804" t="str">
        <f t="shared" si="1"/>
        <v/>
      </c>
      <c r="AW18" s="847" t="str">
        <f>IFERROR(IF(tbl_DCFC[[#This Row],[F Montant HT]]="","",tbl_DCFC[[#This Row],[Marge]]/tbl_DCFC[[#This Row],[F Montant HT]]),"")</f>
        <v/>
      </c>
      <c r="AX18" s="258" t="s">
        <v>385</v>
      </c>
      <c r="AY18" s="258" t="s">
        <v>385</v>
      </c>
      <c r="AZ18" s="258" t="s">
        <v>385</v>
      </c>
      <c r="BA18" s="258" t="s">
        <v>385</v>
      </c>
    </row>
    <row r="19" spans="1:53" ht="15" customHeight="1" x14ac:dyDescent="0.3">
      <c r="A19" s="782"/>
      <c r="B19" s="780" t="str">
        <f>IFERROR(INDEX(Tabelle2[BU],MATCH(tbl_DCFC[[#This Row],[Categorie]],CAT,0)),"")</f>
        <v>SER</v>
      </c>
      <c r="C19" s="781"/>
      <c r="D19" s="782">
        <v>44460</v>
      </c>
      <c r="E19" s="805">
        <v>4631</v>
      </c>
      <c r="F19" s="781" t="s">
        <v>382</v>
      </c>
      <c r="G19" s="781" t="s">
        <v>389</v>
      </c>
      <c r="H19" s="781"/>
      <c r="I19" s="783">
        <v>7057</v>
      </c>
      <c r="J19" s="781" t="s">
        <v>260</v>
      </c>
      <c r="K19" s="781" t="s">
        <v>574</v>
      </c>
      <c r="L19" s="781" t="s">
        <v>9</v>
      </c>
      <c r="M19" s="780"/>
      <c r="N19" s="793" t="str">
        <f t="shared" si="2"/>
        <v/>
      </c>
      <c r="O19" s="793" t="str">
        <f>IF(Data!$Q19="","",YEAR(Data!$Q19))</f>
        <v/>
      </c>
      <c r="P19" s="793" t="str">
        <f>IF(Data!$Q19="","",MONTH(Data!$Q19))</f>
        <v/>
      </c>
      <c r="Q19" s="794"/>
      <c r="R19" s="795"/>
      <c r="S19" s="796"/>
      <c r="T19" s="797"/>
      <c r="U19" s="798"/>
      <c r="V19" s="780"/>
      <c r="W19" s="794"/>
      <c r="X19" s="793" t="str">
        <f t="shared" si="0"/>
        <v/>
      </c>
      <c r="Y19" s="793" t="str">
        <f>IF(Data!$AC19="","",YEAR(Data!$AC19))</f>
        <v/>
      </c>
      <c r="Z19" s="822" t="str">
        <f>IF(Data!$AC19="","",MONTH(Data!$AC19))</f>
        <v/>
      </c>
      <c r="AA19" s="794"/>
      <c r="AB19" s="800"/>
      <c r="AC19" s="794"/>
      <c r="AD19" s="796"/>
      <c r="AE19" s="794"/>
      <c r="AF19" s="784"/>
      <c r="AG19"/>
      <c r="AH19" s="780"/>
      <c r="AI19" s="806">
        <v>1</v>
      </c>
      <c r="AJ19" s="806" t="s">
        <v>695</v>
      </c>
      <c r="AK19" s="780"/>
      <c r="AL19" s="806" t="s">
        <v>716</v>
      </c>
      <c r="AM19" s="780"/>
      <c r="AN19" s="793"/>
      <c r="AO19" s="780"/>
      <c r="AP19" s="806" t="s">
        <v>684</v>
      </c>
      <c r="AQ19" s="780"/>
      <c r="AR19" s="808"/>
      <c r="AS19" s="780"/>
      <c r="AT19" s="809"/>
      <c r="AU19" s="809"/>
      <c r="AV19" s="804" t="str">
        <f t="shared" si="1"/>
        <v/>
      </c>
      <c r="AW19" s="847" t="str">
        <f>IFERROR(IF(tbl_DCFC[[#This Row],[F Montant HT]]="","",tbl_DCFC[[#This Row],[Marge]]/tbl_DCFC[[#This Row],[F Montant HT]]),"")</f>
        <v/>
      </c>
      <c r="AX19" s="258" t="s">
        <v>385</v>
      </c>
      <c r="AY19" s="258" t="s">
        <v>385</v>
      </c>
      <c r="AZ19" s="258" t="s">
        <v>385</v>
      </c>
      <c r="BA19" s="258" t="s">
        <v>385</v>
      </c>
    </row>
    <row r="20" spans="1:53" ht="15" customHeight="1" x14ac:dyDescent="0.3">
      <c r="A20" s="782"/>
      <c r="B20" s="780" t="str">
        <f>IFERROR(INDEX(Tabelle2[BU],MATCH(tbl_DCFC[[#This Row],[Categorie]],CAT,0)),"")</f>
        <v>TOO</v>
      </c>
      <c r="C20" s="781"/>
      <c r="D20" s="782">
        <v>44460</v>
      </c>
      <c r="E20" s="805">
        <v>4656</v>
      </c>
      <c r="F20" s="781" t="s">
        <v>380</v>
      </c>
      <c r="G20" s="781" t="s">
        <v>446</v>
      </c>
      <c r="H20" s="781"/>
      <c r="I20" s="783">
        <v>6610</v>
      </c>
      <c r="J20" s="781" t="s">
        <v>260</v>
      </c>
      <c r="K20" s="781" t="s">
        <v>581</v>
      </c>
      <c r="L20" s="781" t="s">
        <v>9</v>
      </c>
      <c r="M20" s="780"/>
      <c r="N20" s="793" t="str">
        <f t="shared" si="2"/>
        <v/>
      </c>
      <c r="O20" s="793" t="str">
        <f>IF(Data!$Q20="","",YEAR(Data!$Q20))</f>
        <v/>
      </c>
      <c r="P20" s="793" t="str">
        <f>IF(Data!$Q20="","",MONTH(Data!$Q20))</f>
        <v/>
      </c>
      <c r="Q20" s="794"/>
      <c r="R20" s="795"/>
      <c r="S20" s="796"/>
      <c r="T20" s="797"/>
      <c r="U20" s="798"/>
      <c r="V20" s="780"/>
      <c r="W20" s="794"/>
      <c r="X20" s="793" t="str">
        <f t="shared" si="0"/>
        <v/>
      </c>
      <c r="Y20" s="793" t="str">
        <f>IF(Data!$AC20="","",YEAR(Data!$AC20))</f>
        <v/>
      </c>
      <c r="Z20" s="822" t="str">
        <f>IF(Data!$AC20="","",MONTH(Data!$AC20))</f>
        <v/>
      </c>
      <c r="AA20" s="794"/>
      <c r="AB20" s="800"/>
      <c r="AC20" s="794"/>
      <c r="AD20" s="796"/>
      <c r="AE20" s="794"/>
      <c r="AF20" s="784"/>
      <c r="AG20"/>
      <c r="AH20" s="780"/>
      <c r="AI20" s="801">
        <v>1</v>
      </c>
      <c r="AJ20" s="801" t="s">
        <v>696</v>
      </c>
      <c r="AK20" s="780"/>
      <c r="AL20" s="801" t="s">
        <v>698</v>
      </c>
      <c r="AM20" s="780"/>
      <c r="AN20" s="793"/>
      <c r="AO20" s="780"/>
      <c r="AP20" s="801" t="s">
        <v>697</v>
      </c>
      <c r="AQ20" s="780"/>
      <c r="AR20" s="802"/>
      <c r="AS20" s="780"/>
      <c r="AT20" s="803"/>
      <c r="AU20" s="803"/>
      <c r="AV20" s="804" t="str">
        <f t="shared" si="1"/>
        <v/>
      </c>
      <c r="AW20" s="847" t="str">
        <f>IFERROR(IF(tbl_DCFC[[#This Row],[F Montant HT]]="","",tbl_DCFC[[#This Row],[Marge]]/tbl_DCFC[[#This Row],[F Montant HT]]),"")</f>
        <v/>
      </c>
      <c r="AX20" s="258" t="s">
        <v>385</v>
      </c>
      <c r="AY20" s="258" t="s">
        <v>385</v>
      </c>
      <c r="AZ20" s="258" t="s">
        <v>385</v>
      </c>
      <c r="BA20" s="258" t="s">
        <v>385</v>
      </c>
    </row>
    <row r="21" spans="1:53" ht="15" customHeight="1" x14ac:dyDescent="0.3">
      <c r="A21" s="782"/>
      <c r="B21" s="780" t="str">
        <f>IFERROR(INDEX(Tabelle2[BU],MATCH(tbl_DCFC[[#This Row],[Categorie]],CAT,0)),"")</f>
        <v>SER</v>
      </c>
      <c r="C21" s="781"/>
      <c r="D21" s="782">
        <v>44469</v>
      </c>
      <c r="E21" s="805">
        <v>4626</v>
      </c>
      <c r="F21" s="781" t="s">
        <v>382</v>
      </c>
      <c r="G21" s="781" t="s">
        <v>388</v>
      </c>
      <c r="H21" s="781"/>
      <c r="I21" s="783">
        <v>2193</v>
      </c>
      <c r="J21" s="781" t="s">
        <v>260</v>
      </c>
      <c r="K21" s="781" t="s">
        <v>569</v>
      </c>
      <c r="L21" s="781" t="s">
        <v>6</v>
      </c>
      <c r="M21" s="780"/>
      <c r="N21" s="793" t="str">
        <f t="shared" si="2"/>
        <v/>
      </c>
      <c r="O21" s="793" t="str">
        <f>IF(Data!$Q21="","",YEAR(Data!$Q21))</f>
        <v/>
      </c>
      <c r="P21" s="793" t="str">
        <f>IF(Data!$Q21="","",MONTH(Data!$Q21))</f>
        <v/>
      </c>
      <c r="Q21" s="794"/>
      <c r="R21" s="795"/>
      <c r="S21" s="796"/>
      <c r="T21" s="797"/>
      <c r="U21" s="798"/>
      <c r="V21" s="780"/>
      <c r="W21" s="794"/>
      <c r="X21" s="793" t="str">
        <f t="shared" si="0"/>
        <v/>
      </c>
      <c r="Y21" s="793" t="str">
        <f>IF(Data!$AC21="","",YEAR(Data!$AC21))</f>
        <v/>
      </c>
      <c r="Z21" s="822" t="str">
        <f>IF(Data!$AC21="","",MONTH(Data!$AC21))</f>
        <v/>
      </c>
      <c r="AA21" s="794"/>
      <c r="AB21" s="800"/>
      <c r="AC21" s="794"/>
      <c r="AD21" s="796"/>
      <c r="AE21" s="794"/>
      <c r="AF21" s="784"/>
      <c r="AG21"/>
      <c r="AH21" s="780"/>
      <c r="AI21" s="806">
        <v>1</v>
      </c>
      <c r="AJ21" s="806" t="s">
        <v>699</v>
      </c>
      <c r="AK21" s="780"/>
      <c r="AL21" s="806" t="s">
        <v>739</v>
      </c>
      <c r="AM21" s="780"/>
      <c r="AN21" s="793"/>
      <c r="AO21" s="780"/>
      <c r="AP21" s="806" t="s">
        <v>680</v>
      </c>
      <c r="AQ21" s="780"/>
      <c r="AR21" s="808"/>
      <c r="AS21" s="780"/>
      <c r="AT21" s="809"/>
      <c r="AU21" s="809"/>
      <c r="AV21" s="804" t="str">
        <f t="shared" si="1"/>
        <v/>
      </c>
      <c r="AW21" s="847" t="str">
        <f>IFERROR(IF(tbl_DCFC[[#This Row],[F Montant HT]]="","",tbl_DCFC[[#This Row],[Marge]]/tbl_DCFC[[#This Row],[F Montant HT]]),"")</f>
        <v/>
      </c>
      <c r="AX21" s="258" t="s">
        <v>385</v>
      </c>
      <c r="AY21" s="258" t="s">
        <v>385</v>
      </c>
      <c r="AZ21" s="258" t="s">
        <v>385</v>
      </c>
      <c r="BA21" s="258" t="s">
        <v>385</v>
      </c>
    </row>
    <row r="22" spans="1:53" ht="15" customHeight="1" x14ac:dyDescent="0.3">
      <c r="A22" s="782"/>
      <c r="B22" s="780" t="str">
        <f>IFERROR(INDEX(Tabelle2[BU],MATCH(tbl_DCFC[[#This Row],[Categorie]],CAT,0)),"")</f>
        <v>SER</v>
      </c>
      <c r="C22" s="781"/>
      <c r="D22" s="782">
        <v>44469</v>
      </c>
      <c r="E22" s="805">
        <v>4627</v>
      </c>
      <c r="F22" s="781" t="s">
        <v>380</v>
      </c>
      <c r="G22" s="781" t="s">
        <v>388</v>
      </c>
      <c r="H22" s="781"/>
      <c r="I22" s="783">
        <v>2193</v>
      </c>
      <c r="J22" s="781" t="s">
        <v>260</v>
      </c>
      <c r="K22" s="781" t="s">
        <v>569</v>
      </c>
      <c r="L22" s="781" t="s">
        <v>6</v>
      </c>
      <c r="M22" s="780"/>
      <c r="N22" s="793" t="str">
        <f t="shared" si="2"/>
        <v/>
      </c>
      <c r="O22" s="793" t="str">
        <f>IF(Data!$Q22="","",YEAR(Data!$Q22))</f>
        <v/>
      </c>
      <c r="P22" s="793" t="str">
        <f>IF(Data!$Q22="","",MONTH(Data!$Q22))</f>
        <v/>
      </c>
      <c r="Q22" s="794"/>
      <c r="R22" s="795"/>
      <c r="S22" s="796"/>
      <c r="T22" s="797"/>
      <c r="U22" s="798"/>
      <c r="V22" s="780"/>
      <c r="W22" s="794"/>
      <c r="X22" s="793" t="str">
        <f t="shared" si="0"/>
        <v/>
      </c>
      <c r="Y22" s="793" t="str">
        <f>IF(Data!$AC22="","",YEAR(Data!$AC22))</f>
        <v/>
      </c>
      <c r="Z22" s="822" t="str">
        <f>IF(Data!$AC22="","",MONTH(Data!$AC22))</f>
        <v/>
      </c>
      <c r="AA22" s="794"/>
      <c r="AB22" s="800"/>
      <c r="AC22" s="794"/>
      <c r="AD22" s="796"/>
      <c r="AE22" s="794"/>
      <c r="AF22" s="784"/>
      <c r="AG22"/>
      <c r="AH22" s="780"/>
      <c r="AI22" s="801">
        <v>1</v>
      </c>
      <c r="AJ22" s="801" t="s">
        <v>700</v>
      </c>
      <c r="AK22" s="780"/>
      <c r="AL22" s="801" t="s">
        <v>739</v>
      </c>
      <c r="AM22" s="780"/>
      <c r="AN22" s="793"/>
      <c r="AO22" s="780"/>
      <c r="AP22" s="801" t="s">
        <v>681</v>
      </c>
      <c r="AQ22" s="780"/>
      <c r="AR22" s="802"/>
      <c r="AS22" s="780"/>
      <c r="AT22" s="803"/>
      <c r="AU22" s="803"/>
      <c r="AV22" s="804" t="str">
        <f t="shared" si="1"/>
        <v/>
      </c>
      <c r="AW22" s="847" t="str">
        <f>IFERROR(IF(tbl_DCFC[[#This Row],[F Montant HT]]="","",tbl_DCFC[[#This Row],[Marge]]/tbl_DCFC[[#This Row],[F Montant HT]]),"")</f>
        <v/>
      </c>
      <c r="AX22" s="258" t="s">
        <v>385</v>
      </c>
      <c r="AY22" s="258" t="s">
        <v>385</v>
      </c>
      <c r="AZ22" s="258" t="s">
        <v>385</v>
      </c>
      <c r="BA22" s="258" t="s">
        <v>385</v>
      </c>
    </row>
    <row r="23" spans="1:53" ht="15" customHeight="1" x14ac:dyDescent="0.3">
      <c r="A23" s="782"/>
      <c r="B23" s="780" t="str">
        <f>IFERROR(INDEX(Tabelle2[BU],MATCH(tbl_DCFC[[#This Row],[Categorie]],CAT,0)),"")</f>
        <v>TOO</v>
      </c>
      <c r="C23" s="781"/>
      <c r="D23" s="782">
        <v>44477</v>
      </c>
      <c r="E23" s="805">
        <v>4663</v>
      </c>
      <c r="F23" s="781" t="s">
        <v>380</v>
      </c>
      <c r="G23" s="781" t="s">
        <v>689</v>
      </c>
      <c r="H23" s="781"/>
      <c r="I23" s="783"/>
      <c r="J23" s="781" t="s">
        <v>259</v>
      </c>
      <c r="K23" s="781" t="s">
        <v>579</v>
      </c>
      <c r="L23" s="781" t="s">
        <v>9</v>
      </c>
      <c r="M23" s="780"/>
      <c r="N23" s="793" t="str">
        <f t="shared" si="2"/>
        <v/>
      </c>
      <c r="O23" s="793" t="str">
        <f>IF(Data!$Q23="","",YEAR(Data!$Q23))</f>
        <v/>
      </c>
      <c r="P23" s="793" t="str">
        <f>IF(Data!$Q23="","",MONTH(Data!$Q23))</f>
        <v/>
      </c>
      <c r="Q23" s="794"/>
      <c r="R23" s="795"/>
      <c r="S23" s="796"/>
      <c r="T23" s="797"/>
      <c r="U23" s="798"/>
      <c r="V23" s="780"/>
      <c r="W23" s="794"/>
      <c r="X23" s="793" t="str">
        <f t="shared" si="0"/>
        <v/>
      </c>
      <c r="Y23" s="793" t="str">
        <f>IF(Data!$AC23="","",YEAR(Data!$AC23))</f>
        <v/>
      </c>
      <c r="Z23" s="822" t="str">
        <f>IF(Data!$AC23="","",MONTH(Data!$AC23))</f>
        <v/>
      </c>
      <c r="AA23" s="794"/>
      <c r="AB23" s="800"/>
      <c r="AC23" s="794"/>
      <c r="AD23" s="796"/>
      <c r="AE23" s="794"/>
      <c r="AF23" s="784"/>
      <c r="AG23"/>
      <c r="AH23" s="780"/>
      <c r="AI23" s="806"/>
      <c r="AJ23" s="806"/>
      <c r="AK23" s="780"/>
      <c r="AL23" s="806" t="s">
        <v>703</v>
      </c>
      <c r="AM23" s="780"/>
      <c r="AN23" s="793"/>
      <c r="AO23" s="780"/>
      <c r="AP23" s="806" t="s">
        <v>704</v>
      </c>
      <c r="AQ23" s="780"/>
      <c r="AR23" s="808"/>
      <c r="AS23" s="780"/>
      <c r="AT23" s="809"/>
      <c r="AU23" s="809"/>
      <c r="AV23" s="804" t="str">
        <f t="shared" si="1"/>
        <v/>
      </c>
      <c r="AW23" s="847" t="str">
        <f>IFERROR(IF(tbl_DCFC[[#This Row],[F Montant HT]]="","",tbl_DCFC[[#This Row],[Marge]]/tbl_DCFC[[#This Row],[F Montant HT]]),"")</f>
        <v/>
      </c>
      <c r="AX23" s="258" t="s">
        <v>385</v>
      </c>
      <c r="AY23" s="258" t="s">
        <v>385</v>
      </c>
      <c r="AZ23" s="258" t="s">
        <v>385</v>
      </c>
      <c r="BA23" s="258" t="s">
        <v>385</v>
      </c>
    </row>
    <row r="24" spans="1:53" ht="15" customHeight="1" x14ac:dyDescent="0.3">
      <c r="A24" s="782"/>
      <c r="B24" s="780" t="str">
        <f>IFERROR(INDEX(Tabelle2[BU],MATCH(tbl_DCFC[[#This Row],[Categorie]],CAT,0)),"")</f>
        <v>SER</v>
      </c>
      <c r="C24" s="781"/>
      <c r="D24" s="782">
        <v>44480</v>
      </c>
      <c r="E24" s="805">
        <v>4666</v>
      </c>
      <c r="F24" s="781" t="s">
        <v>380</v>
      </c>
      <c r="G24" s="781" t="s">
        <v>383</v>
      </c>
      <c r="H24" s="781"/>
      <c r="I24" s="783"/>
      <c r="J24" s="781" t="s">
        <v>259</v>
      </c>
      <c r="K24" s="781" t="s">
        <v>574</v>
      </c>
      <c r="L24" s="781" t="s">
        <v>5</v>
      </c>
      <c r="M24" s="780"/>
      <c r="N24" s="793" t="str">
        <f t="shared" si="2"/>
        <v/>
      </c>
      <c r="O24" s="793" t="str">
        <f>IF(Data!$Q24="","",YEAR(Data!$Q24))</f>
        <v/>
      </c>
      <c r="P24" s="793" t="str">
        <f>IF(Data!$Q24="","",MONTH(Data!$Q24))</f>
        <v/>
      </c>
      <c r="Q24" s="794"/>
      <c r="R24" s="795"/>
      <c r="S24" s="796"/>
      <c r="T24" s="797"/>
      <c r="U24" s="798"/>
      <c r="V24" s="780"/>
      <c r="W24" s="794"/>
      <c r="X24" s="793" t="str">
        <f t="shared" si="0"/>
        <v/>
      </c>
      <c r="Y24" s="793" t="str">
        <f>IF(Data!$AC24="","",YEAR(Data!$AC24))</f>
        <v/>
      </c>
      <c r="Z24" s="822" t="str">
        <f>IF(Data!$AC24="","",MONTH(Data!$AC24))</f>
        <v/>
      </c>
      <c r="AA24" s="794"/>
      <c r="AB24" s="800"/>
      <c r="AC24" s="794"/>
      <c r="AD24" s="796"/>
      <c r="AE24" s="794"/>
      <c r="AF24" s="784"/>
      <c r="AG24"/>
      <c r="AH24" s="780"/>
      <c r="AI24" s="801">
        <v>1</v>
      </c>
      <c r="AJ24" s="801" t="s">
        <v>709</v>
      </c>
      <c r="AK24" s="780"/>
      <c r="AL24" s="801" t="s">
        <v>705</v>
      </c>
      <c r="AM24" s="780"/>
      <c r="AN24" s="793"/>
      <c r="AO24" s="780"/>
      <c r="AP24" s="801" t="s">
        <v>706</v>
      </c>
      <c r="AQ24" s="780"/>
      <c r="AR24" s="802"/>
      <c r="AS24" s="780"/>
      <c r="AT24" s="803"/>
      <c r="AU24" s="803"/>
      <c r="AV24" s="804" t="str">
        <f t="shared" si="1"/>
        <v/>
      </c>
      <c r="AW24" s="847" t="str">
        <f>IFERROR(IF(tbl_DCFC[[#This Row],[F Montant HT]]="","",tbl_DCFC[[#This Row],[Marge]]/tbl_DCFC[[#This Row],[F Montant HT]]),"")</f>
        <v/>
      </c>
    </row>
    <row r="25" spans="1:53" ht="15" customHeight="1" x14ac:dyDescent="0.3">
      <c r="A25" s="782"/>
      <c r="B25" s="780" t="str">
        <f>IFERROR(INDEX(Tabelle2[BU],MATCH(tbl_DCFC[[#This Row],[Categorie]],CAT,0)),"")</f>
        <v>SER</v>
      </c>
      <c r="C25" s="781"/>
      <c r="D25" s="782">
        <v>44483</v>
      </c>
      <c r="E25" s="805">
        <v>4668</v>
      </c>
      <c r="F25" s="781" t="s">
        <v>380</v>
      </c>
      <c r="G25" s="781" t="s">
        <v>114</v>
      </c>
      <c r="H25" s="781"/>
      <c r="I25" s="783">
        <v>3180</v>
      </c>
      <c r="J25" s="781" t="s">
        <v>260</v>
      </c>
      <c r="K25" s="781" t="s">
        <v>569</v>
      </c>
      <c r="L25" s="781" t="s">
        <v>5</v>
      </c>
      <c r="M25" s="780"/>
      <c r="N25" s="781"/>
      <c r="O25" s="781">
        <f>IF(Data!$Q25="","",YEAR(Data!$Q25))</f>
        <v>2021</v>
      </c>
      <c r="P25" s="781">
        <f>IF(Data!$Q25="","",MONTH(Data!$Q25))</f>
        <v>11</v>
      </c>
      <c r="Q25" s="813">
        <v>44515</v>
      </c>
      <c r="R25" s="814" t="s">
        <v>735</v>
      </c>
      <c r="S25" s="815">
        <v>3180</v>
      </c>
      <c r="T25" s="816"/>
      <c r="U25" s="817"/>
      <c r="V25" s="780"/>
      <c r="W25" s="794">
        <v>44516</v>
      </c>
      <c r="X25" s="793" t="str">
        <f t="shared" si="0"/>
        <v>S02</v>
      </c>
      <c r="Y25" s="793">
        <f>IF(Data!$AC25="","",YEAR(Data!$AC25))</f>
        <v>2022</v>
      </c>
      <c r="Z25" s="822">
        <f>IF(Data!$AC25="","",MONTH(Data!$AC25))</f>
        <v>1</v>
      </c>
      <c r="AA25" s="794">
        <v>44571</v>
      </c>
      <c r="AB25" s="800">
        <v>5188</v>
      </c>
      <c r="AC25" s="794">
        <v>44574</v>
      </c>
      <c r="AD25" s="796">
        <v>3180</v>
      </c>
      <c r="AE25" s="794">
        <v>44609</v>
      </c>
      <c r="AF25" s="784"/>
      <c r="AG25"/>
      <c r="AH25" s="780"/>
      <c r="AI25" s="801">
        <v>6</v>
      </c>
      <c r="AJ25" s="801" t="s">
        <v>707</v>
      </c>
      <c r="AK25" s="780"/>
      <c r="AL25" s="801" t="s">
        <v>722</v>
      </c>
      <c r="AM25" s="780"/>
      <c r="AN25" s="793"/>
      <c r="AO25" s="780"/>
      <c r="AP25" s="801" t="s">
        <v>708</v>
      </c>
      <c r="AQ25" s="780"/>
      <c r="AR25" s="802"/>
      <c r="AS25" s="780"/>
      <c r="AT25" s="803">
        <v>1000</v>
      </c>
      <c r="AU25" s="803">
        <v>1437</v>
      </c>
      <c r="AV25" s="804">
        <f t="shared" si="1"/>
        <v>743</v>
      </c>
      <c r="AW25" s="847">
        <f>IFERROR(IF(tbl_DCFC[[#This Row],[F Montant HT]]="","",tbl_DCFC[[#This Row],[Marge]]/tbl_DCFC[[#This Row],[F Montant HT]]),"")</f>
        <v>0.23364779874213837</v>
      </c>
      <c r="AX25" s="258" t="s">
        <v>385</v>
      </c>
      <c r="AY25" s="258" t="s">
        <v>385</v>
      </c>
      <c r="AZ25" s="258" t="s">
        <v>385</v>
      </c>
      <c r="BA25" s="258" t="s">
        <v>385</v>
      </c>
    </row>
    <row r="26" spans="1:53" ht="15" customHeight="1" x14ac:dyDescent="0.3">
      <c r="A26" s="782"/>
      <c r="B26" s="780" t="str">
        <f>IFERROR(INDEX(Tabelle2[BU],MATCH(tbl_DCFC[[#This Row],[Categorie]],CAT,0)),"")</f>
        <v>TOO</v>
      </c>
      <c r="C26" s="781"/>
      <c r="D26" s="782">
        <v>44488</v>
      </c>
      <c r="E26" s="805">
        <v>4670</v>
      </c>
      <c r="F26" s="781" t="s">
        <v>380</v>
      </c>
      <c r="G26" s="781" t="s">
        <v>381</v>
      </c>
      <c r="H26" s="781"/>
      <c r="I26" s="783">
        <v>5515</v>
      </c>
      <c r="J26" s="781" t="s">
        <v>395</v>
      </c>
      <c r="K26" s="781" t="s">
        <v>592</v>
      </c>
      <c r="L26" s="781" t="s">
        <v>6</v>
      </c>
      <c r="M26" s="780"/>
      <c r="N26" s="793" t="str">
        <f>IF(Q26&lt;&gt;"","S"&amp;TEXT(WEEKNUM(Q26,21),"00"),"")</f>
        <v/>
      </c>
      <c r="O26" s="793" t="str">
        <f>IF(Data!$Q26="","",YEAR(Data!$Q26))</f>
        <v/>
      </c>
      <c r="P26" s="793" t="str">
        <f>IF(Data!$Q26="","",MONTH(Data!$Q26))</f>
        <v/>
      </c>
      <c r="Q26" s="794"/>
      <c r="R26" s="795"/>
      <c r="S26" s="796"/>
      <c r="T26" s="797"/>
      <c r="U26" s="798"/>
      <c r="V26" s="780"/>
      <c r="W26" s="794"/>
      <c r="X26" s="793" t="str">
        <f t="shared" si="0"/>
        <v/>
      </c>
      <c r="Y26" s="793" t="str">
        <f>IF(Data!$AC26="","",YEAR(Data!$AC26))</f>
        <v/>
      </c>
      <c r="Z26" s="822" t="str">
        <f>IF(Data!$AC26="","",MONTH(Data!$AC26))</f>
        <v/>
      </c>
      <c r="AA26" s="794"/>
      <c r="AB26" s="800"/>
      <c r="AC26" s="794"/>
      <c r="AD26" s="796"/>
      <c r="AE26" s="794"/>
      <c r="AF26" s="784"/>
      <c r="AG26"/>
      <c r="AH26" s="780"/>
      <c r="AI26" s="806">
        <v>1</v>
      </c>
      <c r="AJ26" s="806" t="s">
        <v>710</v>
      </c>
      <c r="AK26" s="780"/>
      <c r="AL26" s="806"/>
      <c r="AM26" s="780"/>
      <c r="AN26" s="793"/>
      <c r="AO26" s="780"/>
      <c r="AP26" s="806"/>
      <c r="AQ26" s="780"/>
      <c r="AR26" s="808"/>
      <c r="AS26" s="780"/>
      <c r="AT26" s="809"/>
      <c r="AU26" s="809"/>
      <c r="AV26" s="804" t="str">
        <f t="shared" si="1"/>
        <v/>
      </c>
      <c r="AW26" s="847" t="str">
        <f>IFERROR(IF(tbl_DCFC[[#This Row],[F Montant HT]]="","",tbl_DCFC[[#This Row],[Marge]]/tbl_DCFC[[#This Row],[F Montant HT]]),"")</f>
        <v/>
      </c>
      <c r="AX26" s="258" t="s">
        <v>385</v>
      </c>
      <c r="AY26" s="258" t="s">
        <v>385</v>
      </c>
      <c r="AZ26" s="258" t="s">
        <v>385</v>
      </c>
      <c r="BA26" s="258" t="s">
        <v>385</v>
      </c>
    </row>
    <row r="27" spans="1:53" ht="15" customHeight="1" x14ac:dyDescent="0.3">
      <c r="A27" s="782"/>
      <c r="B27" s="780" t="str">
        <f>IFERROR(INDEX(Tabelle2[BU],MATCH(tbl_DCFC[[#This Row],[Categorie]],CAT,0)),"")</f>
        <v>TOO</v>
      </c>
      <c r="C27" s="781"/>
      <c r="D27" s="782">
        <v>44489</v>
      </c>
      <c r="E27" s="805">
        <v>4671</v>
      </c>
      <c r="F27" s="781" t="s">
        <v>380</v>
      </c>
      <c r="G27" s="781" t="s">
        <v>114</v>
      </c>
      <c r="H27" s="781"/>
      <c r="I27" s="783"/>
      <c r="J27" s="781" t="s">
        <v>260</v>
      </c>
      <c r="K27" s="781" t="s">
        <v>584</v>
      </c>
      <c r="L27" s="781" t="s">
        <v>9</v>
      </c>
      <c r="M27" s="780"/>
      <c r="N27" s="793" t="str">
        <f>IF(Q27&lt;&gt;"","S"&amp;TEXT(WEEKNUM(Q27,21),"00"),"")</f>
        <v/>
      </c>
      <c r="O27" s="793" t="str">
        <f>IF(Data!$Q27="","",YEAR(Data!$Q27))</f>
        <v/>
      </c>
      <c r="P27" s="793" t="str">
        <f>IF(Data!$Q27="","",MONTH(Data!$Q27))</f>
        <v/>
      </c>
      <c r="Q27" s="794"/>
      <c r="R27" s="795"/>
      <c r="S27" s="796"/>
      <c r="T27" s="797"/>
      <c r="U27" s="798"/>
      <c r="V27" s="780"/>
      <c r="W27" s="794"/>
      <c r="X27" s="793" t="str">
        <f t="shared" si="0"/>
        <v/>
      </c>
      <c r="Y27" s="793" t="str">
        <f>IF(Data!$AC27="","",YEAR(Data!$AC27))</f>
        <v/>
      </c>
      <c r="Z27" s="822" t="str">
        <f>IF(Data!$AC27="","",MONTH(Data!$AC27))</f>
        <v/>
      </c>
      <c r="AA27" s="794"/>
      <c r="AB27" s="800"/>
      <c r="AC27" s="794"/>
      <c r="AD27" s="796"/>
      <c r="AE27" s="794"/>
      <c r="AF27" s="784"/>
      <c r="AG27"/>
      <c r="AH27" s="780"/>
      <c r="AI27" s="801">
        <v>1</v>
      </c>
      <c r="AJ27" s="801" t="s">
        <v>386</v>
      </c>
      <c r="AK27" s="780"/>
      <c r="AL27" s="801" t="s">
        <v>924</v>
      </c>
      <c r="AM27" s="780"/>
      <c r="AN27" s="793"/>
      <c r="AO27" s="780"/>
      <c r="AP27" s="801" t="s">
        <v>711</v>
      </c>
      <c r="AQ27" s="780"/>
      <c r="AR27" s="802"/>
      <c r="AS27" s="780"/>
      <c r="AT27" s="803"/>
      <c r="AU27" s="803"/>
      <c r="AV27" s="804" t="str">
        <f t="shared" si="1"/>
        <v/>
      </c>
      <c r="AW27" s="847" t="str">
        <f>IFERROR(IF(tbl_DCFC[[#This Row],[F Montant HT]]="","",tbl_DCFC[[#This Row],[Marge]]/tbl_DCFC[[#This Row],[F Montant HT]]),"")</f>
        <v/>
      </c>
    </row>
    <row r="28" spans="1:53" ht="13.5" customHeight="1" x14ac:dyDescent="0.3">
      <c r="A28" s="782"/>
      <c r="B28" s="780" t="str">
        <f>IFERROR(INDEX(Tabelle2[BU],MATCH(tbl_DCFC[[#This Row],[Categorie]],CAT,0)),"")</f>
        <v>GSE</v>
      </c>
      <c r="C28" s="781"/>
      <c r="D28" s="782">
        <v>44489</v>
      </c>
      <c r="E28" s="805">
        <v>4673</v>
      </c>
      <c r="F28" s="781" t="s">
        <v>380</v>
      </c>
      <c r="G28" s="781" t="s">
        <v>114</v>
      </c>
      <c r="H28" s="781"/>
      <c r="I28" s="783">
        <v>8579</v>
      </c>
      <c r="J28" s="781" t="s">
        <v>260</v>
      </c>
      <c r="K28" s="781" t="s">
        <v>580</v>
      </c>
      <c r="L28" s="781" t="s">
        <v>5</v>
      </c>
      <c r="M28" s="780"/>
      <c r="N28" s="793" t="str">
        <f>IF(Q28&lt;&gt;"","S"&amp;TEXT(WEEKNUM(Q28,21),"00"),"")</f>
        <v>S08</v>
      </c>
      <c r="O28" s="793">
        <f>IF(Data!$Q28="","",YEAR(Data!$Q28))</f>
        <v>2022</v>
      </c>
      <c r="P28" s="793">
        <f>IF(Data!$Q28="","",MONTH(Data!$Q28))</f>
        <v>2</v>
      </c>
      <c r="Q28" s="794">
        <v>44614</v>
      </c>
      <c r="R28" s="795" t="s">
        <v>919</v>
      </c>
      <c r="S28" s="796">
        <v>8579</v>
      </c>
      <c r="T28" s="797"/>
      <c r="U28" s="798"/>
      <c r="V28" s="780"/>
      <c r="W28" s="794"/>
      <c r="X28" s="793" t="str">
        <f t="shared" si="0"/>
        <v>S12</v>
      </c>
      <c r="Y28" s="793">
        <f>IF(Data!$AC28="","",YEAR(Data!$AC28))</f>
        <v>2022</v>
      </c>
      <c r="Z28" s="822">
        <f>IF(Data!$AC28="","",MONTH(Data!$AC28))</f>
        <v>3</v>
      </c>
      <c r="AA28" s="794">
        <v>44642</v>
      </c>
      <c r="AB28" s="800">
        <v>5216</v>
      </c>
      <c r="AC28" s="794">
        <v>44642</v>
      </c>
      <c r="AD28" s="796">
        <v>8579</v>
      </c>
      <c r="AE28" s="794">
        <v>44642</v>
      </c>
      <c r="AF28" s="784"/>
      <c r="AG28"/>
      <c r="AH28" s="780"/>
      <c r="AI28" s="801">
        <v>1</v>
      </c>
      <c r="AJ28" s="801" t="s">
        <v>921</v>
      </c>
      <c r="AK28" s="780"/>
      <c r="AL28" s="801"/>
      <c r="AM28" s="780"/>
      <c r="AN28" s="793"/>
      <c r="AO28" s="780"/>
      <c r="AP28" s="801" t="s">
        <v>712</v>
      </c>
      <c r="AQ28" s="780"/>
      <c r="AR28" s="802"/>
      <c r="AS28" s="780"/>
      <c r="AT28" s="803"/>
      <c r="AU28" s="803"/>
      <c r="AV28" s="804" t="str">
        <f t="shared" si="1"/>
        <v/>
      </c>
      <c r="AW28" s="847" t="str">
        <f>IFERROR(IF(tbl_DCFC[[#This Row],[F Montant HT]]="","",tbl_DCFC[[#This Row],[Marge]]/tbl_DCFC[[#This Row],[F Montant HT]]),"")</f>
        <v/>
      </c>
      <c r="AX28" s="258" t="s">
        <v>385</v>
      </c>
      <c r="AY28" s="258" t="s">
        <v>385</v>
      </c>
    </row>
    <row r="29" spans="1:53" ht="15" customHeight="1" x14ac:dyDescent="0.3">
      <c r="A29" s="782"/>
      <c r="B29" s="780" t="str">
        <f>IFERROR(INDEX(Tabelle2[BU],MATCH(tbl_DCFC[[#This Row],[Categorie]],CAT,0)),"")</f>
        <v>TOO</v>
      </c>
      <c r="C29" s="781"/>
      <c r="D29" s="782">
        <v>44489</v>
      </c>
      <c r="E29" s="805">
        <v>4674</v>
      </c>
      <c r="F29" s="781" t="s">
        <v>380</v>
      </c>
      <c r="G29" s="781" t="s">
        <v>114</v>
      </c>
      <c r="H29" s="781"/>
      <c r="I29" s="783"/>
      <c r="J29" s="781" t="s">
        <v>260</v>
      </c>
      <c r="K29" s="781" t="s">
        <v>579</v>
      </c>
      <c r="L29" s="781" t="s">
        <v>9</v>
      </c>
      <c r="M29" s="780"/>
      <c r="N29" s="793" t="str">
        <f>IF(Q29&lt;&gt;"","S"&amp;TEXT(WEEKNUM(Q29,21),"00"),"")</f>
        <v/>
      </c>
      <c r="O29" s="793" t="str">
        <f>IF(Data!$Q29="","",YEAR(Data!$Q29))</f>
        <v/>
      </c>
      <c r="P29" s="793" t="str">
        <f>IF(Data!$Q29="","",MONTH(Data!$Q29))</f>
        <v/>
      </c>
      <c r="Q29" s="794"/>
      <c r="R29" s="795"/>
      <c r="S29" s="796"/>
      <c r="T29" s="797"/>
      <c r="U29" s="798"/>
      <c r="V29" s="780"/>
      <c r="W29" s="794"/>
      <c r="X29" s="793" t="str">
        <f t="shared" si="0"/>
        <v/>
      </c>
      <c r="Y29" s="793" t="str">
        <f>IF(Data!$AC29="","",YEAR(Data!$AC29))</f>
        <v/>
      </c>
      <c r="Z29" s="822" t="str">
        <f>IF(Data!$AC29="","",MONTH(Data!$AC29))</f>
        <v/>
      </c>
      <c r="AA29" s="794"/>
      <c r="AB29" s="800"/>
      <c r="AC29" s="794"/>
      <c r="AD29" s="796"/>
      <c r="AE29" s="794"/>
      <c r="AF29" s="784"/>
      <c r="AG29"/>
      <c r="AH29" s="780"/>
      <c r="AI29" s="806">
        <v>6</v>
      </c>
      <c r="AJ29" s="806" t="s">
        <v>713</v>
      </c>
      <c r="AK29" s="780"/>
      <c r="AL29" s="806" t="s">
        <v>715</v>
      </c>
      <c r="AM29" s="780"/>
      <c r="AN29" s="793"/>
      <c r="AO29" s="780"/>
      <c r="AP29" s="806" t="s">
        <v>714</v>
      </c>
      <c r="AQ29" s="780"/>
      <c r="AR29" s="808"/>
      <c r="AS29" s="780"/>
      <c r="AT29" s="809"/>
      <c r="AU29" s="809"/>
      <c r="AV29" s="804" t="str">
        <f t="shared" si="1"/>
        <v/>
      </c>
      <c r="AW29" s="847" t="str">
        <f>IFERROR(IF(tbl_DCFC[[#This Row],[F Montant HT]]="","",tbl_DCFC[[#This Row],[Marge]]/tbl_DCFC[[#This Row],[F Montant HT]]),"")</f>
        <v/>
      </c>
      <c r="AX29" s="258" t="s">
        <v>385</v>
      </c>
      <c r="AY29" s="258" t="s">
        <v>385</v>
      </c>
    </row>
    <row r="30" spans="1:53" ht="15" customHeight="1" x14ac:dyDescent="0.3">
      <c r="A30" s="819"/>
      <c r="B30" s="780" t="str">
        <f>IFERROR(INDEX(Tabelle2[BU],MATCH(tbl_DCFC[[#This Row],[Categorie]],CAT,0)),"")</f>
        <v>SER</v>
      </c>
      <c r="C30" s="789"/>
      <c r="D30" s="819">
        <v>44508</v>
      </c>
      <c r="E30" s="862">
        <v>4677</v>
      </c>
      <c r="F30" s="789" t="s">
        <v>380</v>
      </c>
      <c r="G30" s="789" t="s">
        <v>603</v>
      </c>
      <c r="H30" s="789"/>
      <c r="I30" s="820">
        <v>2400</v>
      </c>
      <c r="J30" s="789" t="s">
        <v>259</v>
      </c>
      <c r="K30" s="789" t="s">
        <v>574</v>
      </c>
      <c r="L30" s="789" t="s">
        <v>5</v>
      </c>
      <c r="M30" s="780"/>
      <c r="N30" s="781"/>
      <c r="O30" s="781">
        <f>IF(Data!$Q30="","",YEAR(Data!$Q30))</f>
        <v>2021</v>
      </c>
      <c r="P30" s="781">
        <f>IF(Data!$Q30="","",MONTH(Data!$Q30))</f>
        <v>11</v>
      </c>
      <c r="Q30" s="813">
        <v>44529</v>
      </c>
      <c r="R30" s="814" t="s">
        <v>749</v>
      </c>
      <c r="S30" s="815">
        <v>2400</v>
      </c>
      <c r="T30" s="816"/>
      <c r="U30" s="817"/>
      <c r="V30" s="780"/>
      <c r="W30" s="794"/>
      <c r="X30" s="793" t="str">
        <f t="shared" si="0"/>
        <v/>
      </c>
      <c r="Y30" s="793" t="str">
        <f>IF(Data!$AC30="","",YEAR(Data!$AC30))</f>
        <v/>
      </c>
      <c r="Z30" s="822" t="str">
        <f>IF(Data!$AC30="","",MONTH(Data!$AC30))</f>
        <v/>
      </c>
      <c r="AA30" s="794"/>
      <c r="AB30" s="800"/>
      <c r="AC30" s="794"/>
      <c r="AD30" s="796"/>
      <c r="AE30" s="794">
        <v>44926</v>
      </c>
      <c r="AF30" s="784"/>
      <c r="AG30"/>
      <c r="AH30" s="780"/>
      <c r="AI30" s="806">
        <v>1</v>
      </c>
      <c r="AJ30" s="806" t="s">
        <v>717</v>
      </c>
      <c r="AK30" s="780"/>
      <c r="AL30" s="806"/>
      <c r="AM30" s="780"/>
      <c r="AN30" s="793"/>
      <c r="AO30" s="780"/>
      <c r="AP30" s="806" t="s">
        <v>718</v>
      </c>
      <c r="AQ30" s="780"/>
      <c r="AR30" s="808"/>
      <c r="AS30" s="780"/>
      <c r="AT30" s="809"/>
      <c r="AU30" s="809"/>
      <c r="AV30" s="804" t="str">
        <f t="shared" si="1"/>
        <v/>
      </c>
      <c r="AW30" s="847" t="str">
        <f>IFERROR(IF(tbl_DCFC[[#This Row],[F Montant HT]]="","",tbl_DCFC[[#This Row],[Marge]]/tbl_DCFC[[#This Row],[F Montant HT]]),"")</f>
        <v/>
      </c>
      <c r="AX30" s="258" t="s">
        <v>385</v>
      </c>
      <c r="AY30" s="258" t="s">
        <v>385</v>
      </c>
    </row>
    <row r="31" spans="1:53" ht="15" customHeight="1" x14ac:dyDescent="0.3">
      <c r="A31" s="782"/>
      <c r="B31" s="780" t="str">
        <f>IFERROR(INDEX(Tabelle2[BU],MATCH(tbl_DCFC[[#This Row],[Categorie]],CAT,0)),"")</f>
        <v>TOO</v>
      </c>
      <c r="C31" s="781"/>
      <c r="D31" s="782">
        <v>44509</v>
      </c>
      <c r="E31" s="805">
        <v>4678</v>
      </c>
      <c r="F31" s="781" t="s">
        <v>380</v>
      </c>
      <c r="G31" s="781" t="s">
        <v>381</v>
      </c>
      <c r="H31" s="781"/>
      <c r="I31" s="783">
        <v>4425</v>
      </c>
      <c r="J31" s="781" t="s">
        <v>395</v>
      </c>
      <c r="K31" s="781" t="s">
        <v>592</v>
      </c>
      <c r="L31" s="781" t="s">
        <v>5</v>
      </c>
      <c r="M31" s="780"/>
      <c r="N31" s="781"/>
      <c r="O31" s="781">
        <f>IF(Data!$Q31="","",YEAR(Data!$Q31))</f>
        <v>2021</v>
      </c>
      <c r="P31" s="781">
        <f>IF(Data!$Q31="","",MONTH(Data!$Q31))</f>
        <v>12</v>
      </c>
      <c r="Q31" s="813">
        <v>44537</v>
      </c>
      <c r="R31" s="814" t="s">
        <v>757</v>
      </c>
      <c r="S31" s="815">
        <v>4425</v>
      </c>
      <c r="T31" s="816"/>
      <c r="U31" s="817"/>
      <c r="V31" s="780"/>
      <c r="W31" s="794"/>
      <c r="X31" s="793" t="str">
        <f t="shared" si="0"/>
        <v>S07</v>
      </c>
      <c r="Y31" s="793">
        <f>IF(Data!$AC31="","",YEAR(Data!$AC31))</f>
        <v>2022</v>
      </c>
      <c r="Z31" s="822">
        <f>IF(Data!$AC31="","",MONTH(Data!$AC31))</f>
        <v>2</v>
      </c>
      <c r="AA31" s="794">
        <v>44607</v>
      </c>
      <c r="AB31" s="800">
        <v>5203</v>
      </c>
      <c r="AC31" s="794">
        <v>44607</v>
      </c>
      <c r="AD31" s="796">
        <v>4425</v>
      </c>
      <c r="AE31" s="794">
        <v>44610</v>
      </c>
      <c r="AF31" s="784"/>
      <c r="AG31"/>
      <c r="AH31" s="780"/>
      <c r="AI31" s="801">
        <v>1</v>
      </c>
      <c r="AJ31" s="801" t="s">
        <v>572</v>
      </c>
      <c r="AK31" s="780"/>
      <c r="AL31" s="801"/>
      <c r="AM31" s="780"/>
      <c r="AN31" s="793"/>
      <c r="AO31" s="780"/>
      <c r="AP31" s="801" t="s">
        <v>719</v>
      </c>
      <c r="AQ31" s="780"/>
      <c r="AR31" s="802"/>
      <c r="AS31" s="780"/>
      <c r="AT31" s="803">
        <v>3277.5</v>
      </c>
      <c r="AU31" s="803"/>
      <c r="AV31" s="804">
        <f t="shared" si="1"/>
        <v>1147.5</v>
      </c>
      <c r="AW31" s="847">
        <f>IFERROR(IF(tbl_DCFC[[#This Row],[F Montant HT]]="","",tbl_DCFC[[#This Row],[Marge]]/tbl_DCFC[[#This Row],[F Montant HT]]),"")</f>
        <v>0.2593220338983051</v>
      </c>
    </row>
    <row r="32" spans="1:53" ht="15" customHeight="1" x14ac:dyDescent="0.3">
      <c r="A32" s="782"/>
      <c r="B32" s="780" t="str">
        <f>IFERROR(INDEX(Tabelle2[BU],MATCH(tbl_DCFC[[#This Row],[Categorie]],CAT,0)),"")</f>
        <v>TOO</v>
      </c>
      <c r="C32" s="781"/>
      <c r="D32" s="782">
        <v>44509</v>
      </c>
      <c r="E32" s="805">
        <v>4679</v>
      </c>
      <c r="F32" s="781" t="s">
        <v>380</v>
      </c>
      <c r="G32" s="781" t="s">
        <v>381</v>
      </c>
      <c r="H32" s="781"/>
      <c r="I32" s="783"/>
      <c r="J32" s="781" t="s">
        <v>395</v>
      </c>
      <c r="K32" s="781" t="s">
        <v>592</v>
      </c>
      <c r="L32" s="781" t="s">
        <v>9</v>
      </c>
      <c r="M32" s="780"/>
      <c r="N32" s="793" t="str">
        <f>IF(Q32&lt;&gt;"","S"&amp;TEXT(WEEKNUM(Q32,21),"00"),"")</f>
        <v/>
      </c>
      <c r="O32" s="793" t="str">
        <f>IF(Data!$Q32="","",YEAR(Data!$Q32))</f>
        <v/>
      </c>
      <c r="P32" s="793" t="str">
        <f>IF(Data!$Q32="","",MONTH(Data!$Q32))</f>
        <v/>
      </c>
      <c r="Q32" s="794"/>
      <c r="R32" s="795"/>
      <c r="S32" s="796"/>
      <c r="T32" s="797"/>
      <c r="U32" s="798"/>
      <c r="V32" s="780"/>
      <c r="W32" s="794"/>
      <c r="X32" s="793" t="str">
        <f t="shared" si="0"/>
        <v/>
      </c>
      <c r="Y32" s="793" t="str">
        <f>IF(Data!$AC32="","",YEAR(Data!$AC32))</f>
        <v/>
      </c>
      <c r="Z32" s="822" t="str">
        <f>IF(Data!$AC32="","",MONTH(Data!$AC32))</f>
        <v/>
      </c>
      <c r="AA32" s="794"/>
      <c r="AB32" s="800"/>
      <c r="AC32" s="794"/>
      <c r="AD32" s="796"/>
      <c r="AE32" s="794"/>
      <c r="AF32" s="784"/>
      <c r="AG32"/>
      <c r="AH32" s="780"/>
      <c r="AI32" s="806">
        <v>1</v>
      </c>
      <c r="AJ32" s="806" t="s">
        <v>572</v>
      </c>
      <c r="AK32" s="780"/>
      <c r="AL32" s="806"/>
      <c r="AM32" s="780"/>
      <c r="AN32" s="793"/>
      <c r="AO32" s="780"/>
      <c r="AP32" s="806" t="s">
        <v>720</v>
      </c>
      <c r="AQ32" s="780"/>
      <c r="AR32" s="808"/>
      <c r="AS32" s="780"/>
      <c r="AT32" s="809"/>
      <c r="AU32" s="809"/>
      <c r="AV32" s="804" t="str">
        <f t="shared" si="1"/>
        <v/>
      </c>
      <c r="AW32" s="847" t="str">
        <f>IFERROR(IF(tbl_DCFC[[#This Row],[F Montant HT]]="","",tbl_DCFC[[#This Row],[Marge]]/tbl_DCFC[[#This Row],[F Montant HT]]),"")</f>
        <v/>
      </c>
    </row>
    <row r="33" spans="1:49" ht="15" customHeight="1" x14ac:dyDescent="0.3">
      <c r="A33" s="782"/>
      <c r="B33" s="780" t="str">
        <f>IFERROR(INDEX(Tabelle2[BU],MATCH(tbl_DCFC[[#This Row],[Categorie]],CAT,0)),"")</f>
        <v>TOO</v>
      </c>
      <c r="C33" s="781"/>
      <c r="D33" s="782">
        <v>44515</v>
      </c>
      <c r="E33" s="805">
        <v>4681</v>
      </c>
      <c r="F33" s="781" t="s">
        <v>380</v>
      </c>
      <c r="G33" s="781" t="s">
        <v>391</v>
      </c>
      <c r="H33" s="781"/>
      <c r="I33" s="783"/>
      <c r="J33" s="781" t="s">
        <v>260</v>
      </c>
      <c r="K33" s="781" t="s">
        <v>592</v>
      </c>
      <c r="L33" s="781" t="s">
        <v>9</v>
      </c>
      <c r="M33" s="780"/>
      <c r="N33" s="793" t="str">
        <f>IF(Q33&lt;&gt;"","S"&amp;TEXT(WEEKNUM(Q33,21),"00"),"")</f>
        <v/>
      </c>
      <c r="O33" s="793" t="str">
        <f>IF(Data!$Q33="","",YEAR(Data!$Q33))</f>
        <v/>
      </c>
      <c r="P33" s="793" t="str">
        <f>IF(Data!$Q33="","",MONTH(Data!$Q33))</f>
        <v/>
      </c>
      <c r="Q33" s="794"/>
      <c r="R33" s="795"/>
      <c r="S33" s="796"/>
      <c r="T33" s="797"/>
      <c r="U33" s="798"/>
      <c r="V33" s="780"/>
      <c r="W33" s="794"/>
      <c r="X33" s="793" t="str">
        <f t="shared" si="0"/>
        <v/>
      </c>
      <c r="Y33" s="793" t="str">
        <f>IF(Data!$AC33="","",YEAR(Data!$AC33))</f>
        <v/>
      </c>
      <c r="Z33" s="822" t="str">
        <f>IF(Data!$AC33="","",MONTH(Data!$AC33))</f>
        <v/>
      </c>
      <c r="AA33" s="794"/>
      <c r="AB33" s="800"/>
      <c r="AC33" s="794"/>
      <c r="AD33" s="796"/>
      <c r="AE33" s="794"/>
      <c r="AF33" s="784"/>
      <c r="AG33"/>
      <c r="AH33" s="780"/>
      <c r="AI33" s="801">
        <v>1</v>
      </c>
      <c r="AJ33" s="801" t="s">
        <v>727</v>
      </c>
      <c r="AK33" s="780"/>
      <c r="AL33" s="801" t="s">
        <v>726</v>
      </c>
      <c r="AM33" s="780"/>
      <c r="AN33" s="793"/>
      <c r="AO33" s="780"/>
      <c r="AP33" s="801" t="s">
        <v>728</v>
      </c>
      <c r="AQ33" s="780"/>
      <c r="AR33" s="802"/>
      <c r="AS33" s="780"/>
      <c r="AT33" s="803"/>
      <c r="AU33" s="803"/>
      <c r="AV33" s="804" t="str">
        <f t="shared" si="1"/>
        <v/>
      </c>
      <c r="AW33" s="847" t="str">
        <f>IFERROR(IF(tbl_DCFC[[#This Row],[F Montant HT]]="","",tbl_DCFC[[#This Row],[Marge]]/tbl_DCFC[[#This Row],[F Montant HT]]),"")</f>
        <v/>
      </c>
    </row>
    <row r="34" spans="1:49" ht="15" customHeight="1" x14ac:dyDescent="0.3">
      <c r="A34" s="782"/>
      <c r="B34" s="780" t="str">
        <f>IFERROR(INDEX(Tabelle2[BU],MATCH(tbl_DCFC[[#This Row],[Categorie]],CAT,0)),"")</f>
        <v>SER</v>
      </c>
      <c r="C34" s="781"/>
      <c r="D34" s="782">
        <v>44516</v>
      </c>
      <c r="E34" s="805">
        <v>4683</v>
      </c>
      <c r="F34" s="781" t="s">
        <v>380</v>
      </c>
      <c r="G34" s="781" t="s">
        <v>114</v>
      </c>
      <c r="H34" s="781"/>
      <c r="I34" s="783">
        <v>3460</v>
      </c>
      <c r="J34" s="781" t="s">
        <v>260</v>
      </c>
      <c r="K34" s="781" t="s">
        <v>569</v>
      </c>
      <c r="L34" s="781" t="s">
        <v>5</v>
      </c>
      <c r="M34" s="780"/>
      <c r="N34" s="781"/>
      <c r="O34" s="781">
        <f>IF(Data!$Q34="","",YEAR(Data!$Q34))</f>
        <v>2021</v>
      </c>
      <c r="P34" s="781">
        <f>IF(Data!$Q34="","",MONTH(Data!$Q34))</f>
        <v>12</v>
      </c>
      <c r="Q34" s="813">
        <v>44538</v>
      </c>
      <c r="R34" s="814" t="s">
        <v>754</v>
      </c>
      <c r="S34" s="815">
        <v>3460</v>
      </c>
      <c r="T34" s="816"/>
      <c r="U34" s="817"/>
      <c r="V34" s="780"/>
      <c r="W34" s="794">
        <v>44538</v>
      </c>
      <c r="X34" s="793" t="str">
        <f t="shared" si="0"/>
        <v>S06</v>
      </c>
      <c r="Y34" s="793">
        <f>IF(Data!$AC34="","",YEAR(Data!$AC34))</f>
        <v>2022</v>
      </c>
      <c r="Z34" s="822">
        <f>IF(Data!$AC34="","",MONTH(Data!$AC34))</f>
        <v>2</v>
      </c>
      <c r="AA34" s="794">
        <v>44599</v>
      </c>
      <c r="AB34" s="800">
        <v>5199</v>
      </c>
      <c r="AC34" s="794">
        <v>44601</v>
      </c>
      <c r="AD34" s="796">
        <v>3460</v>
      </c>
      <c r="AE34" s="794">
        <v>44600</v>
      </c>
      <c r="AF34" s="784"/>
      <c r="AG34"/>
      <c r="AH34" s="780"/>
      <c r="AI34" s="801">
        <v>6</v>
      </c>
      <c r="AJ34" s="801" t="s">
        <v>723</v>
      </c>
      <c r="AK34" s="780"/>
      <c r="AL34" s="801" t="s">
        <v>755</v>
      </c>
      <c r="AM34" s="780"/>
      <c r="AN34" s="793"/>
      <c r="AO34" s="780"/>
      <c r="AP34" s="801" t="s">
        <v>724</v>
      </c>
      <c r="AQ34" s="780"/>
      <c r="AR34" s="802"/>
      <c r="AS34" s="780"/>
      <c r="AT34" s="803"/>
      <c r="AU34" s="803"/>
      <c r="AV34" s="804" t="str">
        <f t="shared" si="1"/>
        <v/>
      </c>
      <c r="AW34" s="847" t="str">
        <f>IFERROR(IF(tbl_DCFC[[#This Row],[F Montant HT]]="","",tbl_DCFC[[#This Row],[Marge]]/tbl_DCFC[[#This Row],[F Montant HT]]),"")</f>
        <v/>
      </c>
    </row>
    <row r="35" spans="1:49" ht="15" customHeight="1" x14ac:dyDescent="0.3">
      <c r="A35" s="782"/>
      <c r="B35" s="780" t="str">
        <f>IFERROR(INDEX(Tabelle2[BU],MATCH(tbl_DCFC[[#This Row],[Categorie]],CAT,0)),"")</f>
        <v>SER</v>
      </c>
      <c r="C35" s="781"/>
      <c r="D35" s="782">
        <v>44516</v>
      </c>
      <c r="E35" s="805">
        <v>4684</v>
      </c>
      <c r="F35" s="781" t="s">
        <v>380</v>
      </c>
      <c r="G35" s="781" t="s">
        <v>114</v>
      </c>
      <c r="H35" s="781"/>
      <c r="I35" s="783">
        <v>7200</v>
      </c>
      <c r="J35" s="781" t="s">
        <v>260</v>
      </c>
      <c r="K35" s="781" t="s">
        <v>569</v>
      </c>
      <c r="L35" s="781" t="s">
        <v>5</v>
      </c>
      <c r="M35" s="780"/>
      <c r="N35" s="793" t="str">
        <f>IF(Q35&lt;&gt;"","S"&amp;TEXT(WEEKNUM(Q35,21),"00"),"")</f>
        <v>S02</v>
      </c>
      <c r="O35" s="793">
        <f>IF(Data!$Q35="","",YEAR(Data!$Q35))</f>
        <v>2022</v>
      </c>
      <c r="P35" s="793">
        <f>IF(Data!$Q35="","",MONTH(Data!$Q35))</f>
        <v>1</v>
      </c>
      <c r="Q35" s="794">
        <v>44571</v>
      </c>
      <c r="R35" s="795" t="s">
        <v>803</v>
      </c>
      <c r="S35" s="796">
        <v>7200</v>
      </c>
      <c r="T35" s="797"/>
      <c r="U35" s="798"/>
      <c r="V35" s="780"/>
      <c r="W35" s="794">
        <v>44538</v>
      </c>
      <c r="X35" s="793" t="str">
        <f t="shared" si="0"/>
        <v>S06</v>
      </c>
      <c r="Y35" s="793">
        <f>IF(Data!$AC35="","",YEAR(Data!$AC35))</f>
        <v>2022</v>
      </c>
      <c r="Z35" s="822">
        <f>IF(Data!$AC35="","",MONTH(Data!$AC35))</f>
        <v>2</v>
      </c>
      <c r="AA35" s="794">
        <v>44599</v>
      </c>
      <c r="AB35" s="800">
        <v>5202</v>
      </c>
      <c r="AC35" s="794">
        <v>44602</v>
      </c>
      <c r="AD35" s="796">
        <v>7200</v>
      </c>
      <c r="AE35" s="794" t="s">
        <v>804</v>
      </c>
      <c r="AF35" s="784"/>
      <c r="AG35"/>
      <c r="AH35" s="780"/>
      <c r="AI35" s="806">
        <v>6</v>
      </c>
      <c r="AJ35" s="806" t="s">
        <v>721</v>
      </c>
      <c r="AK35" s="780"/>
      <c r="AL35" s="806" t="s">
        <v>756</v>
      </c>
      <c r="AM35" s="780"/>
      <c r="AN35" s="793"/>
      <c r="AO35" s="780"/>
      <c r="AP35" s="861" t="s">
        <v>725</v>
      </c>
      <c r="AQ35" s="780"/>
      <c r="AR35" s="808"/>
      <c r="AS35" s="780"/>
      <c r="AT35" s="809"/>
      <c r="AU35" s="809">
        <v>550</v>
      </c>
      <c r="AV35" s="804" t="str">
        <f t="shared" ref="AV35:AV63" si="3">IF(AT35="","",S35-AT35-AU35)</f>
        <v/>
      </c>
      <c r="AW35" s="847" t="str">
        <f>IFERROR(IF(tbl_DCFC[[#This Row],[F Montant HT]]="","",tbl_DCFC[[#This Row],[Marge]]/tbl_DCFC[[#This Row],[F Montant HT]]),"")</f>
        <v/>
      </c>
    </row>
    <row r="36" spans="1:49" ht="15" customHeight="1" x14ac:dyDescent="0.3">
      <c r="A36" s="782"/>
      <c r="B36" s="780" t="str">
        <f>IFERROR(INDEX(Tabelle2[BU],MATCH(tbl_DCFC[[#This Row],[Categorie]],CAT,0)),"")</f>
        <v>SER</v>
      </c>
      <c r="C36" s="781"/>
      <c r="D36" s="782">
        <v>44516</v>
      </c>
      <c r="E36" s="805">
        <v>4685</v>
      </c>
      <c r="F36" s="781" t="s">
        <v>380</v>
      </c>
      <c r="G36" s="781" t="s">
        <v>114</v>
      </c>
      <c r="H36" s="781"/>
      <c r="I36" s="783">
        <v>2650</v>
      </c>
      <c r="J36" s="781" t="s">
        <v>260</v>
      </c>
      <c r="K36" s="781" t="s">
        <v>569</v>
      </c>
      <c r="L36" s="781" t="s">
        <v>5</v>
      </c>
      <c r="M36" s="780"/>
      <c r="N36" s="793" t="str">
        <f>IF(Q36&lt;&gt;"","S"&amp;TEXT(WEEKNUM(Q36,21),"00"),"")</f>
        <v>S02</v>
      </c>
      <c r="O36" s="793">
        <f>IF(Data!$Q36="","",YEAR(Data!$Q36))</f>
        <v>2022</v>
      </c>
      <c r="P36" s="793">
        <f>IF(Data!$Q36="","",MONTH(Data!$Q36))</f>
        <v>1</v>
      </c>
      <c r="Q36" s="794">
        <v>44575</v>
      </c>
      <c r="R36" s="795" t="s">
        <v>805</v>
      </c>
      <c r="S36" s="796">
        <v>2650</v>
      </c>
      <c r="T36" s="797"/>
      <c r="U36" s="798"/>
      <c r="V36" s="780"/>
      <c r="W36" s="794"/>
      <c r="X36" s="793" t="str">
        <f t="shared" si="0"/>
        <v>S09</v>
      </c>
      <c r="Y36" s="793">
        <f>IF(Data!$AC36="","",YEAR(Data!$AC36))</f>
        <v>2022</v>
      </c>
      <c r="Z36" s="822">
        <f>IF(Data!$AC36="","",MONTH(Data!$AC36))</f>
        <v>3</v>
      </c>
      <c r="AA36" s="794">
        <v>44622</v>
      </c>
      <c r="AB36" s="800">
        <v>5210</v>
      </c>
      <c r="AC36" s="794">
        <v>44622</v>
      </c>
      <c r="AD36" s="796">
        <v>2650</v>
      </c>
      <c r="AE36" s="794">
        <v>44644</v>
      </c>
      <c r="AF36" s="784"/>
      <c r="AG36"/>
      <c r="AH36" s="780"/>
      <c r="AI36" s="801">
        <v>5</v>
      </c>
      <c r="AJ36" s="801" t="s">
        <v>723</v>
      </c>
      <c r="AK36" s="780"/>
      <c r="AL36" s="801" t="s">
        <v>955</v>
      </c>
      <c r="AM36" s="780"/>
      <c r="AN36" s="793"/>
      <c r="AO36" s="780"/>
      <c r="AP36" s="405" t="s">
        <v>813</v>
      </c>
      <c r="AQ36" s="780"/>
      <c r="AR36" s="802"/>
      <c r="AS36" s="780"/>
      <c r="AT36" s="803">
        <v>1548.5</v>
      </c>
      <c r="AU36" s="803">
        <v>1125.9000000000001</v>
      </c>
      <c r="AV36" s="804">
        <f t="shared" si="3"/>
        <v>-24.400000000000091</v>
      </c>
      <c r="AW36" s="847">
        <f>IFERROR(IF(tbl_DCFC[[#This Row],[F Montant HT]]="","",tbl_DCFC[[#This Row],[Marge]]/tbl_DCFC[[#This Row],[F Montant HT]]),"")</f>
        <v>-9.2075471698113559E-3</v>
      </c>
    </row>
    <row r="37" spans="1:49" ht="15" customHeight="1" x14ac:dyDescent="0.3">
      <c r="A37" s="782"/>
      <c r="B37" s="780" t="str">
        <f>IFERROR(INDEX(Tabelle2[BU],MATCH(tbl_DCFC[[#This Row],[Categorie]],CAT,0)),"")</f>
        <v>SER</v>
      </c>
      <c r="C37" s="781"/>
      <c r="D37" s="782">
        <v>44516</v>
      </c>
      <c r="E37" s="805">
        <v>4686</v>
      </c>
      <c r="F37" s="781" t="s">
        <v>380</v>
      </c>
      <c r="G37" s="781" t="s">
        <v>114</v>
      </c>
      <c r="H37" s="781"/>
      <c r="I37" s="783">
        <v>15635</v>
      </c>
      <c r="J37" s="781" t="s">
        <v>260</v>
      </c>
      <c r="K37" s="781" t="s">
        <v>569</v>
      </c>
      <c r="L37" s="781" t="s">
        <v>5</v>
      </c>
      <c r="M37" s="780"/>
      <c r="N37" s="793" t="str">
        <f>IF(Q37&lt;&gt;"","S"&amp;TEXT(WEEKNUM(Q37,21),"00"),"")</f>
        <v>S05</v>
      </c>
      <c r="O37" s="793">
        <f>IF(Data!$Q37="","",YEAR(Data!$Q37))</f>
        <v>2022</v>
      </c>
      <c r="P37" s="793">
        <f>IF(Data!$Q37="","",MONTH(Data!$Q37))</f>
        <v>2</v>
      </c>
      <c r="Q37" s="794">
        <v>44594</v>
      </c>
      <c r="R37" s="795" t="s">
        <v>857</v>
      </c>
      <c r="S37" s="796">
        <v>5150</v>
      </c>
      <c r="T37" s="797"/>
      <c r="U37" s="798"/>
      <c r="V37" s="780"/>
      <c r="W37" s="794"/>
      <c r="X37" s="793" t="str">
        <f t="shared" si="0"/>
        <v>S08</v>
      </c>
      <c r="Y37" s="793">
        <f>IF(Data!$AC37="","",YEAR(Data!$AC37))</f>
        <v>2022</v>
      </c>
      <c r="Z37" s="822">
        <f>IF(Data!$AC37="","",MONTH(Data!$AC37))</f>
        <v>2</v>
      </c>
      <c r="AA37" s="794">
        <v>44614</v>
      </c>
      <c r="AB37" s="800">
        <v>5206</v>
      </c>
      <c r="AC37" s="794">
        <v>44615</v>
      </c>
      <c r="AD37" s="796">
        <v>5150</v>
      </c>
      <c r="AE37" s="794">
        <v>44658</v>
      </c>
      <c r="AF37" s="784"/>
      <c r="AG37"/>
      <c r="AH37" s="780"/>
      <c r="AI37" s="806">
        <v>5</v>
      </c>
      <c r="AJ37" s="806" t="s">
        <v>721</v>
      </c>
      <c r="AK37" s="780"/>
      <c r="AL37" s="801" t="s">
        <v>958</v>
      </c>
      <c r="AM37" s="780"/>
      <c r="AN37" s="793"/>
      <c r="AO37" s="780"/>
      <c r="AP37" s="405" t="s">
        <v>812</v>
      </c>
      <c r="AQ37" s="780"/>
      <c r="AR37" s="808"/>
      <c r="AS37" s="780"/>
      <c r="AT37" s="809">
        <v>2363.02</v>
      </c>
      <c r="AU37" s="809">
        <v>1125</v>
      </c>
      <c r="AV37" s="804">
        <f t="shared" si="3"/>
        <v>1661.98</v>
      </c>
      <c r="AW37" s="847">
        <f>IFERROR(IF(tbl_DCFC[[#This Row],[F Montant HT]]="","",tbl_DCFC[[#This Row],[Marge]]/tbl_DCFC[[#This Row],[F Montant HT]]),"")</f>
        <v>0.32271456310679614</v>
      </c>
    </row>
    <row r="38" spans="1:49" ht="15" customHeight="1" x14ac:dyDescent="0.3">
      <c r="A38" s="782"/>
      <c r="B38" s="780" t="str">
        <f>IFERROR(INDEX(Tabelle2[BU],MATCH(tbl_DCFC[[#This Row],[Categorie]],CAT,0)),"")</f>
        <v>SER</v>
      </c>
      <c r="C38" s="781"/>
      <c r="D38" s="782">
        <v>44516</v>
      </c>
      <c r="E38" s="805">
        <v>4687</v>
      </c>
      <c r="F38" s="781" t="s">
        <v>380</v>
      </c>
      <c r="G38" s="781" t="s">
        <v>397</v>
      </c>
      <c r="H38" s="781"/>
      <c r="I38" s="783">
        <v>1332</v>
      </c>
      <c r="J38" s="781" t="s">
        <v>260</v>
      </c>
      <c r="K38" s="781" t="s">
        <v>574</v>
      </c>
      <c r="L38" s="781" t="s">
        <v>5</v>
      </c>
      <c r="M38" s="780"/>
      <c r="N38" s="781"/>
      <c r="O38" s="781">
        <f>IF(Data!$Q38="","",YEAR(Data!$Q38))</f>
        <v>2021</v>
      </c>
      <c r="P38" s="781">
        <f>IF(Data!$Q38="","",MONTH(Data!$Q38))</f>
        <v>11</v>
      </c>
      <c r="Q38" s="813">
        <v>44517</v>
      </c>
      <c r="R38" s="814" t="s">
        <v>731</v>
      </c>
      <c r="S38" s="815">
        <v>1332</v>
      </c>
      <c r="T38" s="816"/>
      <c r="U38" s="817"/>
      <c r="V38" s="780"/>
      <c r="W38" s="794">
        <v>44517</v>
      </c>
      <c r="X38" s="793" t="str">
        <f t="shared" si="0"/>
        <v>S03</v>
      </c>
      <c r="Y38" s="793">
        <f>IF(Data!$AC38="","",YEAR(Data!$AC38))</f>
        <v>2022</v>
      </c>
      <c r="Z38" s="822">
        <f>IF(Data!$AC38="","",MONTH(Data!$AC38))</f>
        <v>1</v>
      </c>
      <c r="AA38" s="794">
        <v>44574</v>
      </c>
      <c r="AB38" s="800">
        <v>5189</v>
      </c>
      <c r="AC38" s="794">
        <v>44579</v>
      </c>
      <c r="AD38" s="796">
        <v>1332</v>
      </c>
      <c r="AE38" s="794">
        <v>44926</v>
      </c>
      <c r="AF38" s="784"/>
      <c r="AG38"/>
      <c r="AH38" s="780"/>
      <c r="AI38" s="806">
        <v>1</v>
      </c>
      <c r="AJ38" s="806" t="s">
        <v>732</v>
      </c>
      <c r="AK38" s="780"/>
      <c r="AL38" s="801" t="s">
        <v>733</v>
      </c>
      <c r="AM38" s="780"/>
      <c r="AN38" s="793"/>
      <c r="AO38" s="780"/>
      <c r="AP38" s="806" t="s">
        <v>734</v>
      </c>
      <c r="AQ38" s="780"/>
      <c r="AR38" s="808"/>
      <c r="AS38" s="780"/>
      <c r="AT38" s="809">
        <v>106</v>
      </c>
      <c r="AU38" s="809"/>
      <c r="AV38" s="804">
        <f t="shared" si="3"/>
        <v>1226</v>
      </c>
      <c r="AW38" s="847">
        <f>IFERROR(IF(tbl_DCFC[[#This Row],[F Montant HT]]="","",tbl_DCFC[[#This Row],[Marge]]/tbl_DCFC[[#This Row],[F Montant HT]]),"")</f>
        <v>0.92042042042042038</v>
      </c>
    </row>
    <row r="39" spans="1:49" ht="15" customHeight="1" x14ac:dyDescent="0.3">
      <c r="A39" s="782"/>
      <c r="B39" s="780" t="str">
        <f>IFERROR(INDEX(Tabelle2[BU],MATCH(tbl_DCFC[[#This Row],[Categorie]],CAT,0)),"")</f>
        <v>SER</v>
      </c>
      <c r="C39" s="781"/>
      <c r="D39" s="782">
        <v>44526</v>
      </c>
      <c r="E39" s="805">
        <v>4690</v>
      </c>
      <c r="F39" s="781" t="s">
        <v>380</v>
      </c>
      <c r="G39" s="781" t="s">
        <v>658</v>
      </c>
      <c r="H39" s="781"/>
      <c r="I39" s="783">
        <v>9279</v>
      </c>
      <c r="J39" s="781" t="s">
        <v>260</v>
      </c>
      <c r="K39" s="781" t="s">
        <v>574</v>
      </c>
      <c r="L39" s="781" t="s">
        <v>9</v>
      </c>
      <c r="M39" s="780"/>
      <c r="N39" s="793" t="str">
        <f>IF(Q39&lt;&gt;"","S"&amp;TEXT(WEEKNUM(Q39,21),"00"),"")</f>
        <v/>
      </c>
      <c r="O39" s="793" t="str">
        <f>IF(Data!$Q39="","",YEAR(Data!$Q39))</f>
        <v/>
      </c>
      <c r="P39" s="793" t="str">
        <f>IF(Data!$Q39="","",MONTH(Data!$Q39))</f>
        <v/>
      </c>
      <c r="Q39" s="794"/>
      <c r="R39" s="795"/>
      <c r="S39" s="796"/>
      <c r="T39" s="797"/>
      <c r="U39" s="798"/>
      <c r="V39" s="780"/>
      <c r="W39" s="794"/>
      <c r="X39" s="793" t="str">
        <f t="shared" si="0"/>
        <v/>
      </c>
      <c r="Y39" s="793" t="str">
        <f>IF(Data!$AC39="","",YEAR(Data!$AC39))</f>
        <v/>
      </c>
      <c r="Z39" s="822" t="str">
        <f>IF(Data!$AC39="","",MONTH(Data!$AC39))</f>
        <v/>
      </c>
      <c r="AA39" s="794"/>
      <c r="AB39" s="800"/>
      <c r="AC39" s="794"/>
      <c r="AD39" s="796"/>
      <c r="AE39" s="794"/>
      <c r="AF39" s="784"/>
      <c r="AG39"/>
      <c r="AH39" s="780"/>
      <c r="AI39" s="801">
        <v>1</v>
      </c>
      <c r="AJ39" s="801" t="s">
        <v>738</v>
      </c>
      <c r="AK39" s="780"/>
      <c r="AL39" s="801" t="s">
        <v>758</v>
      </c>
      <c r="AM39" s="780"/>
      <c r="AN39" s="793"/>
      <c r="AO39" s="780"/>
      <c r="AP39" s="801" t="s">
        <v>737</v>
      </c>
      <c r="AQ39" s="780"/>
      <c r="AR39" s="802"/>
      <c r="AS39" s="780"/>
      <c r="AT39" s="803"/>
      <c r="AU39" s="803"/>
      <c r="AV39" s="804" t="str">
        <f t="shared" si="3"/>
        <v/>
      </c>
      <c r="AW39" s="847" t="str">
        <f>IFERROR(IF(tbl_DCFC[[#This Row],[F Montant HT]]="","",tbl_DCFC[[#This Row],[Marge]]/tbl_DCFC[[#This Row],[F Montant HT]]),"")</f>
        <v/>
      </c>
    </row>
    <row r="40" spans="1:49" ht="15" customHeight="1" x14ac:dyDescent="0.3">
      <c r="A40" s="782"/>
      <c r="B40" s="780" t="str">
        <f>IFERROR(INDEX(Tabelle2[BU],MATCH(tbl_DCFC[[#This Row],[Categorie]],CAT,0)),"")</f>
        <v>SER</v>
      </c>
      <c r="C40" s="781"/>
      <c r="D40" s="782">
        <v>44532</v>
      </c>
      <c r="E40" s="805">
        <v>4691</v>
      </c>
      <c r="F40" s="781" t="s">
        <v>380</v>
      </c>
      <c r="G40" s="781" t="s">
        <v>658</v>
      </c>
      <c r="H40" s="781"/>
      <c r="I40" s="783">
        <v>1600</v>
      </c>
      <c r="J40" s="781" t="s">
        <v>260</v>
      </c>
      <c r="K40" s="781" t="s">
        <v>574</v>
      </c>
      <c r="L40" s="781" t="s">
        <v>6</v>
      </c>
      <c r="M40" s="780"/>
      <c r="N40" s="793" t="str">
        <f>IF(Q40&lt;&gt;"","S"&amp;TEXT(WEEKNUM(Q40,21),"00"),"")</f>
        <v/>
      </c>
      <c r="O40" s="793" t="str">
        <f>IF(Data!$Q40="","",YEAR(Data!$Q40))</f>
        <v/>
      </c>
      <c r="P40" s="793" t="str">
        <f>IF(Data!$Q40="","",MONTH(Data!$Q40))</f>
        <v/>
      </c>
      <c r="Q40" s="794"/>
      <c r="R40" s="795"/>
      <c r="S40" s="796"/>
      <c r="T40" s="797"/>
      <c r="U40" s="798"/>
      <c r="V40" s="780"/>
      <c r="W40" s="794"/>
      <c r="X40" s="793" t="str">
        <f t="shared" si="0"/>
        <v/>
      </c>
      <c r="Y40" s="793" t="str">
        <f>IF(Data!$AC40="","",YEAR(Data!$AC40))</f>
        <v/>
      </c>
      <c r="Z40" s="822" t="str">
        <f>IF(Data!$AC40="","",MONTH(Data!$AC40))</f>
        <v/>
      </c>
      <c r="AA40" s="794"/>
      <c r="AB40" s="800"/>
      <c r="AC40" s="794"/>
      <c r="AD40" s="796"/>
      <c r="AE40" s="794"/>
      <c r="AF40" s="784"/>
      <c r="AG40"/>
      <c r="AH40" s="780"/>
      <c r="AI40" s="806">
        <v>1</v>
      </c>
      <c r="AJ40" s="806" t="s">
        <v>790</v>
      </c>
      <c r="AK40" s="780"/>
      <c r="AL40" s="801" t="s">
        <v>758</v>
      </c>
      <c r="AM40" s="780"/>
      <c r="AN40" s="793"/>
      <c r="AO40" s="780"/>
      <c r="AP40" s="806" t="s">
        <v>742</v>
      </c>
      <c r="AQ40" s="780"/>
      <c r="AR40" s="808"/>
      <c r="AS40" s="780"/>
      <c r="AT40" s="809"/>
      <c r="AU40" s="809"/>
      <c r="AV40" s="804" t="str">
        <f t="shared" si="3"/>
        <v/>
      </c>
      <c r="AW40" s="847" t="str">
        <f>IFERROR(IF(tbl_DCFC[[#This Row],[F Montant HT]]="","",tbl_DCFC[[#This Row],[Marge]]/tbl_DCFC[[#This Row],[F Montant HT]]),"")</f>
        <v/>
      </c>
    </row>
    <row r="41" spans="1:49" ht="15" customHeight="1" x14ac:dyDescent="0.3">
      <c r="A41" s="782"/>
      <c r="B41" s="780" t="str">
        <f>IFERROR(INDEX(Tabelle2[BU],MATCH(tbl_DCFC[[#This Row],[Categorie]],CAT,0)),"")</f>
        <v>TOO</v>
      </c>
      <c r="C41" s="781"/>
      <c r="D41" s="782">
        <v>44532</v>
      </c>
      <c r="E41" s="805">
        <v>4692</v>
      </c>
      <c r="F41" s="781" t="s">
        <v>380</v>
      </c>
      <c r="G41" s="781" t="s">
        <v>114</v>
      </c>
      <c r="H41" s="781"/>
      <c r="I41" s="783"/>
      <c r="J41" s="781" t="s">
        <v>260</v>
      </c>
      <c r="K41" s="781" t="s">
        <v>579</v>
      </c>
      <c r="L41" s="781" t="s">
        <v>253</v>
      </c>
      <c r="M41" s="780"/>
      <c r="N41" s="793" t="str">
        <f>IF(Q41&lt;&gt;"","S"&amp;TEXT(WEEKNUM(Q41,21),"00"),"")</f>
        <v/>
      </c>
      <c r="O41" s="793" t="str">
        <f>IF(Data!$Q41="","",YEAR(Data!$Q41))</f>
        <v/>
      </c>
      <c r="P41" s="793" t="str">
        <f>IF(Data!$Q41="","",MONTH(Data!$Q41))</f>
        <v/>
      </c>
      <c r="Q41" s="794"/>
      <c r="R41" s="795"/>
      <c r="S41" s="796"/>
      <c r="T41" s="797"/>
      <c r="U41" s="798"/>
      <c r="V41" s="780"/>
      <c r="W41" s="794"/>
      <c r="X41" s="793" t="str">
        <f t="shared" si="0"/>
        <v/>
      </c>
      <c r="Y41" s="793" t="str">
        <f>IF(Data!$AC41="","",YEAR(Data!$AC41))</f>
        <v/>
      </c>
      <c r="Z41" s="822" t="str">
        <f>IF(Data!$AC41="","",MONTH(Data!$AC41))</f>
        <v/>
      </c>
      <c r="AA41" s="794"/>
      <c r="AB41" s="800"/>
      <c r="AC41" s="794"/>
      <c r="AD41" s="796"/>
      <c r="AE41" s="794"/>
      <c r="AF41" s="784"/>
      <c r="AG41"/>
      <c r="AH41" s="780"/>
      <c r="AI41" s="801">
        <v>6</v>
      </c>
      <c r="AJ41" s="801" t="s">
        <v>743</v>
      </c>
      <c r="AK41" s="780"/>
      <c r="AL41" s="801" t="s">
        <v>744</v>
      </c>
      <c r="AM41" s="780"/>
      <c r="AN41" s="793"/>
      <c r="AO41" s="780"/>
      <c r="AP41" s="801" t="s">
        <v>745</v>
      </c>
      <c r="AQ41" s="780"/>
      <c r="AR41" s="802"/>
      <c r="AS41" s="780"/>
      <c r="AT41" s="803"/>
      <c r="AU41" s="803"/>
      <c r="AV41" s="804" t="str">
        <f t="shared" si="3"/>
        <v/>
      </c>
      <c r="AW41" s="847" t="str">
        <f>IFERROR(IF(tbl_DCFC[[#This Row],[F Montant HT]]="","",tbl_DCFC[[#This Row],[Marge]]/tbl_DCFC[[#This Row],[F Montant HT]]),"")</f>
        <v/>
      </c>
    </row>
    <row r="42" spans="1:49" ht="15" customHeight="1" x14ac:dyDescent="0.3">
      <c r="A42" s="782"/>
      <c r="B42" s="780" t="str">
        <f>IFERROR(INDEX(Tabelle2[BU],MATCH(tbl_DCFC[[#This Row],[Categorie]],CAT,0)),"")</f>
        <v>SER</v>
      </c>
      <c r="C42" s="781"/>
      <c r="D42" s="782">
        <v>44532</v>
      </c>
      <c r="E42" s="805">
        <v>4693</v>
      </c>
      <c r="F42" s="781" t="s">
        <v>380</v>
      </c>
      <c r="G42" s="781" t="s">
        <v>390</v>
      </c>
      <c r="H42" s="781"/>
      <c r="I42" s="783">
        <v>5877</v>
      </c>
      <c r="J42" s="781" t="s">
        <v>260</v>
      </c>
      <c r="K42" s="781" t="s">
        <v>574</v>
      </c>
      <c r="L42" s="781" t="s">
        <v>5</v>
      </c>
      <c r="M42" s="780"/>
      <c r="N42" s="781"/>
      <c r="O42" s="781">
        <f>IF(Data!$Q42="","",YEAR(Data!$Q42))</f>
        <v>2021</v>
      </c>
      <c r="P42" s="781">
        <f>IF(Data!$Q42="","",MONTH(Data!$Q42))</f>
        <v>12</v>
      </c>
      <c r="Q42" s="813">
        <v>44532</v>
      </c>
      <c r="R42" s="814" t="s">
        <v>746</v>
      </c>
      <c r="S42" s="815">
        <v>5877</v>
      </c>
      <c r="T42" s="816"/>
      <c r="U42" s="817"/>
      <c r="V42" s="780"/>
      <c r="W42" s="794">
        <v>44533</v>
      </c>
      <c r="X42" s="793" t="str">
        <f t="shared" si="0"/>
        <v/>
      </c>
      <c r="Y42" s="793" t="str">
        <f>IF(Data!$AC42="","",YEAR(Data!$AC42))</f>
        <v/>
      </c>
      <c r="Z42" s="822" t="str">
        <f>IF(Data!$AC42="","",MONTH(Data!$AC42))</f>
        <v/>
      </c>
      <c r="AA42" s="794"/>
      <c r="AB42" s="800"/>
      <c r="AC42" s="794"/>
      <c r="AD42" s="796"/>
      <c r="AE42" s="794">
        <v>44680</v>
      </c>
      <c r="AF42" s="784"/>
      <c r="AG42"/>
      <c r="AH42" s="780"/>
      <c r="AI42" s="806">
        <v>1</v>
      </c>
      <c r="AJ42" s="806" t="s">
        <v>740</v>
      </c>
      <c r="AK42" s="780"/>
      <c r="AL42" s="801" t="s">
        <v>846</v>
      </c>
      <c r="AM42" s="780"/>
      <c r="AN42" s="793"/>
      <c r="AO42" s="780"/>
      <c r="AP42" s="806" t="s">
        <v>741</v>
      </c>
      <c r="AQ42" s="780"/>
      <c r="AR42" s="808"/>
      <c r="AS42" s="780"/>
      <c r="AT42" s="809"/>
      <c r="AU42" s="809"/>
      <c r="AV42" s="804" t="str">
        <f t="shared" si="3"/>
        <v/>
      </c>
      <c r="AW42" s="847" t="str">
        <f>IFERROR(IF(tbl_DCFC[[#This Row],[F Montant HT]]="","",tbl_DCFC[[#This Row],[Marge]]/tbl_DCFC[[#This Row],[F Montant HT]]),"")</f>
        <v/>
      </c>
    </row>
    <row r="43" spans="1:49" ht="15" customHeight="1" x14ac:dyDescent="0.3">
      <c r="A43" s="782"/>
      <c r="B43" s="780" t="str">
        <f>IFERROR(INDEX(Tabelle2[BU],MATCH(tbl_DCFC[[#This Row],[Categorie]],CAT,0)),"")</f>
        <v>SER</v>
      </c>
      <c r="C43" s="781"/>
      <c r="D43" s="782">
        <v>44532</v>
      </c>
      <c r="E43" s="805">
        <v>4694</v>
      </c>
      <c r="F43" s="781" t="s">
        <v>380</v>
      </c>
      <c r="G43" s="781" t="s">
        <v>381</v>
      </c>
      <c r="H43" s="781"/>
      <c r="I43" s="783">
        <v>6097.5</v>
      </c>
      <c r="J43" s="781" t="s">
        <v>259</v>
      </c>
      <c r="K43" s="781" t="s">
        <v>574</v>
      </c>
      <c r="L43" s="781" t="s">
        <v>6</v>
      </c>
      <c r="M43" s="780"/>
      <c r="N43" s="793" t="str">
        <f>IF(Q43&lt;&gt;"","S"&amp;TEXT(WEEKNUM(Q43,21),"00"),"")</f>
        <v/>
      </c>
      <c r="O43" s="793" t="str">
        <f>IF(Data!$Q43="","",YEAR(Data!$Q43))</f>
        <v/>
      </c>
      <c r="P43" s="793" t="str">
        <f>IF(Data!$Q43="","",MONTH(Data!$Q43))</f>
        <v/>
      </c>
      <c r="Q43" s="794"/>
      <c r="R43" s="795"/>
      <c r="S43" s="796"/>
      <c r="T43" s="797"/>
      <c r="U43" s="798"/>
      <c r="V43" s="780"/>
      <c r="W43" s="794"/>
      <c r="X43" s="793" t="str">
        <f t="shared" si="0"/>
        <v/>
      </c>
      <c r="Y43" s="793" t="str">
        <f>IF(Data!$AC43="","",YEAR(Data!$AC43))</f>
        <v/>
      </c>
      <c r="Z43" s="822" t="str">
        <f>IF(Data!$AC43="","",MONTH(Data!$AC43))</f>
        <v/>
      </c>
      <c r="AA43" s="794"/>
      <c r="AB43" s="800"/>
      <c r="AC43" s="794"/>
      <c r="AD43" s="796"/>
      <c r="AE43" s="794"/>
      <c r="AF43" s="784"/>
      <c r="AG43"/>
      <c r="AH43" s="780"/>
      <c r="AI43" s="801">
        <v>5</v>
      </c>
      <c r="AJ43" s="801" t="s">
        <v>747</v>
      </c>
      <c r="AK43" s="780"/>
      <c r="AL43" s="801"/>
      <c r="AM43" s="780"/>
      <c r="AN43" s="793"/>
      <c r="AO43" s="780"/>
      <c r="AP43" s="801" t="s">
        <v>748</v>
      </c>
      <c r="AQ43" s="780"/>
      <c r="AR43" s="802"/>
      <c r="AS43" s="780"/>
      <c r="AT43" s="803"/>
      <c r="AU43" s="803"/>
      <c r="AV43" s="804" t="str">
        <f t="shared" si="3"/>
        <v/>
      </c>
      <c r="AW43" s="847" t="str">
        <f>IFERROR(IF(tbl_DCFC[[#This Row],[F Montant HT]]="","",tbl_DCFC[[#This Row],[Marge]]/tbl_DCFC[[#This Row],[F Montant HT]]),"")</f>
        <v/>
      </c>
    </row>
    <row r="44" spans="1:49" ht="15" customHeight="1" x14ac:dyDescent="0.3">
      <c r="A44" s="782"/>
      <c r="B44" s="780" t="str">
        <f>IFERROR(INDEX(Tabelle2[BU],MATCH(tbl_DCFC[[#This Row],[Categorie]],CAT,0)),"")</f>
        <v>TOO</v>
      </c>
      <c r="C44" s="781"/>
      <c r="D44" s="782">
        <v>44536</v>
      </c>
      <c r="E44" s="805">
        <v>4695</v>
      </c>
      <c r="F44" s="781" t="s">
        <v>380</v>
      </c>
      <c r="G44" s="781" t="s">
        <v>689</v>
      </c>
      <c r="H44" s="781"/>
      <c r="I44" s="783">
        <v>2750</v>
      </c>
      <c r="J44" s="781" t="s">
        <v>260</v>
      </c>
      <c r="K44" s="781" t="s">
        <v>579</v>
      </c>
      <c r="L44" s="781" t="s">
        <v>5</v>
      </c>
      <c r="M44" s="780"/>
      <c r="N44" s="781"/>
      <c r="O44" s="781">
        <f>IF(Data!$Q44="","",YEAR(Data!$Q44))</f>
        <v>2021</v>
      </c>
      <c r="P44" s="781">
        <f>IF(Data!$Q44="","",MONTH(Data!$Q44))</f>
        <v>12</v>
      </c>
      <c r="Q44" s="813">
        <v>44551</v>
      </c>
      <c r="R44" s="814" t="s">
        <v>789</v>
      </c>
      <c r="S44" s="815">
        <v>2750</v>
      </c>
      <c r="T44" s="816"/>
      <c r="U44" s="817"/>
      <c r="V44" s="780"/>
      <c r="W44" s="794"/>
      <c r="X44" s="793" t="str">
        <f t="shared" si="0"/>
        <v>S03</v>
      </c>
      <c r="Y44" s="793">
        <f>IF(Data!$AC44="","",YEAR(Data!$AC44))</f>
        <v>2022</v>
      </c>
      <c r="Z44" s="822">
        <f>IF(Data!$AC44="","",MONTH(Data!$AC44))</f>
        <v>1</v>
      </c>
      <c r="AA44" s="794">
        <v>44580</v>
      </c>
      <c r="AB44" s="800">
        <v>5191</v>
      </c>
      <c r="AC44" s="794">
        <v>44581</v>
      </c>
      <c r="AD44" s="796">
        <v>2750</v>
      </c>
      <c r="AE44" s="794">
        <v>44589</v>
      </c>
      <c r="AF44" s="784"/>
      <c r="AG44"/>
      <c r="AH44" s="780"/>
      <c r="AI44" s="806">
        <v>2</v>
      </c>
      <c r="AJ44" s="806" t="s">
        <v>752</v>
      </c>
      <c r="AK44" s="780"/>
      <c r="AL44" s="801" t="s">
        <v>759</v>
      </c>
      <c r="AM44" s="780"/>
      <c r="AN44" s="793"/>
      <c r="AO44" s="780"/>
      <c r="AP44" s="806" t="s">
        <v>753</v>
      </c>
      <c r="AQ44" s="780"/>
      <c r="AR44" s="808"/>
      <c r="AS44" s="780"/>
      <c r="AT44" s="809"/>
      <c r="AU44" s="809"/>
      <c r="AV44" s="804" t="str">
        <f t="shared" si="3"/>
        <v/>
      </c>
      <c r="AW44" s="847" t="str">
        <f>IFERROR(IF(tbl_DCFC[[#This Row],[F Montant HT]]="","",tbl_DCFC[[#This Row],[Marge]]/tbl_DCFC[[#This Row],[F Montant HT]]),"")</f>
        <v/>
      </c>
    </row>
    <row r="45" spans="1:49" ht="15" customHeight="1" x14ac:dyDescent="0.3">
      <c r="A45" s="782"/>
      <c r="B45" s="780" t="str">
        <f>IFERROR(INDEX(Tabelle2[BU],MATCH(tbl_DCFC[[#This Row],[Categorie]],CAT,0)),"")</f>
        <v>SER</v>
      </c>
      <c r="C45" s="781"/>
      <c r="D45" s="782">
        <v>44539</v>
      </c>
      <c r="E45" s="805">
        <v>4697</v>
      </c>
      <c r="F45" s="781" t="s">
        <v>380</v>
      </c>
      <c r="G45" s="781" t="s">
        <v>760</v>
      </c>
      <c r="H45" s="781"/>
      <c r="I45" s="783"/>
      <c r="J45" s="781" t="s">
        <v>260</v>
      </c>
      <c r="K45" s="781" t="s">
        <v>574</v>
      </c>
      <c r="L45" s="781" t="s">
        <v>253</v>
      </c>
      <c r="M45" s="780"/>
      <c r="N45" s="793" t="str">
        <f>IF(Q45&lt;&gt;"","S"&amp;TEXT(WEEKNUM(Q45,21),"00"),"")</f>
        <v/>
      </c>
      <c r="O45" s="793" t="str">
        <f>IF(Data!$Q45="","",YEAR(Data!$Q45))</f>
        <v/>
      </c>
      <c r="P45" s="793" t="str">
        <f>IF(Data!$Q45="","",MONTH(Data!$Q45))</f>
        <v/>
      </c>
      <c r="Q45" s="794"/>
      <c r="R45" s="795"/>
      <c r="S45" s="796"/>
      <c r="T45" s="797"/>
      <c r="U45" s="798"/>
      <c r="V45" s="780"/>
      <c r="W45" s="794"/>
      <c r="X45" s="793" t="str">
        <f t="shared" si="0"/>
        <v/>
      </c>
      <c r="Y45" s="793" t="str">
        <f>IF(Data!$AC45="","",YEAR(Data!$AC45))</f>
        <v/>
      </c>
      <c r="Z45" s="822" t="str">
        <f>IF(Data!$AC45="","",MONTH(Data!$AC45))</f>
        <v/>
      </c>
      <c r="AA45" s="794"/>
      <c r="AB45" s="800"/>
      <c r="AC45" s="794"/>
      <c r="AD45" s="796"/>
      <c r="AE45" s="794"/>
      <c r="AF45" s="784"/>
      <c r="AG45"/>
      <c r="AH45" s="780"/>
      <c r="AI45" s="806">
        <v>20</v>
      </c>
      <c r="AJ45" s="806" t="s">
        <v>575</v>
      </c>
      <c r="AK45" s="780"/>
      <c r="AL45" s="801" t="s">
        <v>765</v>
      </c>
      <c r="AM45" s="780"/>
      <c r="AN45" s="793"/>
      <c r="AO45" s="780"/>
      <c r="AP45" s="806" t="s">
        <v>764</v>
      </c>
      <c r="AQ45" s="780"/>
      <c r="AR45" s="808"/>
      <c r="AS45" s="780"/>
      <c r="AT45" s="809"/>
      <c r="AU45" s="809"/>
      <c r="AV45" s="804" t="str">
        <f t="shared" si="3"/>
        <v/>
      </c>
      <c r="AW45" s="847" t="str">
        <f>IFERROR(IF(tbl_DCFC[[#This Row],[F Montant HT]]="","",tbl_DCFC[[#This Row],[Marge]]/tbl_DCFC[[#This Row],[F Montant HT]]),"")</f>
        <v/>
      </c>
    </row>
    <row r="46" spans="1:49" ht="15" customHeight="1" x14ac:dyDescent="0.3">
      <c r="A46" s="782"/>
      <c r="B46" s="780" t="str">
        <f>IFERROR(INDEX(Tabelle2[BU],MATCH(tbl_DCFC[[#This Row],[Categorie]],CAT,0)),"")</f>
        <v>SER</v>
      </c>
      <c r="C46" s="781"/>
      <c r="D46" s="782">
        <v>44544</v>
      </c>
      <c r="E46" s="805">
        <v>4698</v>
      </c>
      <c r="F46" s="781" t="s">
        <v>380</v>
      </c>
      <c r="G46" s="781" t="s">
        <v>397</v>
      </c>
      <c r="H46" s="781"/>
      <c r="I46" s="783">
        <v>660</v>
      </c>
      <c r="J46" s="781" t="s">
        <v>260</v>
      </c>
      <c r="K46" s="781" t="s">
        <v>574</v>
      </c>
      <c r="L46" s="781" t="s">
        <v>9</v>
      </c>
      <c r="M46" s="780"/>
      <c r="N46" s="781"/>
      <c r="O46" s="781" t="str">
        <f>IF(Data!$Q46="","",YEAR(Data!$Q46))</f>
        <v/>
      </c>
      <c r="P46" s="781" t="str">
        <f>IF(Data!$Q46="","",MONTH(Data!$Q46))</f>
        <v/>
      </c>
      <c r="Q46" s="813"/>
      <c r="R46" s="814"/>
      <c r="S46" s="815"/>
      <c r="T46" s="816"/>
      <c r="U46" s="817"/>
      <c r="V46" s="780"/>
      <c r="W46" s="794"/>
      <c r="X46" s="793" t="str">
        <f t="shared" si="0"/>
        <v/>
      </c>
      <c r="Y46" s="793" t="str">
        <f>IF(Data!$AC46="","",YEAR(Data!$AC46))</f>
        <v/>
      </c>
      <c r="Z46" s="822" t="str">
        <f>IF(Data!$AC46="","",MONTH(Data!$AC46))</f>
        <v/>
      </c>
      <c r="AA46" s="794"/>
      <c r="AB46" s="800"/>
      <c r="AC46" s="794"/>
      <c r="AD46" s="796"/>
      <c r="AE46" s="794"/>
      <c r="AF46" s="784"/>
      <c r="AG46"/>
      <c r="AH46" s="780"/>
      <c r="AI46" s="801">
        <v>1</v>
      </c>
      <c r="AJ46" s="801" t="s">
        <v>762</v>
      </c>
      <c r="AK46" s="780"/>
      <c r="AL46" s="801" t="s">
        <v>927</v>
      </c>
      <c r="AM46" s="780"/>
      <c r="AN46" s="793"/>
      <c r="AO46" s="780"/>
      <c r="AP46" s="801" t="s">
        <v>763</v>
      </c>
      <c r="AQ46" s="780"/>
      <c r="AR46" s="802"/>
      <c r="AS46" s="780"/>
      <c r="AT46" s="803"/>
      <c r="AU46" s="803"/>
      <c r="AV46" s="804" t="str">
        <f t="shared" si="3"/>
        <v/>
      </c>
      <c r="AW46" s="847" t="str">
        <f>IFERROR(IF(tbl_DCFC[[#This Row],[F Montant HT]]="","",tbl_DCFC[[#This Row],[Marge]]/tbl_DCFC[[#This Row],[F Montant HT]]),"")</f>
        <v/>
      </c>
    </row>
    <row r="47" spans="1:49" ht="15" customHeight="1" x14ac:dyDescent="0.3">
      <c r="A47" s="782"/>
      <c r="B47" s="780" t="str">
        <f>IFERROR(INDEX(Tabelle2[BU],MATCH(tbl_DCFC[[#This Row],[Categorie]],CAT,0)),"")</f>
        <v>SER</v>
      </c>
      <c r="C47" s="781"/>
      <c r="D47" s="782">
        <v>44545</v>
      </c>
      <c r="E47" s="805">
        <v>4699</v>
      </c>
      <c r="F47" s="781" t="s">
        <v>380</v>
      </c>
      <c r="G47" s="781" t="s">
        <v>767</v>
      </c>
      <c r="H47" s="781"/>
      <c r="I47" s="783">
        <v>4976.5</v>
      </c>
      <c r="J47" s="781" t="s">
        <v>260</v>
      </c>
      <c r="K47" s="781" t="s">
        <v>574</v>
      </c>
      <c r="L47" s="781" t="s">
        <v>7</v>
      </c>
      <c r="M47" s="780"/>
      <c r="N47" s="793" t="str">
        <f t="shared" ref="N47:N63" si="4">IF(Q47&lt;&gt;"","S"&amp;TEXT(WEEKNUM(Q47,21),"00"),"")</f>
        <v/>
      </c>
      <c r="O47" s="793" t="str">
        <f>IF(Data!$Q47="","",YEAR(Data!$Q47))</f>
        <v/>
      </c>
      <c r="P47" s="793" t="str">
        <f>IF(Data!$Q47="","",MONTH(Data!$Q47))</f>
        <v/>
      </c>
      <c r="Q47" s="794"/>
      <c r="R47" s="795"/>
      <c r="S47" s="796"/>
      <c r="T47" s="797"/>
      <c r="U47" s="798"/>
      <c r="V47" s="780"/>
      <c r="W47" s="794"/>
      <c r="X47" s="793" t="str">
        <f t="shared" si="0"/>
        <v/>
      </c>
      <c r="Y47" s="793" t="str">
        <f>IF(Data!$AC47="","",YEAR(Data!$AC47))</f>
        <v/>
      </c>
      <c r="Z47" s="822" t="str">
        <f>IF(Data!$AC47="","",MONTH(Data!$AC47))</f>
        <v/>
      </c>
      <c r="AA47" s="794"/>
      <c r="AB47" s="800"/>
      <c r="AC47" s="794"/>
      <c r="AD47" s="796"/>
      <c r="AE47" s="794"/>
      <c r="AF47" s="784"/>
      <c r="AG47" t="s">
        <v>28</v>
      </c>
      <c r="AH47" s="780"/>
      <c r="AI47" s="806">
        <v>1</v>
      </c>
      <c r="AJ47" s="806" t="s">
        <v>770</v>
      </c>
      <c r="AK47" s="780"/>
      <c r="AL47" s="801"/>
      <c r="AM47" s="780"/>
      <c r="AN47" s="793"/>
      <c r="AO47" s="780"/>
      <c r="AP47" s="806" t="s">
        <v>768</v>
      </c>
      <c r="AQ47" s="780"/>
      <c r="AR47" s="808"/>
      <c r="AS47" s="780"/>
      <c r="AT47" s="809"/>
      <c r="AU47" s="809"/>
      <c r="AV47" s="804" t="str">
        <f t="shared" si="3"/>
        <v/>
      </c>
      <c r="AW47" s="847" t="str">
        <f>IFERROR(IF(tbl_DCFC[[#This Row],[F Montant HT]]="","",tbl_DCFC[[#This Row],[Marge]]/tbl_DCFC[[#This Row],[F Montant HT]]),"")</f>
        <v/>
      </c>
    </row>
    <row r="48" spans="1:49" ht="15" customHeight="1" x14ac:dyDescent="0.3">
      <c r="A48" s="782"/>
      <c r="B48" s="780" t="str">
        <f>IFERROR(INDEX(Tabelle2[BU],MATCH(tbl_DCFC[[#This Row],[Categorie]],CAT,0)),"")</f>
        <v>SER</v>
      </c>
      <c r="C48" s="781"/>
      <c r="D48" s="782">
        <v>44545</v>
      </c>
      <c r="E48" s="805">
        <v>4700</v>
      </c>
      <c r="F48" s="781" t="s">
        <v>382</v>
      </c>
      <c r="G48" s="781" t="s">
        <v>381</v>
      </c>
      <c r="H48" s="781" t="s">
        <v>847</v>
      </c>
      <c r="I48" s="783">
        <v>20320</v>
      </c>
      <c r="J48" s="781" t="s">
        <v>260</v>
      </c>
      <c r="K48" s="781" t="s">
        <v>574</v>
      </c>
      <c r="L48" s="781" t="s">
        <v>5</v>
      </c>
      <c r="M48" s="780"/>
      <c r="N48" s="793" t="str">
        <f t="shared" si="4"/>
        <v>S07</v>
      </c>
      <c r="O48" s="793">
        <f>IF(Data!$Q48="","",YEAR(Data!$Q48))</f>
        <v>2022</v>
      </c>
      <c r="P48" s="793">
        <f>IF(Data!$Q48="","",MONTH(Data!$Q48))</f>
        <v>2</v>
      </c>
      <c r="Q48" s="794">
        <v>44607</v>
      </c>
      <c r="R48" s="795" t="s">
        <v>890</v>
      </c>
      <c r="S48" s="796">
        <v>20320</v>
      </c>
      <c r="T48" s="797"/>
      <c r="U48" s="798"/>
      <c r="V48" s="780"/>
      <c r="W48" s="794"/>
      <c r="X48" s="793" t="str">
        <f t="shared" si="0"/>
        <v>S13</v>
      </c>
      <c r="Y48" s="793">
        <f>IF(Data!$AC48="","",YEAR(Data!$AC48))</f>
        <v>2022</v>
      </c>
      <c r="Z48" s="822">
        <f>IF(Data!$AC48="","",MONTH(Data!$AC48))</f>
        <v>3</v>
      </c>
      <c r="AA48" s="794">
        <v>44651</v>
      </c>
      <c r="AB48" s="800">
        <v>5227</v>
      </c>
      <c r="AC48" s="794">
        <v>44651</v>
      </c>
      <c r="AD48" s="796">
        <v>20320</v>
      </c>
      <c r="AE48" s="794">
        <v>44645</v>
      </c>
      <c r="AF48" s="784"/>
      <c r="AG48"/>
      <c r="AH48" s="780"/>
      <c r="AI48" s="801">
        <v>1</v>
      </c>
      <c r="AJ48" s="801" t="s">
        <v>769</v>
      </c>
      <c r="AK48" s="780"/>
      <c r="AL48" s="801"/>
      <c r="AM48" s="780"/>
      <c r="AN48" s="793"/>
      <c r="AO48" s="780"/>
      <c r="AP48" s="801" t="s">
        <v>766</v>
      </c>
      <c r="AQ48" s="780"/>
      <c r="AR48" s="802"/>
      <c r="AS48" s="780"/>
      <c r="AT48" s="803"/>
      <c r="AU48" s="803"/>
      <c r="AV48" s="804" t="str">
        <f t="shared" si="3"/>
        <v/>
      </c>
      <c r="AW48" s="847" t="str">
        <f>IFERROR(IF(tbl_DCFC[[#This Row],[F Montant HT]]="","",tbl_DCFC[[#This Row],[Marge]]/tbl_DCFC[[#This Row],[F Montant HT]]),"")</f>
        <v/>
      </c>
    </row>
    <row r="49" spans="1:49" ht="15" customHeight="1" x14ac:dyDescent="0.3">
      <c r="A49" s="782"/>
      <c r="B49" s="780" t="str">
        <f>IFERROR(INDEX(Tabelle2[BU],MATCH(tbl_DCFC[[#This Row],[Categorie]],CAT,0)),"")</f>
        <v>SER</v>
      </c>
      <c r="C49" s="781"/>
      <c r="D49" s="782">
        <v>44546</v>
      </c>
      <c r="E49" s="805">
        <v>4701</v>
      </c>
      <c r="F49" s="781" t="s">
        <v>380</v>
      </c>
      <c r="G49" s="781" t="s">
        <v>771</v>
      </c>
      <c r="H49" s="781"/>
      <c r="I49" s="783">
        <v>180</v>
      </c>
      <c r="J49" s="781" t="s">
        <v>259</v>
      </c>
      <c r="K49" s="781" t="s">
        <v>574</v>
      </c>
      <c r="L49" s="781" t="s">
        <v>253</v>
      </c>
      <c r="M49" s="780"/>
      <c r="N49" s="793" t="str">
        <f t="shared" si="4"/>
        <v/>
      </c>
      <c r="O49" s="793" t="str">
        <f>IF(Data!$Q49="","",YEAR(Data!$Q49))</f>
        <v/>
      </c>
      <c r="P49" s="793" t="str">
        <f>IF(Data!$Q49="","",MONTH(Data!$Q49))</f>
        <v/>
      </c>
      <c r="Q49" s="794"/>
      <c r="R49" s="795"/>
      <c r="S49" s="796"/>
      <c r="T49" s="797"/>
      <c r="U49" s="798"/>
      <c r="V49" s="780"/>
      <c r="W49" s="794"/>
      <c r="X49" s="793" t="str">
        <f t="shared" si="0"/>
        <v/>
      </c>
      <c r="Y49" s="793" t="str">
        <f>IF(Data!$AC49="","",YEAR(Data!$AC49))</f>
        <v/>
      </c>
      <c r="Z49" s="822" t="str">
        <f>IF(Data!$AC49="","",MONTH(Data!$AC49))</f>
        <v/>
      </c>
      <c r="AA49" s="794"/>
      <c r="AB49" s="800"/>
      <c r="AC49" s="794"/>
      <c r="AD49" s="796"/>
      <c r="AE49" s="794"/>
      <c r="AF49" s="784"/>
      <c r="AG49"/>
      <c r="AH49" s="780"/>
      <c r="AI49" s="801">
        <v>1</v>
      </c>
      <c r="AJ49" s="801" t="s">
        <v>773</v>
      </c>
      <c r="AK49" s="780"/>
      <c r="AL49" s="801" t="s">
        <v>705</v>
      </c>
      <c r="AM49" s="780"/>
      <c r="AN49" s="793"/>
      <c r="AO49" s="780"/>
      <c r="AP49" s="801" t="s">
        <v>772</v>
      </c>
      <c r="AQ49" s="780"/>
      <c r="AR49" s="802"/>
      <c r="AS49" s="780"/>
      <c r="AT49" s="803"/>
      <c r="AU49" s="803"/>
      <c r="AV49" s="804" t="str">
        <f t="shared" si="3"/>
        <v/>
      </c>
      <c r="AW49" s="847" t="str">
        <f>IFERROR(IF(tbl_DCFC[[#This Row],[F Montant HT]]="","",tbl_DCFC[[#This Row],[Marge]]/tbl_DCFC[[#This Row],[F Montant HT]]),"")</f>
        <v/>
      </c>
    </row>
    <row r="50" spans="1:49" ht="15" customHeight="1" x14ac:dyDescent="0.3">
      <c r="A50" s="782"/>
      <c r="B50" s="780" t="str">
        <f>IFERROR(INDEX(Tabelle2[BU],MATCH(tbl_DCFC[[#This Row],[Categorie]],CAT,0)),"")</f>
        <v>SER</v>
      </c>
      <c r="C50" s="781"/>
      <c r="D50" s="782">
        <v>44547</v>
      </c>
      <c r="E50" s="805">
        <v>4702</v>
      </c>
      <c r="F50" s="781" t="s">
        <v>380</v>
      </c>
      <c r="G50" s="781" t="s">
        <v>381</v>
      </c>
      <c r="H50" s="781" t="s">
        <v>767</v>
      </c>
      <c r="I50" s="783">
        <v>856.8</v>
      </c>
      <c r="J50" s="781" t="s">
        <v>260</v>
      </c>
      <c r="K50" s="781" t="s">
        <v>574</v>
      </c>
      <c r="L50" s="781" t="s">
        <v>9</v>
      </c>
      <c r="M50" s="780"/>
      <c r="N50" s="793" t="str">
        <f t="shared" si="4"/>
        <v/>
      </c>
      <c r="O50" s="793" t="str">
        <f>IF(Data!$Q50="","",YEAR(Data!$Q50))</f>
        <v/>
      </c>
      <c r="P50" s="793" t="str">
        <f>IF(Data!$Q50="","",MONTH(Data!$Q50))</f>
        <v/>
      </c>
      <c r="Q50" s="794"/>
      <c r="R50" s="795"/>
      <c r="S50" s="796"/>
      <c r="T50" s="797"/>
      <c r="U50" s="798"/>
      <c r="V50" s="780"/>
      <c r="W50" s="794"/>
      <c r="X50" s="793" t="str">
        <f t="shared" si="0"/>
        <v/>
      </c>
      <c r="Y50" s="793" t="str">
        <f>IF(Data!$AC50="","",YEAR(Data!$AC50))</f>
        <v/>
      </c>
      <c r="Z50" s="822" t="str">
        <f>IF(Data!$AC50="","",MONTH(Data!$AC50))</f>
        <v/>
      </c>
      <c r="AA50" s="794"/>
      <c r="AB50" s="800"/>
      <c r="AC50" s="794"/>
      <c r="AD50" s="796"/>
      <c r="AE50" s="794">
        <v>44631</v>
      </c>
      <c r="AF50" s="784"/>
      <c r="AG50"/>
      <c r="AH50" s="780"/>
      <c r="AI50" s="806">
        <v>1</v>
      </c>
      <c r="AJ50" s="806" t="s">
        <v>774</v>
      </c>
      <c r="AK50" s="780"/>
      <c r="AL50" s="801" t="s">
        <v>943</v>
      </c>
      <c r="AM50" s="780"/>
      <c r="AN50" s="793"/>
      <c r="AO50" s="780"/>
      <c r="AP50" s="806" t="s">
        <v>775</v>
      </c>
      <c r="AQ50" s="780"/>
      <c r="AR50" s="808"/>
      <c r="AS50" s="780"/>
      <c r="AT50" s="809"/>
      <c r="AU50" s="809"/>
      <c r="AV50" s="804" t="str">
        <f t="shared" si="3"/>
        <v/>
      </c>
      <c r="AW50" s="847" t="str">
        <f>IFERROR(IF(tbl_DCFC[[#This Row],[F Montant HT]]="","",tbl_DCFC[[#This Row],[Marge]]/tbl_DCFC[[#This Row],[F Montant HT]]),"")</f>
        <v/>
      </c>
    </row>
    <row r="51" spans="1:49" ht="15" customHeight="1" x14ac:dyDescent="0.3">
      <c r="A51" s="799">
        <v>44564</v>
      </c>
      <c r="B51" s="780" t="str">
        <f>IFERROR(INDEX(Tabelle2[BU],MATCH(tbl_DCFC[[#This Row],[Categorie]],CAT,0)),"")</f>
        <v>SER</v>
      </c>
      <c r="C51" s="806" t="str">
        <f t="shared" ref="C51:C82" si="5">IF(D51&lt;&gt;"","S"&amp;TEXT(WEEKNUM(D51,21),"00"),"")</f>
        <v>S01</v>
      </c>
      <c r="D51" s="799">
        <v>44564</v>
      </c>
      <c r="E51" s="793">
        <v>4704</v>
      </c>
      <c r="F51" s="793" t="s">
        <v>380</v>
      </c>
      <c r="G51" s="793" t="s">
        <v>570</v>
      </c>
      <c r="H51" s="793"/>
      <c r="I51" s="821">
        <v>3238</v>
      </c>
      <c r="J51" s="793" t="s">
        <v>259</v>
      </c>
      <c r="K51" s="793" t="s">
        <v>574</v>
      </c>
      <c r="L51" s="855" t="s">
        <v>5</v>
      </c>
      <c r="M51" s="780"/>
      <c r="N51" s="39" t="str">
        <f t="shared" si="4"/>
        <v>S07</v>
      </c>
      <c r="O51" s="39">
        <f>IF(Data!$Q51="","",YEAR(Data!$Q51))</f>
        <v>2022</v>
      </c>
      <c r="P51" s="39">
        <f>IF(Data!$Q51="","",MONTH(Data!$Q51))</f>
        <v>2</v>
      </c>
      <c r="Q51" s="64">
        <v>44608</v>
      </c>
      <c r="R51" s="437" t="s">
        <v>900</v>
      </c>
      <c r="S51" s="637">
        <v>3238</v>
      </c>
      <c r="T51" s="39"/>
      <c r="U51" s="39"/>
      <c r="V51" s="780"/>
      <c r="W51" s="64"/>
      <c r="X51" s="39" t="str">
        <f t="shared" si="0"/>
        <v/>
      </c>
      <c r="Y51" s="39" t="str">
        <f>IF(Data!$AC51="","",YEAR(Data!$AC51))</f>
        <v/>
      </c>
      <c r="Z51" s="39" t="str">
        <f>IF(Data!$AC51="","",MONTH(Data!$AC51))</f>
        <v/>
      </c>
      <c r="AA51" s="64"/>
      <c r="AB51" s="39"/>
      <c r="AC51" s="64"/>
      <c r="AD51" s="637"/>
      <c r="AE51" s="64">
        <v>44680</v>
      </c>
      <c r="AF51" s="784"/>
      <c r="AG51"/>
      <c r="AH51" s="780"/>
      <c r="AI51" s="801">
        <v>1</v>
      </c>
      <c r="AJ51" s="801" t="s">
        <v>791</v>
      </c>
      <c r="AK51" s="780"/>
      <c r="AL51" s="437"/>
      <c r="AM51" s="780"/>
      <c r="AN51" s="793"/>
      <c r="AO51" s="780"/>
      <c r="AP51" s="801" t="s">
        <v>792</v>
      </c>
      <c r="AQ51" s="780"/>
      <c r="AR51" s="802"/>
      <c r="AS51" s="780"/>
      <c r="AT51" s="803"/>
      <c r="AU51" s="803"/>
      <c r="AV51" s="804" t="str">
        <f t="shared" si="3"/>
        <v/>
      </c>
      <c r="AW51" s="847" t="str">
        <f>IFERROR(IF(tbl_DCFC[[#This Row],[F Montant HT]]="","",tbl_DCFC[[#This Row],[Marge]]/tbl_DCFC[[#This Row],[F Montant HT]]),"")</f>
        <v/>
      </c>
    </row>
    <row r="52" spans="1:49" s="437" customFormat="1" ht="15" customHeight="1" x14ac:dyDescent="0.3">
      <c r="A52" s="799">
        <v>44566</v>
      </c>
      <c r="B52" s="780" t="str">
        <f>IFERROR(INDEX(Tabelle2[BU],MATCH(tbl_DCFC[[#This Row],[Categorie]],CAT,0)),"")</f>
        <v>SER</v>
      </c>
      <c r="C52" s="806" t="str">
        <f t="shared" si="5"/>
        <v>S01</v>
      </c>
      <c r="D52" s="799">
        <v>44566</v>
      </c>
      <c r="E52" s="793">
        <v>4705</v>
      </c>
      <c r="F52" s="793" t="s">
        <v>380</v>
      </c>
      <c r="G52" s="793" t="s">
        <v>793</v>
      </c>
      <c r="H52" s="793"/>
      <c r="I52" s="821">
        <v>660</v>
      </c>
      <c r="J52" s="793" t="s">
        <v>259</v>
      </c>
      <c r="K52" s="793" t="s">
        <v>574</v>
      </c>
      <c r="L52" s="855" t="s">
        <v>5</v>
      </c>
      <c r="M52" s="780"/>
      <c r="N52" s="39" t="str">
        <f t="shared" si="4"/>
        <v>S03</v>
      </c>
      <c r="O52" s="39">
        <f>IF(Data!$Q52="","",YEAR(Data!$Q52))</f>
        <v>2022</v>
      </c>
      <c r="P52" s="39">
        <f>IF(Data!$Q52="","",MONTH(Data!$Q52))</f>
        <v>1</v>
      </c>
      <c r="Q52" s="64">
        <v>44578</v>
      </c>
      <c r="R52" s="437" t="s">
        <v>811</v>
      </c>
      <c r="S52" s="637">
        <v>660</v>
      </c>
      <c r="T52" s="39"/>
      <c r="U52" s="39"/>
      <c r="V52" s="780"/>
      <c r="W52" s="64"/>
      <c r="X52" s="39" t="str">
        <f t="shared" si="0"/>
        <v>S07</v>
      </c>
      <c r="Y52" s="39">
        <f>IF(Data!$AC52="","",YEAR(Data!$AC52))</f>
        <v>2022</v>
      </c>
      <c r="Z52" s="39">
        <f>IF(Data!$AC52="","",MONTH(Data!$AC52))</f>
        <v>2</v>
      </c>
      <c r="AA52" s="64">
        <v>44610</v>
      </c>
      <c r="AB52" s="39">
        <v>5204</v>
      </c>
      <c r="AC52" s="64">
        <v>44610</v>
      </c>
      <c r="AD52" s="637">
        <v>660</v>
      </c>
      <c r="AE52" s="64">
        <v>44617</v>
      </c>
      <c r="AF52" s="784"/>
      <c r="AH52" s="780"/>
      <c r="AI52" s="801">
        <v>1</v>
      </c>
      <c r="AJ52" s="801" t="s">
        <v>794</v>
      </c>
      <c r="AK52" s="780"/>
      <c r="AM52" s="780"/>
      <c r="AN52" s="793"/>
      <c r="AO52" s="780"/>
      <c r="AP52" s="801" t="s">
        <v>795</v>
      </c>
      <c r="AQ52" s="780"/>
      <c r="AR52" s="802"/>
      <c r="AS52" s="780"/>
      <c r="AT52" s="803">
        <v>387.03</v>
      </c>
      <c r="AU52" s="803">
        <v>100</v>
      </c>
      <c r="AV52" s="804">
        <f t="shared" si="3"/>
        <v>172.97000000000003</v>
      </c>
      <c r="AW52" s="847">
        <f>IFERROR(IF(tbl_DCFC[[#This Row],[F Montant HT]]="","",tbl_DCFC[[#This Row],[Marge]]/tbl_DCFC[[#This Row],[F Montant HT]]),"")</f>
        <v>0.26207575757575763</v>
      </c>
    </row>
    <row r="53" spans="1:49" s="437" customFormat="1" ht="15" customHeight="1" x14ac:dyDescent="0.3">
      <c r="A53" s="799">
        <v>44568</v>
      </c>
      <c r="B53" s="780" t="str">
        <f>IFERROR(INDEX(Tabelle2[BU],MATCH(tbl_DCFC[[#This Row],[Categorie]],CAT,0)),"")</f>
        <v>SER</v>
      </c>
      <c r="C53" s="806" t="str">
        <f t="shared" si="5"/>
        <v>S01</v>
      </c>
      <c r="D53" s="799">
        <v>44568</v>
      </c>
      <c r="E53" s="793">
        <v>4631</v>
      </c>
      <c r="F53" s="793" t="s">
        <v>796</v>
      </c>
      <c r="G53" s="793" t="s">
        <v>389</v>
      </c>
      <c r="H53" s="793"/>
      <c r="I53" s="821">
        <v>7387</v>
      </c>
      <c r="J53" s="793" t="s">
        <v>260</v>
      </c>
      <c r="K53" s="793" t="s">
        <v>574</v>
      </c>
      <c r="L53" s="855" t="s">
        <v>9</v>
      </c>
      <c r="M53" s="780"/>
      <c r="N53" s="39" t="str">
        <f t="shared" si="4"/>
        <v/>
      </c>
      <c r="O53" s="39" t="str">
        <f>IF(Data!$Q53="","",YEAR(Data!$Q53))</f>
        <v/>
      </c>
      <c r="P53" s="39" t="str">
        <f>IF(Data!$Q53="","",MONTH(Data!$Q53))</f>
        <v/>
      </c>
      <c r="Q53" s="64"/>
      <c r="R53" s="39"/>
      <c r="S53" s="637"/>
      <c r="T53" s="39"/>
      <c r="U53" s="39"/>
      <c r="V53" s="780"/>
      <c r="W53" s="64"/>
      <c r="X53" s="39" t="str">
        <f t="shared" si="0"/>
        <v/>
      </c>
      <c r="Y53" s="39" t="str">
        <f>IF(Data!$AC53="","",YEAR(Data!$AC53))</f>
        <v/>
      </c>
      <c r="Z53" s="39" t="str">
        <f>IF(Data!$AC53="","",MONTH(Data!$AC53))</f>
        <v/>
      </c>
      <c r="AA53" s="64"/>
      <c r="AB53" s="39"/>
      <c r="AC53" s="64"/>
      <c r="AD53" s="637"/>
      <c r="AE53" s="64"/>
      <c r="AF53" s="784"/>
      <c r="AH53" s="780"/>
      <c r="AI53" s="801">
        <v>1</v>
      </c>
      <c r="AJ53" s="801" t="s">
        <v>695</v>
      </c>
      <c r="AK53" s="780"/>
      <c r="AL53" s="39"/>
      <c r="AM53" s="780"/>
      <c r="AN53" s="793"/>
      <c r="AO53" s="780"/>
      <c r="AP53" s="801" t="s">
        <v>684</v>
      </c>
      <c r="AQ53" s="780"/>
      <c r="AR53" s="802"/>
      <c r="AS53" s="780"/>
      <c r="AT53" s="803"/>
      <c r="AU53" s="803"/>
      <c r="AV53" s="804" t="str">
        <f t="shared" si="3"/>
        <v/>
      </c>
      <c r="AW53" s="847" t="str">
        <f>IFERROR(IF(tbl_DCFC[[#This Row],[F Montant HT]]="","",tbl_DCFC[[#This Row],[Marge]]/tbl_DCFC[[#This Row],[F Montant HT]]),"")</f>
        <v/>
      </c>
    </row>
    <row r="54" spans="1:49" s="437" customFormat="1" ht="15" customHeight="1" x14ac:dyDescent="0.3">
      <c r="A54" s="799">
        <v>44568</v>
      </c>
      <c r="B54" s="780" t="str">
        <f>IFERROR(INDEX(Tabelle2[BU],MATCH(tbl_DCFC[[#This Row],[Categorie]],CAT,0)),"")</f>
        <v>SER</v>
      </c>
      <c r="C54" s="806" t="str">
        <f t="shared" si="5"/>
        <v>S01</v>
      </c>
      <c r="D54" s="799">
        <v>44568</v>
      </c>
      <c r="E54" s="793">
        <v>4706</v>
      </c>
      <c r="F54" s="793" t="s">
        <v>380</v>
      </c>
      <c r="G54" s="793" t="s">
        <v>381</v>
      </c>
      <c r="H54" s="793"/>
      <c r="I54" s="821">
        <v>1434</v>
      </c>
      <c r="J54" s="793" t="s">
        <v>395</v>
      </c>
      <c r="K54" s="793" t="s">
        <v>574</v>
      </c>
      <c r="L54" s="855" t="s">
        <v>5</v>
      </c>
      <c r="M54" s="780"/>
      <c r="N54" s="39" t="str">
        <f t="shared" si="4"/>
        <v>S02</v>
      </c>
      <c r="O54" s="39">
        <f>IF(Data!$Q54="","",YEAR(Data!$Q54))</f>
        <v>2022</v>
      </c>
      <c r="P54" s="39">
        <f>IF(Data!$Q54="","",MONTH(Data!$Q54))</f>
        <v>1</v>
      </c>
      <c r="Q54" s="64">
        <v>44571</v>
      </c>
      <c r="R54" s="9" t="s">
        <v>798</v>
      </c>
      <c r="S54" s="637">
        <v>1434</v>
      </c>
      <c r="T54" s="39"/>
      <c r="U54" s="39"/>
      <c r="V54" s="780"/>
      <c r="W54" s="64"/>
      <c r="X54" s="39" t="str">
        <f t="shared" si="0"/>
        <v>S03</v>
      </c>
      <c r="Y54" s="39">
        <f>IF(Data!$AC54="","",YEAR(Data!$AC54))</f>
        <v>2022</v>
      </c>
      <c r="Z54" s="39">
        <f>IF(Data!$AC54="","",MONTH(Data!$AC54))</f>
        <v>1</v>
      </c>
      <c r="AA54" s="64">
        <v>44573</v>
      </c>
      <c r="AB54" s="39">
        <v>5190</v>
      </c>
      <c r="AC54" s="64">
        <v>44581</v>
      </c>
      <c r="AD54" s="637">
        <v>1434</v>
      </c>
      <c r="AE54" s="64">
        <v>44575</v>
      </c>
      <c r="AF54" s="784"/>
      <c r="AH54" s="780"/>
      <c r="AI54" s="801">
        <v>1</v>
      </c>
      <c r="AJ54" s="801" t="s">
        <v>799</v>
      </c>
      <c r="AK54" s="780"/>
      <c r="AM54" s="780"/>
      <c r="AN54" s="793"/>
      <c r="AO54" s="780"/>
      <c r="AP54" s="801" t="s">
        <v>801</v>
      </c>
      <c r="AQ54" s="780"/>
      <c r="AR54" s="802"/>
      <c r="AS54" s="780"/>
      <c r="AT54" s="803"/>
      <c r="AU54" s="803"/>
      <c r="AV54" s="804" t="str">
        <f t="shared" si="3"/>
        <v/>
      </c>
      <c r="AW54" s="847" t="str">
        <f>IFERROR(IF(tbl_DCFC[[#This Row],[F Montant HT]]="","",tbl_DCFC[[#This Row],[Marge]]/tbl_DCFC[[#This Row],[F Montant HT]]),"")</f>
        <v/>
      </c>
    </row>
    <row r="55" spans="1:49" s="437" customFormat="1" ht="15" customHeight="1" x14ac:dyDescent="0.3">
      <c r="A55" s="799">
        <v>44568</v>
      </c>
      <c r="B55" s="780" t="str">
        <f>IFERROR(INDEX(Tabelle2[BU],MATCH(tbl_DCFC[[#This Row],[Categorie]],CAT,0)),"")</f>
        <v>SER</v>
      </c>
      <c r="C55" s="806" t="str">
        <f t="shared" si="5"/>
        <v>S01</v>
      </c>
      <c r="D55" s="799">
        <v>44568</v>
      </c>
      <c r="E55" s="793">
        <v>4707</v>
      </c>
      <c r="F55" s="793" t="s">
        <v>380</v>
      </c>
      <c r="G55" s="793" t="s">
        <v>797</v>
      </c>
      <c r="H55" s="793"/>
      <c r="I55" s="821"/>
      <c r="J55" s="793" t="s">
        <v>259</v>
      </c>
      <c r="K55" s="793" t="s">
        <v>574</v>
      </c>
      <c r="L55" s="855" t="s">
        <v>9</v>
      </c>
      <c r="M55" s="780"/>
      <c r="N55" s="39" t="str">
        <f t="shared" si="4"/>
        <v/>
      </c>
      <c r="O55" s="39" t="str">
        <f>IF(Data!$Q55="","",YEAR(Data!$Q55))</f>
        <v/>
      </c>
      <c r="P55" s="39" t="str">
        <f>IF(Data!$Q55="","",MONTH(Data!$Q55))</f>
        <v/>
      </c>
      <c r="Q55" s="64"/>
      <c r="S55" s="637"/>
      <c r="T55" s="39"/>
      <c r="U55" s="39" t="s">
        <v>385</v>
      </c>
      <c r="V55" s="780"/>
      <c r="W55" s="64"/>
      <c r="X55" s="39" t="str">
        <f t="shared" si="0"/>
        <v/>
      </c>
      <c r="Y55" s="39" t="str">
        <f>IF(Data!$AC55="","",YEAR(Data!$AC55))</f>
        <v/>
      </c>
      <c r="Z55" s="39" t="str">
        <f>IF(Data!$AC55="","",MONTH(Data!$AC55))</f>
        <v/>
      </c>
      <c r="AA55" s="64"/>
      <c r="AB55" s="39"/>
      <c r="AC55" s="64"/>
      <c r="AD55" s="637"/>
      <c r="AE55" s="64"/>
      <c r="AF55" s="784"/>
      <c r="AH55" s="780"/>
      <c r="AI55" s="801">
        <v>1</v>
      </c>
      <c r="AJ55" s="801" t="s">
        <v>800</v>
      </c>
      <c r="AK55" s="780"/>
      <c r="AL55" s="437" t="s">
        <v>961</v>
      </c>
      <c r="AM55" s="780"/>
      <c r="AN55" s="793"/>
      <c r="AO55" s="780"/>
      <c r="AP55" s="801" t="s">
        <v>802</v>
      </c>
      <c r="AQ55" s="780"/>
      <c r="AR55" s="802"/>
      <c r="AS55" s="780"/>
      <c r="AT55" s="803"/>
      <c r="AU55" s="803"/>
      <c r="AV55" s="804" t="str">
        <f t="shared" si="3"/>
        <v/>
      </c>
      <c r="AW55" s="847" t="str">
        <f>IFERROR(IF(tbl_DCFC[[#This Row],[F Montant HT]]="","",tbl_DCFC[[#This Row],[Marge]]/tbl_DCFC[[#This Row],[F Montant HT]]),"")</f>
        <v/>
      </c>
    </row>
    <row r="56" spans="1:49" s="437" customFormat="1" ht="15" customHeight="1" x14ac:dyDescent="0.3">
      <c r="A56" s="799">
        <v>44573</v>
      </c>
      <c r="B56" s="780" t="str">
        <f>IFERROR(INDEX(Tabelle2[BU],MATCH(tbl_DCFC[[#This Row],[Categorie]],CAT,0)),"")</f>
        <v>SER</v>
      </c>
      <c r="C56" s="806" t="str">
        <f t="shared" si="5"/>
        <v>S02</v>
      </c>
      <c r="D56" s="799">
        <v>44573</v>
      </c>
      <c r="E56" s="793">
        <v>4641</v>
      </c>
      <c r="F56" s="793" t="s">
        <v>382</v>
      </c>
      <c r="G56" s="793" t="s">
        <v>389</v>
      </c>
      <c r="H56" s="793"/>
      <c r="I56" s="821">
        <v>2715</v>
      </c>
      <c r="J56" s="793" t="s">
        <v>260</v>
      </c>
      <c r="K56" s="793" t="s">
        <v>574</v>
      </c>
      <c r="L56" s="855" t="s">
        <v>5</v>
      </c>
      <c r="M56" s="780"/>
      <c r="N56" s="39" t="str">
        <f t="shared" si="4"/>
        <v>S10</v>
      </c>
      <c r="O56" s="39">
        <f>IF(Data!$Q56="","",YEAR(Data!$Q56))</f>
        <v>2022</v>
      </c>
      <c r="P56" s="39">
        <f>IF(Data!$Q56="","",MONTH(Data!$Q56))</f>
        <v>3</v>
      </c>
      <c r="Q56" s="64">
        <v>44627</v>
      </c>
      <c r="R56" s="39" t="s">
        <v>952</v>
      </c>
      <c r="S56" s="637">
        <v>2715</v>
      </c>
      <c r="T56" s="39"/>
      <c r="U56" s="39" t="s">
        <v>385</v>
      </c>
      <c r="V56" s="780"/>
      <c r="W56" s="64"/>
      <c r="X56" s="39" t="str">
        <f t="shared" si="0"/>
        <v/>
      </c>
      <c r="Y56" s="39" t="str">
        <f>IF(Data!$AC56="","",YEAR(Data!$AC56))</f>
        <v/>
      </c>
      <c r="Z56" s="39" t="str">
        <f>IF(Data!$AC56="","",MONTH(Data!$AC56))</f>
        <v/>
      </c>
      <c r="AA56" s="64"/>
      <c r="AB56" s="39"/>
      <c r="AC56" s="64"/>
      <c r="AD56" s="637"/>
      <c r="AE56" s="64">
        <v>44645</v>
      </c>
      <c r="AF56" s="784"/>
      <c r="AH56" s="780"/>
      <c r="AI56" s="801">
        <v>1</v>
      </c>
      <c r="AJ56" s="801" t="s">
        <v>806</v>
      </c>
      <c r="AK56" s="780"/>
      <c r="AL56" s="39" t="s">
        <v>953</v>
      </c>
      <c r="AM56" s="780"/>
      <c r="AN56" s="793"/>
      <c r="AO56" s="780"/>
      <c r="AP56" s="801" t="s">
        <v>807</v>
      </c>
      <c r="AQ56" s="780"/>
      <c r="AR56" s="802"/>
      <c r="AS56" s="780"/>
      <c r="AT56" s="803"/>
      <c r="AU56" s="803"/>
      <c r="AV56" s="804" t="str">
        <f t="shared" si="3"/>
        <v/>
      </c>
      <c r="AW56" s="847" t="str">
        <f>IFERROR(IF(tbl_DCFC[[#This Row],[F Montant HT]]="","",tbl_DCFC[[#This Row],[Marge]]/tbl_DCFC[[#This Row],[F Montant HT]]),"")</f>
        <v/>
      </c>
    </row>
    <row r="57" spans="1:49" s="437" customFormat="1" ht="15" customHeight="1" x14ac:dyDescent="0.3">
      <c r="A57" s="799">
        <v>44578</v>
      </c>
      <c r="B57" s="780" t="str">
        <f>IFERROR(INDEX(Tabelle2[BU],MATCH(tbl_DCFC[[#This Row],[Categorie]],CAT,0)),"")</f>
        <v>SER</v>
      </c>
      <c r="C57" s="806" t="str">
        <f t="shared" si="5"/>
        <v>S03</v>
      </c>
      <c r="D57" s="799">
        <v>44578</v>
      </c>
      <c r="E57" s="793">
        <v>4708</v>
      </c>
      <c r="F57" s="793" t="s">
        <v>380</v>
      </c>
      <c r="G57" s="793" t="s">
        <v>808</v>
      </c>
      <c r="H57" s="793"/>
      <c r="I57" s="821">
        <v>4303</v>
      </c>
      <c r="J57" s="793" t="s">
        <v>259</v>
      </c>
      <c r="K57" s="793" t="s">
        <v>574</v>
      </c>
      <c r="L57" s="855" t="s">
        <v>5</v>
      </c>
      <c r="M57" s="780"/>
      <c r="N57" s="39" t="str">
        <f t="shared" si="4"/>
        <v>S04</v>
      </c>
      <c r="O57" s="39">
        <f>IF(Data!$Q57="","",YEAR(Data!$Q57))</f>
        <v>2022</v>
      </c>
      <c r="P57" s="39">
        <f>IF(Data!$Q57="","",MONTH(Data!$Q57))</f>
        <v>1</v>
      </c>
      <c r="Q57" s="64">
        <v>44587</v>
      </c>
      <c r="R57" s="437" t="s">
        <v>840</v>
      </c>
      <c r="S57" s="637">
        <v>4303</v>
      </c>
      <c r="T57" s="39"/>
      <c r="U57" s="39" t="s">
        <v>385</v>
      </c>
      <c r="V57" s="780"/>
      <c r="W57" s="64"/>
      <c r="X57" s="39" t="str">
        <f t="shared" si="0"/>
        <v/>
      </c>
      <c r="Y57" s="39" t="str">
        <f>IF(Data!$AC57="","",YEAR(Data!$AC57))</f>
        <v/>
      </c>
      <c r="Z57" s="39" t="str">
        <f>IF(Data!$AC57="","",MONTH(Data!$AC57))</f>
        <v/>
      </c>
      <c r="AA57" s="64"/>
      <c r="AB57" s="39"/>
      <c r="AC57" s="64"/>
      <c r="AD57" s="637"/>
      <c r="AE57" s="64">
        <v>44694</v>
      </c>
      <c r="AF57" s="784"/>
      <c r="AH57" s="780"/>
      <c r="AI57" s="801">
        <v>1</v>
      </c>
      <c r="AJ57" s="801" t="s">
        <v>809</v>
      </c>
      <c r="AK57" s="780"/>
      <c r="AM57" s="780"/>
      <c r="AN57" s="793"/>
      <c r="AO57" s="780"/>
      <c r="AP57" s="801" t="s">
        <v>810</v>
      </c>
      <c r="AQ57" s="780"/>
      <c r="AR57" s="802"/>
      <c r="AS57" s="780"/>
      <c r="AT57" s="803"/>
      <c r="AU57" s="803"/>
      <c r="AV57" s="804" t="str">
        <f t="shared" si="3"/>
        <v/>
      </c>
      <c r="AW57" s="847" t="str">
        <f>IFERROR(IF(tbl_DCFC[[#This Row],[F Montant HT]]="","",tbl_DCFC[[#This Row],[Marge]]/tbl_DCFC[[#This Row],[F Montant HT]]),"")</f>
        <v/>
      </c>
    </row>
    <row r="58" spans="1:49" s="437" customFormat="1" ht="15" customHeight="1" x14ac:dyDescent="0.3">
      <c r="A58" s="799">
        <v>44579</v>
      </c>
      <c r="B58" s="780" t="str">
        <f>IFERROR(INDEX(Tabelle2[BU],MATCH(tbl_DCFC[[#This Row],[Categorie]],CAT,0)),"")</f>
        <v>SER</v>
      </c>
      <c r="C58" s="806" t="str">
        <f t="shared" si="5"/>
        <v>S03</v>
      </c>
      <c r="D58" s="799">
        <v>44579</v>
      </c>
      <c r="E58" s="793">
        <v>4709</v>
      </c>
      <c r="F58" s="793" t="s">
        <v>380</v>
      </c>
      <c r="G58" s="793" t="s">
        <v>114</v>
      </c>
      <c r="H58" s="793"/>
      <c r="I58" s="821">
        <v>2120</v>
      </c>
      <c r="J58" s="793" t="s">
        <v>260</v>
      </c>
      <c r="K58" s="793" t="s">
        <v>569</v>
      </c>
      <c r="L58" s="855" t="s">
        <v>5</v>
      </c>
      <c r="M58" s="780"/>
      <c r="N58" s="39" t="str">
        <f t="shared" si="4"/>
        <v>S06</v>
      </c>
      <c r="O58" s="39">
        <f>IF(Data!$Q58="","",YEAR(Data!$Q58))</f>
        <v>2022</v>
      </c>
      <c r="P58" s="39">
        <f>IF(Data!$Q58="","",MONTH(Data!$Q58))</f>
        <v>2</v>
      </c>
      <c r="Q58" s="64">
        <v>44601</v>
      </c>
      <c r="R58" s="437" t="s">
        <v>881</v>
      </c>
      <c r="S58" s="637">
        <v>2120</v>
      </c>
      <c r="T58" s="39"/>
      <c r="U58" s="39" t="s">
        <v>385</v>
      </c>
      <c r="V58" s="780"/>
      <c r="W58" s="64"/>
      <c r="X58" s="39" t="str">
        <f t="shared" si="0"/>
        <v/>
      </c>
      <c r="Y58" s="39" t="str">
        <f>IF(Data!$AC58="","",YEAR(Data!$AC58))</f>
        <v/>
      </c>
      <c r="Z58" s="39" t="str">
        <f>IF(Data!$AC58="","",MONTH(Data!$AC58))</f>
        <v/>
      </c>
      <c r="AA58" s="64"/>
      <c r="AB58" s="39"/>
      <c r="AC58" s="64"/>
      <c r="AD58" s="637"/>
      <c r="AE58" s="64">
        <v>44664</v>
      </c>
      <c r="AF58" s="784"/>
      <c r="AH58" s="780"/>
      <c r="AI58" s="801">
        <v>4</v>
      </c>
      <c r="AJ58" s="801" t="s">
        <v>723</v>
      </c>
      <c r="AK58" s="780"/>
      <c r="AL58" s="437" t="s">
        <v>1020</v>
      </c>
      <c r="AM58" s="780"/>
      <c r="AN58" s="793"/>
      <c r="AO58" s="780"/>
      <c r="AP58" s="801" t="s">
        <v>814</v>
      </c>
      <c r="AQ58" s="780"/>
      <c r="AR58" s="802"/>
      <c r="AS58" s="780"/>
      <c r="AT58" s="803">
        <v>2750</v>
      </c>
      <c r="AU58" s="803">
        <v>1105</v>
      </c>
      <c r="AV58" s="804">
        <f t="shared" si="3"/>
        <v>-1735</v>
      </c>
      <c r="AW58" s="847" t="str">
        <f>IFERROR(IF(tbl_DCFC[[#This Row],[F Montant HT]]="","",tbl_DCFC[[#This Row],[Marge]]/tbl_DCFC[[#This Row],[F Montant HT]]),"")</f>
        <v/>
      </c>
    </row>
    <row r="59" spans="1:49" s="437" customFormat="1" ht="15" customHeight="1" x14ac:dyDescent="0.3">
      <c r="A59" s="799">
        <v>44579</v>
      </c>
      <c r="B59" s="780" t="str">
        <f>IFERROR(INDEX(Tabelle2[BU],MATCH(tbl_DCFC[[#This Row],[Categorie]],CAT,0)),"")</f>
        <v>SER</v>
      </c>
      <c r="C59" s="806" t="str">
        <f t="shared" si="5"/>
        <v>S03</v>
      </c>
      <c r="D59" s="799">
        <v>44579</v>
      </c>
      <c r="E59" s="793">
        <v>4710</v>
      </c>
      <c r="F59" s="793" t="s">
        <v>380</v>
      </c>
      <c r="G59" s="793" t="s">
        <v>114</v>
      </c>
      <c r="H59" s="793"/>
      <c r="I59" s="821">
        <v>230</v>
      </c>
      <c r="J59" s="793" t="s">
        <v>260</v>
      </c>
      <c r="K59" s="793" t="s">
        <v>569</v>
      </c>
      <c r="L59" s="855" t="s">
        <v>5</v>
      </c>
      <c r="M59" s="780"/>
      <c r="N59" s="39" t="str">
        <f t="shared" si="4"/>
        <v>S09</v>
      </c>
      <c r="O59" s="39">
        <f>IF(Data!$Q59="","",YEAR(Data!$Q59))</f>
        <v>2022</v>
      </c>
      <c r="P59" s="39">
        <f>IF(Data!$Q59="","",MONTH(Data!$Q59))</f>
        <v>3</v>
      </c>
      <c r="Q59" s="64">
        <v>44621</v>
      </c>
      <c r="R59" s="437" t="s">
        <v>940</v>
      </c>
      <c r="S59" s="637">
        <v>230</v>
      </c>
      <c r="T59" s="39"/>
      <c r="U59" s="39" t="s">
        <v>385</v>
      </c>
      <c r="V59" s="780"/>
      <c r="W59" s="64"/>
      <c r="X59" s="39" t="str">
        <f t="shared" si="0"/>
        <v>S12</v>
      </c>
      <c r="Y59" s="39">
        <f>IF(Data!$AC59="","",YEAR(Data!$AC59))</f>
        <v>2022</v>
      </c>
      <c r="Z59" s="39">
        <f>IF(Data!$AC59="","",MONTH(Data!$AC59))</f>
        <v>3</v>
      </c>
      <c r="AA59" s="64">
        <v>44644</v>
      </c>
      <c r="AB59" s="39">
        <v>5223</v>
      </c>
      <c r="AC59" s="64">
        <v>44645</v>
      </c>
      <c r="AD59" s="637">
        <v>230</v>
      </c>
      <c r="AE59" s="64">
        <v>44677</v>
      </c>
      <c r="AF59" s="784"/>
      <c r="AH59" s="780"/>
      <c r="AI59" s="801">
        <v>1</v>
      </c>
      <c r="AJ59" s="801" t="s">
        <v>721</v>
      </c>
      <c r="AK59" s="780"/>
      <c r="AL59" s="437" t="s">
        <v>1021</v>
      </c>
      <c r="AM59" s="780"/>
      <c r="AN59" s="793"/>
      <c r="AO59" s="780"/>
      <c r="AP59" s="801" t="s">
        <v>815</v>
      </c>
      <c r="AQ59" s="780"/>
      <c r="AR59" s="802"/>
      <c r="AS59" s="780"/>
      <c r="AT59" s="803">
        <v>26</v>
      </c>
      <c r="AU59" s="803"/>
      <c r="AV59" s="804">
        <f t="shared" si="3"/>
        <v>204</v>
      </c>
      <c r="AW59" s="847">
        <f>IFERROR(IF(tbl_DCFC[[#This Row],[F Montant HT]]="","",tbl_DCFC[[#This Row],[Marge]]/tbl_DCFC[[#This Row],[F Montant HT]]),"")</f>
        <v>0.88695652173913042</v>
      </c>
    </row>
    <row r="60" spans="1:49" s="437" customFormat="1" ht="15" customHeight="1" x14ac:dyDescent="0.3">
      <c r="A60" s="799">
        <v>44579</v>
      </c>
      <c r="B60" s="780" t="str">
        <f>IFERROR(INDEX(Tabelle2[BU],MATCH(tbl_DCFC[[#This Row],[Categorie]],CAT,0)),"")</f>
        <v>SER</v>
      </c>
      <c r="C60" s="806" t="str">
        <f t="shared" si="5"/>
        <v>S03</v>
      </c>
      <c r="D60" s="799">
        <v>44579</v>
      </c>
      <c r="E60" s="793">
        <v>4711</v>
      </c>
      <c r="F60" s="793" t="s">
        <v>380</v>
      </c>
      <c r="G60" s="793" t="s">
        <v>816</v>
      </c>
      <c r="H60" s="793"/>
      <c r="I60" s="821">
        <v>4144</v>
      </c>
      <c r="J60" s="793" t="s">
        <v>260</v>
      </c>
      <c r="K60" s="793" t="s">
        <v>574</v>
      </c>
      <c r="L60" s="855" t="s">
        <v>5</v>
      </c>
      <c r="M60" s="780"/>
      <c r="N60" s="39" t="str">
        <f t="shared" si="4"/>
        <v>S10</v>
      </c>
      <c r="O60" s="39">
        <f>IF(Data!$Q60="","",YEAR(Data!$Q60))</f>
        <v>2022</v>
      </c>
      <c r="P60" s="39">
        <f>IF(Data!$Q60="","",MONTH(Data!$Q60))</f>
        <v>3</v>
      </c>
      <c r="Q60" s="64">
        <v>44630</v>
      </c>
      <c r="R60" s="437" t="s">
        <v>845</v>
      </c>
      <c r="S60" s="637">
        <v>4144</v>
      </c>
      <c r="T60" s="39"/>
      <c r="U60" s="39" t="s">
        <v>385</v>
      </c>
      <c r="V60" s="780"/>
      <c r="W60" s="64"/>
      <c r="X60" s="39" t="str">
        <f t="shared" si="0"/>
        <v/>
      </c>
      <c r="Y60" s="39" t="str">
        <f>IF(Data!$AC60="","",YEAR(Data!$AC60))</f>
        <v/>
      </c>
      <c r="Z60" s="39" t="str">
        <f>IF(Data!$AC60="","",MONTH(Data!$AC60))</f>
        <v/>
      </c>
      <c r="AA60" s="64"/>
      <c r="AB60" s="39"/>
      <c r="AC60" s="64"/>
      <c r="AD60" s="637"/>
      <c r="AE60" s="64">
        <v>44659</v>
      </c>
      <c r="AF60" s="784"/>
      <c r="AH60" s="780"/>
      <c r="AI60" s="801">
        <v>1</v>
      </c>
      <c r="AJ60" s="801" t="s">
        <v>817</v>
      </c>
      <c r="AK60" s="780"/>
      <c r="AL60" s="437" t="s">
        <v>918</v>
      </c>
      <c r="AM60" s="780"/>
      <c r="AN60" s="793"/>
      <c r="AO60" s="780"/>
      <c r="AP60" s="801" t="s">
        <v>818</v>
      </c>
      <c r="AQ60" s="780"/>
      <c r="AR60" s="802"/>
      <c r="AS60" s="780"/>
      <c r="AT60" s="803"/>
      <c r="AU60" s="803"/>
      <c r="AV60" s="804" t="str">
        <f t="shared" si="3"/>
        <v/>
      </c>
      <c r="AW60" s="847" t="str">
        <f>IFERROR(IF(tbl_DCFC[[#This Row],[F Montant HT]]="","",tbl_DCFC[[#This Row],[Marge]]/tbl_DCFC[[#This Row],[F Montant HT]]),"")</f>
        <v/>
      </c>
    </row>
    <row r="61" spans="1:49" s="437" customFormat="1" ht="15" customHeight="1" x14ac:dyDescent="0.3">
      <c r="A61" s="799">
        <v>44580</v>
      </c>
      <c r="B61" s="780" t="str">
        <f>IFERROR(INDEX(Tabelle2[BU],MATCH(tbl_DCFC[[#This Row],[Categorie]],CAT,0)),"")</f>
        <v>SER</v>
      </c>
      <c r="C61" s="806" t="str">
        <f t="shared" si="5"/>
        <v>S03</v>
      </c>
      <c r="D61" s="799">
        <v>44580</v>
      </c>
      <c r="E61" s="793">
        <v>4698</v>
      </c>
      <c r="F61" s="793" t="s">
        <v>382</v>
      </c>
      <c r="G61" s="793" t="s">
        <v>397</v>
      </c>
      <c r="H61" s="793"/>
      <c r="I61" s="821">
        <v>3773</v>
      </c>
      <c r="J61" s="793" t="s">
        <v>260</v>
      </c>
      <c r="K61" s="793" t="s">
        <v>574</v>
      </c>
      <c r="L61" s="855" t="s">
        <v>5</v>
      </c>
      <c r="M61" s="780"/>
      <c r="N61" s="39" t="str">
        <f t="shared" si="4"/>
        <v>S04</v>
      </c>
      <c r="O61" s="39">
        <f>IF(Data!$Q61="","",YEAR(Data!$Q61))</f>
        <v>2022</v>
      </c>
      <c r="P61" s="39">
        <f>IF(Data!$Q61="","",MONTH(Data!$Q61))</f>
        <v>1</v>
      </c>
      <c r="Q61" s="64">
        <v>44587</v>
      </c>
      <c r="R61" s="39" t="s">
        <v>761</v>
      </c>
      <c r="S61" s="637">
        <v>3773</v>
      </c>
      <c r="T61" s="39"/>
      <c r="U61" s="39" t="s">
        <v>385</v>
      </c>
      <c r="V61" s="780"/>
      <c r="W61" s="64"/>
      <c r="X61" s="39" t="str">
        <f t="shared" si="0"/>
        <v>S11</v>
      </c>
      <c r="Y61" s="39">
        <f>IF(Data!$AC61="","",YEAR(Data!$AC61))</f>
        <v>2022</v>
      </c>
      <c r="Z61" s="39">
        <f>IF(Data!$AC61="","",MONTH(Data!$AC61))</f>
        <v>3</v>
      </c>
      <c r="AA61" s="64">
        <v>44636</v>
      </c>
      <c r="AB61" s="39">
        <v>5214</v>
      </c>
      <c r="AC61" s="64">
        <v>44638</v>
      </c>
      <c r="AD61" s="637">
        <v>3773</v>
      </c>
      <c r="AE61" s="64">
        <v>44624</v>
      </c>
      <c r="AF61" s="784"/>
      <c r="AH61" s="780"/>
      <c r="AI61" s="801">
        <v>1</v>
      </c>
      <c r="AJ61" s="801" t="s">
        <v>831</v>
      </c>
      <c r="AK61" s="780"/>
      <c r="AL61" s="39" t="s">
        <v>838</v>
      </c>
      <c r="AM61" s="780"/>
      <c r="AN61" s="793"/>
      <c r="AO61" s="780"/>
      <c r="AP61" s="801" t="s">
        <v>763</v>
      </c>
      <c r="AQ61" s="780"/>
      <c r="AR61" s="802"/>
      <c r="AS61" s="780"/>
      <c r="AT61" s="803">
        <v>819</v>
      </c>
      <c r="AU61" s="803">
        <v>312.5</v>
      </c>
      <c r="AV61" s="804">
        <f t="shared" si="3"/>
        <v>2641.5</v>
      </c>
      <c r="AW61" s="847">
        <f>IFERROR(IF(tbl_DCFC[[#This Row],[F Montant HT]]="","",tbl_DCFC[[#This Row],[Marge]]/tbl_DCFC[[#This Row],[F Montant HT]]),"")</f>
        <v>0.700106016432547</v>
      </c>
    </row>
    <row r="62" spans="1:49" s="437" customFormat="1" ht="15" customHeight="1" x14ac:dyDescent="0.3">
      <c r="A62" s="799">
        <v>44581</v>
      </c>
      <c r="B62" s="780" t="str">
        <f>IFERROR(INDEX(Tabelle2[BU],MATCH(tbl_DCFC[[#This Row],[Categorie]],CAT,0)),"")</f>
        <v>SER</v>
      </c>
      <c r="C62" s="806" t="str">
        <f t="shared" si="5"/>
        <v>S03</v>
      </c>
      <c r="D62" s="799">
        <v>44581</v>
      </c>
      <c r="E62" s="793">
        <v>4712</v>
      </c>
      <c r="F62" s="793" t="s">
        <v>380</v>
      </c>
      <c r="G62" s="793" t="s">
        <v>570</v>
      </c>
      <c r="H62" s="793"/>
      <c r="I62" s="821">
        <v>5541</v>
      </c>
      <c r="J62" s="793" t="s">
        <v>259</v>
      </c>
      <c r="K62" s="793" t="s">
        <v>574</v>
      </c>
      <c r="L62" s="855" t="s">
        <v>5</v>
      </c>
      <c r="M62" s="780"/>
      <c r="N62" s="39" t="str">
        <f t="shared" si="4"/>
        <v>S08</v>
      </c>
      <c r="O62" s="39">
        <f>IF(Data!$Q62="","",YEAR(Data!$Q62))</f>
        <v>2022</v>
      </c>
      <c r="P62" s="39">
        <f>IF(Data!$Q62="","",MONTH(Data!$Q62))</f>
        <v>2</v>
      </c>
      <c r="Q62" s="64">
        <v>44615</v>
      </c>
      <c r="R62" s="437" t="s">
        <v>909</v>
      </c>
      <c r="S62" s="637">
        <v>5541</v>
      </c>
      <c r="T62" s="39"/>
      <c r="U62" s="39" t="s">
        <v>385</v>
      </c>
      <c r="V62" s="780"/>
      <c r="W62" s="64">
        <v>44581</v>
      </c>
      <c r="X62" s="39" t="str">
        <f t="shared" si="0"/>
        <v/>
      </c>
      <c r="Y62" s="39" t="str">
        <f>IF(Data!$AC62="","",YEAR(Data!$AC62))</f>
        <v/>
      </c>
      <c r="Z62" s="39" t="str">
        <f>IF(Data!$AC62="","",MONTH(Data!$AC62))</f>
        <v/>
      </c>
      <c r="AA62" s="64"/>
      <c r="AB62" s="39"/>
      <c r="AC62" s="64"/>
      <c r="AD62" s="637"/>
      <c r="AE62" s="64">
        <v>44722</v>
      </c>
      <c r="AF62" s="784"/>
      <c r="AH62" s="780"/>
      <c r="AI62" s="801">
        <v>1</v>
      </c>
      <c r="AJ62" s="801" t="s">
        <v>834</v>
      </c>
      <c r="AK62" s="780"/>
      <c r="AM62" s="780"/>
      <c r="AN62" s="793"/>
      <c r="AO62" s="780"/>
      <c r="AP62" s="801" t="s">
        <v>835</v>
      </c>
      <c r="AQ62" s="780"/>
      <c r="AR62" s="802"/>
      <c r="AS62" s="780"/>
      <c r="AT62" s="803"/>
      <c r="AU62" s="803"/>
      <c r="AV62" s="804" t="str">
        <f t="shared" si="3"/>
        <v/>
      </c>
      <c r="AW62" s="847" t="str">
        <f>IFERROR(IF(tbl_DCFC[[#This Row],[F Montant HT]]="","",tbl_DCFC[[#This Row],[Marge]]/tbl_DCFC[[#This Row],[F Montant HT]]),"")</f>
        <v/>
      </c>
    </row>
    <row r="63" spans="1:49" s="437" customFormat="1" ht="15" customHeight="1" x14ac:dyDescent="0.3">
      <c r="A63" s="799">
        <v>44586</v>
      </c>
      <c r="B63" s="780" t="str">
        <f>IFERROR(INDEX(Tabelle2[BU],MATCH(tbl_DCFC[[#This Row],[Categorie]],CAT,0)),"")</f>
        <v>SER</v>
      </c>
      <c r="C63" s="806" t="str">
        <f t="shared" si="5"/>
        <v>S04</v>
      </c>
      <c r="D63" s="799">
        <v>44586</v>
      </c>
      <c r="E63" s="793">
        <v>4713</v>
      </c>
      <c r="F63" s="793" t="s">
        <v>380</v>
      </c>
      <c r="G63" s="793" t="s">
        <v>397</v>
      </c>
      <c r="H63" s="793"/>
      <c r="I63" s="821">
        <v>660</v>
      </c>
      <c r="J63" s="793" t="s">
        <v>260</v>
      </c>
      <c r="K63" s="793" t="s">
        <v>574</v>
      </c>
      <c r="L63" s="855" t="s">
        <v>5</v>
      </c>
      <c r="M63" s="780"/>
      <c r="N63" s="39" t="str">
        <f t="shared" si="4"/>
        <v>S04</v>
      </c>
      <c r="O63" s="39">
        <f>IF(Data!$Q63="","",YEAR(Data!$Q63))</f>
        <v>2022</v>
      </c>
      <c r="P63" s="39">
        <f>IF(Data!$Q63="","",MONTH(Data!$Q63))</f>
        <v>1</v>
      </c>
      <c r="Q63" s="64">
        <v>44587</v>
      </c>
      <c r="R63" s="437" t="s">
        <v>837</v>
      </c>
      <c r="S63" s="637">
        <v>660</v>
      </c>
      <c r="T63" s="39"/>
      <c r="U63" s="39" t="s">
        <v>385</v>
      </c>
      <c r="V63" s="780"/>
      <c r="W63" s="64"/>
      <c r="X63" s="39" t="str">
        <f t="shared" si="0"/>
        <v>S05</v>
      </c>
      <c r="Y63" s="39">
        <f>IF(Data!$AC63="","",YEAR(Data!$AC63))</f>
        <v>2022</v>
      </c>
      <c r="Z63" s="39">
        <f>IF(Data!$AC63="","",MONTH(Data!$AC63))</f>
        <v>1</v>
      </c>
      <c r="AA63" s="64">
        <v>44592</v>
      </c>
      <c r="AB63" s="39">
        <v>5194</v>
      </c>
      <c r="AC63" s="64">
        <v>44592</v>
      </c>
      <c r="AD63" s="637">
        <v>660</v>
      </c>
      <c r="AE63" s="64">
        <v>44596</v>
      </c>
      <c r="AF63" s="784"/>
      <c r="AH63" s="780"/>
      <c r="AI63" s="801">
        <v>1</v>
      </c>
      <c r="AJ63" s="801" t="s">
        <v>762</v>
      </c>
      <c r="AK63" s="780"/>
      <c r="AM63" s="780"/>
      <c r="AN63" s="793"/>
      <c r="AO63" s="780"/>
      <c r="AP63" s="801" t="s">
        <v>839</v>
      </c>
      <c r="AQ63" s="780"/>
      <c r="AR63" s="802"/>
      <c r="AS63" s="780"/>
      <c r="AT63" s="803"/>
      <c r="AU63" s="803">
        <v>237.5</v>
      </c>
      <c r="AV63" s="804" t="str">
        <f t="shared" si="3"/>
        <v/>
      </c>
      <c r="AW63" s="847" t="str">
        <f>IFERROR(IF(tbl_DCFC[[#This Row],[F Montant HT]]="","",tbl_DCFC[[#This Row],[Marge]]/tbl_DCFC[[#This Row],[F Montant HT]]),"")</f>
        <v/>
      </c>
    </row>
    <row r="64" spans="1:49" s="437" customFormat="1" ht="15" customHeight="1" x14ac:dyDescent="0.3">
      <c r="A64" s="799">
        <v>44589</v>
      </c>
      <c r="B64" s="780" t="str">
        <f>IFERROR(INDEX(Tabelle2[BU],MATCH(tbl_DCFC[[#This Row],[Categorie]],CAT,0)),"")</f>
        <v/>
      </c>
      <c r="C64" s="806" t="str">
        <f t="shared" si="5"/>
        <v>S04</v>
      </c>
      <c r="D64" s="799">
        <v>44589</v>
      </c>
      <c r="E64" s="793"/>
      <c r="F64" s="793"/>
      <c r="G64" s="793" t="s">
        <v>841</v>
      </c>
      <c r="H64" s="793"/>
      <c r="I64" s="821"/>
      <c r="J64" s="793" t="s">
        <v>842</v>
      </c>
      <c r="K64" s="793"/>
      <c r="L64" s="855"/>
      <c r="M64" s="780"/>
      <c r="N64" s="39"/>
      <c r="O64" s="39" t="str">
        <f>IF(Data!$Q64="","",YEAR(Data!$Q64))</f>
        <v/>
      </c>
      <c r="P64" s="39" t="str">
        <f>IF(Data!$Q64="","",MONTH(Data!$Q64))</f>
        <v/>
      </c>
      <c r="Q64" s="64"/>
      <c r="R64" s="437" t="s">
        <v>843</v>
      </c>
      <c r="S64" s="637"/>
      <c r="T64" s="39"/>
      <c r="U64" s="39"/>
      <c r="V64" s="780"/>
      <c r="W64" s="64"/>
      <c r="X64" s="39" t="str">
        <f t="shared" si="0"/>
        <v>S04</v>
      </c>
      <c r="Y64" s="39">
        <f>IF(Data!$AC64="","",YEAR(Data!$AC64))</f>
        <v>2022</v>
      </c>
      <c r="Z64" s="39">
        <f>IF(Data!$AC64="","",MONTH(Data!$AC64))</f>
        <v>1</v>
      </c>
      <c r="AA64" s="64"/>
      <c r="AB64" s="39">
        <v>5193</v>
      </c>
      <c r="AC64" s="64">
        <v>44589</v>
      </c>
      <c r="AD64" s="637">
        <v>395</v>
      </c>
      <c r="AE64" s="64"/>
      <c r="AF64" s="784"/>
      <c r="AH64" s="780"/>
      <c r="AI64" s="801">
        <v>1</v>
      </c>
      <c r="AJ64" s="801" t="s">
        <v>844</v>
      </c>
      <c r="AK64" s="780"/>
      <c r="AM64" s="780"/>
      <c r="AN64" s="793"/>
      <c r="AO64" s="780"/>
      <c r="AP64" s="801"/>
      <c r="AQ64" s="780"/>
      <c r="AR64" s="802"/>
      <c r="AS64" s="780"/>
      <c r="AT64" s="803"/>
      <c r="AU64" s="803"/>
      <c r="AV64" s="804"/>
      <c r="AW64" s="847"/>
    </row>
    <row r="65" spans="1:49" s="437" customFormat="1" ht="15" customHeight="1" x14ac:dyDescent="0.3">
      <c r="A65" s="799">
        <v>44589</v>
      </c>
      <c r="B65" s="780" t="str">
        <f>IFERROR(INDEX(Tabelle2[BU],MATCH(tbl_DCFC[[#This Row],[Categorie]],CAT,0)),"")</f>
        <v/>
      </c>
      <c r="C65" s="806" t="str">
        <f t="shared" si="5"/>
        <v>S04</v>
      </c>
      <c r="D65" s="799">
        <v>44589</v>
      </c>
      <c r="E65" s="793"/>
      <c r="F65" s="793"/>
      <c r="G65" s="793" t="s">
        <v>841</v>
      </c>
      <c r="H65" s="793"/>
      <c r="I65" s="821"/>
      <c r="J65" s="793" t="s">
        <v>842</v>
      </c>
      <c r="K65" s="793"/>
      <c r="L65" s="855"/>
      <c r="M65" s="780"/>
      <c r="N65" s="39" t="str">
        <f t="shared" ref="N65:N75" si="6">IF(Q65&lt;&gt;"","S"&amp;TEXT(WEEKNUM(Q65,21),"00"),"")</f>
        <v/>
      </c>
      <c r="O65" s="39" t="str">
        <f>IF(Data!$Q65="","",YEAR(Data!$Q65))</f>
        <v/>
      </c>
      <c r="P65" s="39" t="str">
        <f>IF(Data!$Q65="","",MONTH(Data!$Q65))</f>
        <v/>
      </c>
      <c r="Q65" s="64"/>
      <c r="R65" s="437" t="s">
        <v>843</v>
      </c>
      <c r="S65" s="637"/>
      <c r="T65" s="39"/>
      <c r="U65" s="39" t="s">
        <v>385</v>
      </c>
      <c r="V65" s="780"/>
      <c r="W65" s="64"/>
      <c r="X65" s="39" t="str">
        <f t="shared" si="0"/>
        <v>S04</v>
      </c>
      <c r="Y65" s="39">
        <f>IF(Data!$AC65="","",YEAR(Data!$AC65))</f>
        <v>2022</v>
      </c>
      <c r="Z65" s="39">
        <f>IF(Data!$AC65="","",MONTH(Data!$AC65))</f>
        <v>1</v>
      </c>
      <c r="AA65" s="64"/>
      <c r="AB65" s="39">
        <v>5192</v>
      </c>
      <c r="AC65" s="64">
        <v>44589</v>
      </c>
      <c r="AD65" s="637">
        <v>395</v>
      </c>
      <c r="AE65" s="64"/>
      <c r="AF65" s="784"/>
      <c r="AH65" s="780"/>
      <c r="AI65" s="801">
        <v>1</v>
      </c>
      <c r="AJ65" s="801" t="s">
        <v>844</v>
      </c>
      <c r="AK65" s="780"/>
      <c r="AM65" s="780"/>
      <c r="AN65" s="793"/>
      <c r="AO65" s="780"/>
      <c r="AP65" s="801"/>
      <c r="AQ65" s="780"/>
      <c r="AR65" s="802"/>
      <c r="AS65" s="780"/>
      <c r="AT65" s="803"/>
      <c r="AU65" s="803"/>
      <c r="AV65" s="804" t="str">
        <f t="shared" ref="AV65:AV75" si="7">IF(AT65="","",S65-AT65-AU65)</f>
        <v/>
      </c>
      <c r="AW65" s="847" t="str">
        <f>IFERROR(IF(tbl_DCFC[[#This Row],[F Montant HT]]="","",tbl_DCFC[[#This Row],[Marge]]/tbl_DCFC[[#This Row],[F Montant HT]]),"")</f>
        <v/>
      </c>
    </row>
    <row r="66" spans="1:49" s="437" customFormat="1" ht="15" customHeight="1" x14ac:dyDescent="0.3">
      <c r="A66" s="799">
        <v>44588</v>
      </c>
      <c r="B66" s="780" t="str">
        <f>IFERROR(INDEX(Tabelle2[BU],MATCH(tbl_DCFC[[#This Row],[Categorie]],CAT,0)),"")</f>
        <v>SER</v>
      </c>
      <c r="C66" s="806" t="str">
        <f t="shared" si="5"/>
        <v>S04</v>
      </c>
      <c r="D66" s="799">
        <v>44588</v>
      </c>
      <c r="E66" s="793">
        <v>4715</v>
      </c>
      <c r="F66" s="793" t="s">
        <v>380</v>
      </c>
      <c r="G66" s="793" t="s">
        <v>858</v>
      </c>
      <c r="H66" s="793"/>
      <c r="I66" s="821"/>
      <c r="J66" s="793" t="s">
        <v>260</v>
      </c>
      <c r="K66" s="793" t="s">
        <v>569</v>
      </c>
      <c r="L66" s="855" t="s">
        <v>253</v>
      </c>
      <c r="M66" s="780"/>
      <c r="N66" s="39" t="str">
        <f t="shared" si="6"/>
        <v/>
      </c>
      <c r="O66" s="39" t="str">
        <f>IF(Data!$Q66="","",YEAR(Data!$Q66))</f>
        <v/>
      </c>
      <c r="P66" s="39" t="str">
        <f>IF(Data!$Q66="","",MONTH(Data!$Q66))</f>
        <v/>
      </c>
      <c r="Q66" s="64"/>
      <c r="S66" s="637"/>
      <c r="T66" s="39"/>
      <c r="U66" s="39" t="s">
        <v>385</v>
      </c>
      <c r="V66" s="780"/>
      <c r="W66" s="64"/>
      <c r="X66" s="39" t="str">
        <f t="shared" si="0"/>
        <v/>
      </c>
      <c r="Y66" s="39" t="str">
        <f>IF(Data!$AC66="","",YEAR(Data!$AC66))</f>
        <v/>
      </c>
      <c r="Z66" s="39" t="str">
        <f>IF(Data!$AC66="","",MONTH(Data!$AC66))</f>
        <v/>
      </c>
      <c r="AA66" s="64"/>
      <c r="AB66" s="39"/>
      <c r="AC66" s="64"/>
      <c r="AD66" s="637"/>
      <c r="AE66" s="64" t="s">
        <v>385</v>
      </c>
      <c r="AF66" s="784"/>
      <c r="AH66" s="780"/>
      <c r="AI66" s="801">
        <v>1</v>
      </c>
      <c r="AJ66" s="801" t="s">
        <v>859</v>
      </c>
      <c r="AK66" s="780"/>
      <c r="AM66" s="780"/>
      <c r="AN66" s="793"/>
      <c r="AO66" s="780"/>
      <c r="AP66" s="801" t="s">
        <v>860</v>
      </c>
      <c r="AQ66" s="780"/>
      <c r="AR66" s="802"/>
      <c r="AS66" s="780"/>
      <c r="AT66" s="803"/>
      <c r="AU66" s="803"/>
      <c r="AV66" s="804" t="str">
        <f t="shared" si="7"/>
        <v/>
      </c>
      <c r="AW66" s="847" t="str">
        <f>IFERROR(IF(tbl_DCFC[[#This Row],[F Montant HT]]="","",tbl_DCFC[[#This Row],[Marge]]/tbl_DCFC[[#This Row],[F Montant HT]]),"")</f>
        <v/>
      </c>
    </row>
    <row r="67" spans="1:49" s="437" customFormat="1" ht="15" customHeight="1" x14ac:dyDescent="0.3">
      <c r="A67" s="799">
        <v>44595</v>
      </c>
      <c r="B67" s="780" t="str">
        <f>IFERROR(INDEX(Tabelle2[BU],MATCH(tbl_DCFC[[#This Row],[Categorie]],CAT,0)),"")</f>
        <v>SER</v>
      </c>
      <c r="C67" s="806" t="str">
        <f t="shared" si="5"/>
        <v>S05</v>
      </c>
      <c r="D67" s="799">
        <v>44595</v>
      </c>
      <c r="E67" s="793">
        <v>4714</v>
      </c>
      <c r="F67" s="793" t="s">
        <v>380</v>
      </c>
      <c r="G67" s="793" t="s">
        <v>381</v>
      </c>
      <c r="H67" s="793" t="s">
        <v>847</v>
      </c>
      <c r="I67" s="821">
        <v>18596</v>
      </c>
      <c r="J67" s="793" t="s">
        <v>395</v>
      </c>
      <c r="K67" s="793" t="s">
        <v>574</v>
      </c>
      <c r="L67" s="855" t="s">
        <v>9</v>
      </c>
      <c r="M67" s="780"/>
      <c r="N67" s="39" t="str">
        <f t="shared" si="6"/>
        <v/>
      </c>
      <c r="O67" s="39" t="str">
        <f>IF(Data!$Q67="","",YEAR(Data!$Q67))</f>
        <v/>
      </c>
      <c r="P67" s="39" t="str">
        <f>IF(Data!$Q67="","",MONTH(Data!$Q67))</f>
        <v/>
      </c>
      <c r="Q67" s="64"/>
      <c r="S67" s="637"/>
      <c r="T67" s="39"/>
      <c r="U67" s="39" t="s">
        <v>385</v>
      </c>
      <c r="V67" s="780"/>
      <c r="W67" s="64"/>
      <c r="X67" s="39" t="str">
        <f t="shared" ref="X67:X130" si="8">IF(AC67&lt;&gt;"","S"&amp;TEXT(WEEKNUM(AC67,21),"00"),"")</f>
        <v/>
      </c>
      <c r="Y67" s="39" t="str">
        <f>IF(Data!$AC67="","",YEAR(Data!$AC67))</f>
        <v/>
      </c>
      <c r="Z67" s="39" t="str">
        <f>IF(Data!$AC67="","",MONTH(Data!$AC67))</f>
        <v/>
      </c>
      <c r="AA67" s="64"/>
      <c r="AB67" s="39"/>
      <c r="AC67" s="64"/>
      <c r="AD67" s="637"/>
      <c r="AE67" s="64" t="s">
        <v>385</v>
      </c>
      <c r="AF67" s="784"/>
      <c r="AH67" s="780"/>
      <c r="AI67" s="801">
        <v>1</v>
      </c>
      <c r="AJ67" s="801" t="s">
        <v>848</v>
      </c>
      <c r="AK67" s="780"/>
      <c r="AL67" s="437" t="s">
        <v>849</v>
      </c>
      <c r="AM67" s="780"/>
      <c r="AN67" s="793"/>
      <c r="AO67" s="780"/>
      <c r="AP67" s="801" t="s">
        <v>850</v>
      </c>
      <c r="AQ67" s="780"/>
      <c r="AR67" s="802"/>
      <c r="AS67" s="780"/>
      <c r="AT67" s="803"/>
      <c r="AU67" s="803"/>
      <c r="AV67" s="804" t="str">
        <f t="shared" si="7"/>
        <v/>
      </c>
      <c r="AW67" s="847" t="str">
        <f>IFERROR(IF(tbl_DCFC[[#This Row],[F Montant HT]]="","",tbl_DCFC[[#This Row],[Marge]]/tbl_DCFC[[#This Row],[F Montant HT]]),"")</f>
        <v/>
      </c>
    </row>
    <row r="68" spans="1:49" s="437" customFormat="1" ht="15" customHeight="1" x14ac:dyDescent="0.3">
      <c r="A68" s="799">
        <v>44596</v>
      </c>
      <c r="B68" s="780" t="str">
        <f>IFERROR(INDEX(Tabelle2[BU],MATCH(tbl_DCFC[[#This Row],[Categorie]],CAT,0)),"")</f>
        <v>SER</v>
      </c>
      <c r="C68" s="806" t="str">
        <f t="shared" si="5"/>
        <v>S05</v>
      </c>
      <c r="D68" s="799">
        <v>44596</v>
      </c>
      <c r="E68" s="793">
        <v>4716</v>
      </c>
      <c r="F68" s="793" t="s">
        <v>380</v>
      </c>
      <c r="G68" s="793" t="s">
        <v>851</v>
      </c>
      <c r="H68" s="793"/>
      <c r="I68" s="821">
        <v>1250</v>
      </c>
      <c r="J68" s="793" t="s">
        <v>259</v>
      </c>
      <c r="K68" s="793" t="s">
        <v>574</v>
      </c>
      <c r="L68" s="855" t="s">
        <v>6</v>
      </c>
      <c r="M68" s="780"/>
      <c r="N68" s="39" t="str">
        <f t="shared" si="6"/>
        <v/>
      </c>
      <c r="O68" s="39" t="str">
        <f>IF(Data!$Q68="","",YEAR(Data!$Q68))</f>
        <v/>
      </c>
      <c r="P68" s="39" t="str">
        <f>IF(Data!$Q68="","",MONTH(Data!$Q68))</f>
        <v/>
      </c>
      <c r="Q68" s="64"/>
      <c r="S68" s="637"/>
      <c r="T68" s="39"/>
      <c r="U68" s="39" t="s">
        <v>385</v>
      </c>
      <c r="V68" s="780"/>
      <c r="W68" s="64"/>
      <c r="X68" s="39" t="str">
        <f t="shared" si="8"/>
        <v/>
      </c>
      <c r="Y68" s="39" t="str">
        <f>IF(Data!$AC68="","",YEAR(Data!$AC68))</f>
        <v/>
      </c>
      <c r="Z68" s="39" t="str">
        <f>IF(Data!$AC68="","",MONTH(Data!$AC68))</f>
        <v/>
      </c>
      <c r="AA68" s="64"/>
      <c r="AB68" s="39"/>
      <c r="AC68" s="64"/>
      <c r="AD68" s="637"/>
      <c r="AE68" s="64" t="s">
        <v>385</v>
      </c>
      <c r="AF68" s="784"/>
      <c r="AH68" s="780"/>
      <c r="AI68" s="801">
        <v>1</v>
      </c>
      <c r="AJ68" s="801" t="s">
        <v>852</v>
      </c>
      <c r="AK68" s="780"/>
      <c r="AM68" s="780"/>
      <c r="AN68" s="793"/>
      <c r="AO68" s="780"/>
      <c r="AP68" s="801" t="s">
        <v>854</v>
      </c>
      <c r="AQ68" s="780"/>
      <c r="AR68" s="802"/>
      <c r="AS68" s="780"/>
      <c r="AT68" s="803"/>
      <c r="AU68" s="803"/>
      <c r="AV68" s="804" t="str">
        <f t="shared" si="7"/>
        <v/>
      </c>
      <c r="AW68" s="847" t="str">
        <f>IFERROR(IF(tbl_DCFC[[#This Row],[F Montant HT]]="","",tbl_DCFC[[#This Row],[Marge]]/tbl_DCFC[[#This Row],[F Montant HT]]),"")</f>
        <v/>
      </c>
    </row>
    <row r="69" spans="1:49" s="437" customFormat="1" ht="15" customHeight="1" x14ac:dyDescent="0.3">
      <c r="A69" s="799">
        <v>44596</v>
      </c>
      <c r="B69" s="780" t="str">
        <f>IFERROR(INDEX(Tabelle2[BU],MATCH(tbl_DCFC[[#This Row],[Categorie]],CAT,0)),"")</f>
        <v>SER</v>
      </c>
      <c r="C69" s="806" t="str">
        <f t="shared" si="5"/>
        <v>S05</v>
      </c>
      <c r="D69" s="799">
        <v>44596</v>
      </c>
      <c r="E69" s="793">
        <v>4717</v>
      </c>
      <c r="F69" s="793" t="s">
        <v>380</v>
      </c>
      <c r="G69" s="793" t="s">
        <v>851</v>
      </c>
      <c r="H69" s="793"/>
      <c r="I69" s="821"/>
      <c r="J69" s="793" t="s">
        <v>259</v>
      </c>
      <c r="K69" s="793" t="s">
        <v>574</v>
      </c>
      <c r="L69" s="855" t="s">
        <v>253</v>
      </c>
      <c r="M69" s="780"/>
      <c r="N69" s="39" t="str">
        <f t="shared" si="6"/>
        <v/>
      </c>
      <c r="O69" s="39" t="str">
        <f>IF(Data!$Q69="","",YEAR(Data!$Q69))</f>
        <v/>
      </c>
      <c r="P69" s="39" t="str">
        <f>IF(Data!$Q69="","",MONTH(Data!$Q69))</f>
        <v/>
      </c>
      <c r="Q69" s="64"/>
      <c r="S69" s="637"/>
      <c r="T69" s="39"/>
      <c r="U69" s="39" t="s">
        <v>385</v>
      </c>
      <c r="V69" s="780"/>
      <c r="W69" s="64"/>
      <c r="X69" s="39" t="str">
        <f t="shared" si="8"/>
        <v/>
      </c>
      <c r="Y69" s="39" t="str">
        <f>IF(Data!$AC69="","",YEAR(Data!$AC69))</f>
        <v/>
      </c>
      <c r="Z69" s="39" t="str">
        <f>IF(Data!$AC69="","",MONTH(Data!$AC69))</f>
        <v/>
      </c>
      <c r="AA69" s="64"/>
      <c r="AB69" s="39"/>
      <c r="AC69" s="64"/>
      <c r="AD69" s="637"/>
      <c r="AE69" s="64" t="s">
        <v>385</v>
      </c>
      <c r="AF69" s="784"/>
      <c r="AH69" s="780"/>
      <c r="AI69" s="801">
        <v>2</v>
      </c>
      <c r="AJ69" s="801" t="s">
        <v>853</v>
      </c>
      <c r="AK69" s="780"/>
      <c r="AM69" s="780"/>
      <c r="AN69" s="793"/>
      <c r="AO69" s="780"/>
      <c r="AP69" s="801" t="s">
        <v>855</v>
      </c>
      <c r="AQ69" s="780"/>
      <c r="AR69" s="802"/>
      <c r="AS69" s="780"/>
      <c r="AT69" s="803"/>
      <c r="AU69" s="803"/>
      <c r="AV69" s="804" t="str">
        <f t="shared" si="7"/>
        <v/>
      </c>
      <c r="AW69" s="847" t="str">
        <f>IFERROR(IF(tbl_DCFC[[#This Row],[F Montant HT]]="","",tbl_DCFC[[#This Row],[Marge]]/tbl_DCFC[[#This Row],[F Montant HT]]),"")</f>
        <v/>
      </c>
    </row>
    <row r="70" spans="1:49" s="437" customFormat="1" ht="15" customHeight="1" x14ac:dyDescent="0.3">
      <c r="A70" s="799">
        <v>44596</v>
      </c>
      <c r="B70" s="780" t="str">
        <f>IFERROR(INDEX(Tabelle2[BU],MATCH(tbl_DCFC[[#This Row],[Categorie]],CAT,0)),"")</f>
        <v>SER</v>
      </c>
      <c r="C70" s="806" t="str">
        <f t="shared" si="5"/>
        <v>S05</v>
      </c>
      <c r="D70" s="799">
        <v>44596</v>
      </c>
      <c r="E70" s="793">
        <v>4718</v>
      </c>
      <c r="F70" s="793" t="s">
        <v>380</v>
      </c>
      <c r="G70" s="793" t="s">
        <v>851</v>
      </c>
      <c r="H70" s="793"/>
      <c r="I70" s="821">
        <v>1650</v>
      </c>
      <c r="J70" s="793" t="s">
        <v>259</v>
      </c>
      <c r="K70" s="793" t="s">
        <v>574</v>
      </c>
      <c r="L70" s="855" t="s">
        <v>5</v>
      </c>
      <c r="M70" s="780"/>
      <c r="N70" s="39" t="str">
        <f t="shared" si="6"/>
        <v>S12</v>
      </c>
      <c r="O70" s="39">
        <f>IF(Data!$Q70="","",YEAR(Data!$Q70))</f>
        <v>2022</v>
      </c>
      <c r="P70" s="39">
        <f>IF(Data!$Q70="","",MONTH(Data!$Q70))</f>
        <v>3</v>
      </c>
      <c r="Q70" s="64">
        <v>44642</v>
      </c>
      <c r="R70" s="437" t="s">
        <v>1006</v>
      </c>
      <c r="S70" s="637">
        <v>1740</v>
      </c>
      <c r="T70" s="39"/>
      <c r="U70" s="39" t="s">
        <v>385</v>
      </c>
      <c r="V70" s="780"/>
      <c r="W70" s="64">
        <v>44644</v>
      </c>
      <c r="X70" s="39" t="str">
        <f t="shared" si="8"/>
        <v/>
      </c>
      <c r="Y70" s="39" t="str">
        <f>IF(Data!$AC70="","",YEAR(Data!$AC70))</f>
        <v/>
      </c>
      <c r="Z70" s="39" t="str">
        <f>IF(Data!$AC70="","",MONTH(Data!$AC70))</f>
        <v/>
      </c>
      <c r="AA70" s="64"/>
      <c r="AB70" s="39"/>
      <c r="AC70" s="64"/>
      <c r="AD70" s="637"/>
      <c r="AE70" s="64" t="s">
        <v>385</v>
      </c>
      <c r="AF70" s="784"/>
      <c r="AH70" s="780"/>
      <c r="AI70" s="801">
        <v>1</v>
      </c>
      <c r="AJ70" s="801" t="s">
        <v>863</v>
      </c>
      <c r="AK70" s="780"/>
      <c r="AM70" s="780"/>
      <c r="AN70" s="793"/>
      <c r="AO70" s="780"/>
      <c r="AP70" s="801" t="s">
        <v>856</v>
      </c>
      <c r="AQ70" s="780"/>
      <c r="AR70" s="802"/>
      <c r="AS70" s="780"/>
      <c r="AT70" s="803"/>
      <c r="AU70" s="803"/>
      <c r="AV70" s="804" t="str">
        <f t="shared" si="7"/>
        <v/>
      </c>
      <c r="AW70" s="847" t="str">
        <f>IFERROR(IF(tbl_DCFC[[#This Row],[F Montant HT]]="","",tbl_DCFC[[#This Row],[Marge]]/tbl_DCFC[[#This Row],[F Montant HT]]),"")</f>
        <v/>
      </c>
    </row>
    <row r="71" spans="1:49" s="437" customFormat="1" ht="15" customHeight="1" x14ac:dyDescent="0.3">
      <c r="A71" s="799">
        <v>44596</v>
      </c>
      <c r="B71" s="780" t="str">
        <f>IFERROR(INDEX(Tabelle2[BU],MATCH(tbl_DCFC[[#This Row],[Categorie]],CAT,0)),"")</f>
        <v>SER</v>
      </c>
      <c r="C71" s="806" t="str">
        <f t="shared" si="5"/>
        <v>S05</v>
      </c>
      <c r="D71" s="799">
        <v>44596</v>
      </c>
      <c r="E71" s="793">
        <v>4719</v>
      </c>
      <c r="F71" s="793" t="s">
        <v>380</v>
      </c>
      <c r="G71" s="793" t="s">
        <v>851</v>
      </c>
      <c r="H71" s="793"/>
      <c r="I71" s="821"/>
      <c r="J71" s="793" t="s">
        <v>259</v>
      </c>
      <c r="K71" s="793" t="s">
        <v>574</v>
      </c>
      <c r="L71" s="855" t="s">
        <v>253</v>
      </c>
      <c r="M71" s="780"/>
      <c r="N71" s="39" t="str">
        <f t="shared" si="6"/>
        <v/>
      </c>
      <c r="O71" s="39" t="str">
        <f>IF(Data!$Q71="","",YEAR(Data!$Q71))</f>
        <v/>
      </c>
      <c r="P71" s="39" t="str">
        <f>IF(Data!$Q71="","",MONTH(Data!$Q71))</f>
        <v/>
      </c>
      <c r="Q71" s="64"/>
      <c r="S71" s="637"/>
      <c r="T71" s="39"/>
      <c r="U71" s="39" t="s">
        <v>385</v>
      </c>
      <c r="V71" s="780"/>
      <c r="W71" s="64"/>
      <c r="X71" s="39" t="str">
        <f t="shared" si="8"/>
        <v/>
      </c>
      <c r="Y71" s="39" t="str">
        <f>IF(Data!$AC71="","",YEAR(Data!$AC71))</f>
        <v/>
      </c>
      <c r="Z71" s="39" t="str">
        <f>IF(Data!$AC71="","",MONTH(Data!$AC71))</f>
        <v/>
      </c>
      <c r="AA71" s="64"/>
      <c r="AB71" s="39"/>
      <c r="AC71" s="64"/>
      <c r="AD71" s="637"/>
      <c r="AE71" s="64" t="s">
        <v>385</v>
      </c>
      <c r="AF71" s="784"/>
      <c r="AH71" s="780"/>
      <c r="AI71" s="801">
        <v>1</v>
      </c>
      <c r="AJ71" s="801" t="s">
        <v>861</v>
      </c>
      <c r="AK71" s="780"/>
      <c r="AL71" s="437" t="s">
        <v>871</v>
      </c>
      <c r="AM71" s="780"/>
      <c r="AN71" s="793"/>
      <c r="AO71" s="780"/>
      <c r="AP71" s="801" t="s">
        <v>862</v>
      </c>
      <c r="AQ71" s="780"/>
      <c r="AR71" s="802"/>
      <c r="AS71" s="780"/>
      <c r="AT71" s="803"/>
      <c r="AU71" s="803"/>
      <c r="AV71" s="804" t="str">
        <f t="shared" si="7"/>
        <v/>
      </c>
      <c r="AW71" s="847" t="str">
        <f>IFERROR(IF(tbl_DCFC[[#This Row],[F Montant HT]]="","",tbl_DCFC[[#This Row],[Marge]]/tbl_DCFC[[#This Row],[F Montant HT]]),"")</f>
        <v/>
      </c>
    </row>
    <row r="72" spans="1:49" s="437" customFormat="1" ht="15" customHeight="1" x14ac:dyDescent="0.3">
      <c r="A72" s="799">
        <v>44600</v>
      </c>
      <c r="B72" s="780" t="str">
        <f>IFERROR(INDEX(Tabelle2[BU],MATCH(tbl_DCFC[[#This Row],[Categorie]],CAT,0)),"")</f>
        <v>SER</v>
      </c>
      <c r="C72" s="806" t="str">
        <f t="shared" si="5"/>
        <v>S06</v>
      </c>
      <c r="D72" s="799">
        <v>44600</v>
      </c>
      <c r="E72" s="793">
        <v>4714</v>
      </c>
      <c r="F72" s="793" t="s">
        <v>796</v>
      </c>
      <c r="G72" s="793" t="s">
        <v>381</v>
      </c>
      <c r="H72" s="793" t="s">
        <v>847</v>
      </c>
      <c r="I72" s="821">
        <v>4683.5</v>
      </c>
      <c r="J72" s="793" t="s">
        <v>395</v>
      </c>
      <c r="K72" s="793" t="s">
        <v>574</v>
      </c>
      <c r="L72" s="855" t="s">
        <v>5</v>
      </c>
      <c r="M72" s="780"/>
      <c r="N72" s="39" t="str">
        <f t="shared" si="6"/>
        <v>S08</v>
      </c>
      <c r="O72" s="39">
        <f>IF(Data!$Q72="","",YEAR(Data!$Q72))</f>
        <v>2022</v>
      </c>
      <c r="P72" s="39">
        <f>IF(Data!$Q72="","",MONTH(Data!$Q72))</f>
        <v>2</v>
      </c>
      <c r="Q72" s="64">
        <v>44617</v>
      </c>
      <c r="R72" s="437" t="s">
        <v>928</v>
      </c>
      <c r="S72" s="637">
        <v>4683.5</v>
      </c>
      <c r="T72" s="39"/>
      <c r="U72" s="39" t="s">
        <v>385</v>
      </c>
      <c r="V72" s="780"/>
      <c r="W72" s="64"/>
      <c r="X72" s="39" t="str">
        <f t="shared" si="8"/>
        <v>S10</v>
      </c>
      <c r="Y72" s="39">
        <f>IF(Data!$AC72="","",YEAR(Data!$AC72))</f>
        <v>2022</v>
      </c>
      <c r="Z72" s="39">
        <f>IF(Data!$AC72="","",MONTH(Data!$AC72))</f>
        <v>3</v>
      </c>
      <c r="AA72" s="64">
        <v>44628</v>
      </c>
      <c r="AB72" s="39">
        <v>5211</v>
      </c>
      <c r="AC72" s="64">
        <v>44629</v>
      </c>
      <c r="AD72" s="637">
        <v>4683.5</v>
      </c>
      <c r="AE72" s="64">
        <v>44630</v>
      </c>
      <c r="AF72" s="784"/>
      <c r="AH72" s="780"/>
      <c r="AI72" s="801">
        <v>1</v>
      </c>
      <c r="AJ72" s="801" t="s">
        <v>848</v>
      </c>
      <c r="AK72" s="780"/>
      <c r="AL72" s="437" t="s">
        <v>866</v>
      </c>
      <c r="AM72" s="780"/>
      <c r="AN72" s="793"/>
      <c r="AO72" s="780"/>
      <c r="AP72" s="801" t="s">
        <v>850</v>
      </c>
      <c r="AQ72" s="780"/>
      <c r="AR72" s="802"/>
      <c r="AS72" s="780"/>
      <c r="AT72" s="803"/>
      <c r="AU72" s="803"/>
      <c r="AV72" s="804" t="str">
        <f t="shared" si="7"/>
        <v/>
      </c>
      <c r="AW72" s="847" t="str">
        <f>IFERROR(IF(tbl_DCFC[[#This Row],[F Montant HT]]="","",tbl_DCFC[[#This Row],[Marge]]/tbl_DCFC[[#This Row],[F Montant HT]]),"")</f>
        <v/>
      </c>
    </row>
    <row r="73" spans="1:49" s="437" customFormat="1" ht="15" customHeight="1" x14ac:dyDescent="0.3">
      <c r="A73" s="799">
        <v>44600</v>
      </c>
      <c r="B73" s="780" t="str">
        <f>IFERROR(INDEX(Tabelle2[BU],MATCH(tbl_DCFC[[#This Row],[Categorie]],CAT,0)),"")</f>
        <v>SER</v>
      </c>
      <c r="C73" s="806" t="str">
        <f t="shared" si="5"/>
        <v>S06</v>
      </c>
      <c r="D73" s="799">
        <v>44600</v>
      </c>
      <c r="E73" s="793">
        <v>4714</v>
      </c>
      <c r="F73" s="793" t="s">
        <v>864</v>
      </c>
      <c r="G73" s="793" t="s">
        <v>381</v>
      </c>
      <c r="H73" s="793" t="s">
        <v>847</v>
      </c>
      <c r="I73" s="821">
        <v>4683.5</v>
      </c>
      <c r="J73" s="793" t="s">
        <v>395</v>
      </c>
      <c r="K73" s="793" t="s">
        <v>574</v>
      </c>
      <c r="L73" s="855" t="s">
        <v>5</v>
      </c>
      <c r="M73" s="780"/>
      <c r="N73" s="39" t="str">
        <f t="shared" si="6"/>
        <v>S08</v>
      </c>
      <c r="O73" s="39">
        <f>IF(Data!$Q73="","",YEAR(Data!$Q73))</f>
        <v>2022</v>
      </c>
      <c r="P73" s="39">
        <f>IF(Data!$Q73="","",MONTH(Data!$Q73))</f>
        <v>2</v>
      </c>
      <c r="Q73" s="64">
        <v>44617</v>
      </c>
      <c r="R73" s="437" t="s">
        <v>929</v>
      </c>
      <c r="S73" s="637">
        <v>4683.5</v>
      </c>
      <c r="T73" s="39"/>
      <c r="U73" s="39" t="s">
        <v>385</v>
      </c>
      <c r="V73" s="780"/>
      <c r="W73" s="64"/>
      <c r="X73" s="39" t="str">
        <f t="shared" si="8"/>
        <v/>
      </c>
      <c r="Y73" s="39" t="str">
        <f>IF(Data!$AC73="","",YEAR(Data!$AC73))</f>
        <v/>
      </c>
      <c r="Z73" s="39" t="str">
        <f>IF(Data!$AC73="","",MONTH(Data!$AC73))</f>
        <v/>
      </c>
      <c r="AA73" s="64"/>
      <c r="AB73" s="39"/>
      <c r="AC73" s="64"/>
      <c r="AD73" s="637"/>
      <c r="AE73" s="64">
        <v>44926</v>
      </c>
      <c r="AF73" s="784"/>
      <c r="AH73" s="780"/>
      <c r="AI73" s="801">
        <v>1</v>
      </c>
      <c r="AJ73" s="801" t="s">
        <v>865</v>
      </c>
      <c r="AK73" s="780"/>
      <c r="AL73" s="437" t="s">
        <v>867</v>
      </c>
      <c r="AM73" s="780"/>
      <c r="AN73" s="793"/>
      <c r="AO73" s="780"/>
      <c r="AP73" s="801" t="s">
        <v>850</v>
      </c>
      <c r="AQ73" s="780"/>
      <c r="AR73" s="802"/>
      <c r="AS73" s="780"/>
      <c r="AT73" s="803"/>
      <c r="AU73" s="803"/>
      <c r="AV73" s="804" t="str">
        <f t="shared" si="7"/>
        <v/>
      </c>
      <c r="AW73" s="847" t="str">
        <f>IFERROR(IF(tbl_DCFC[[#This Row],[F Montant HT]]="","",tbl_DCFC[[#This Row],[Marge]]/tbl_DCFC[[#This Row],[F Montant HT]]),"")</f>
        <v/>
      </c>
    </row>
    <row r="74" spans="1:49" s="437" customFormat="1" ht="15" customHeight="1" x14ac:dyDescent="0.3">
      <c r="A74" s="799">
        <v>44600</v>
      </c>
      <c r="B74" s="780" t="str">
        <f>IFERROR(INDEX(Tabelle2[BU],MATCH(tbl_DCFC[[#This Row],[Categorie]],CAT,0)),"")</f>
        <v>SER</v>
      </c>
      <c r="C74" s="806" t="str">
        <f t="shared" si="5"/>
        <v>S06</v>
      </c>
      <c r="D74" s="799">
        <v>44600</v>
      </c>
      <c r="E74" s="793">
        <v>4685</v>
      </c>
      <c r="F74" s="793" t="s">
        <v>380</v>
      </c>
      <c r="G74" s="793" t="s">
        <v>114</v>
      </c>
      <c r="H74" s="793"/>
      <c r="I74" s="821">
        <v>1320</v>
      </c>
      <c r="J74" s="793" t="s">
        <v>260</v>
      </c>
      <c r="K74" s="793" t="s">
        <v>569</v>
      </c>
      <c r="L74" s="855" t="s">
        <v>5</v>
      </c>
      <c r="M74" s="780"/>
      <c r="N74" s="39" t="str">
        <f t="shared" si="6"/>
        <v>S02</v>
      </c>
      <c r="O74" s="39">
        <f>IF(Data!$Q74="","",YEAR(Data!$Q74))</f>
        <v>2022</v>
      </c>
      <c r="P74" s="39">
        <f>IF(Data!$Q74="","",MONTH(Data!$Q74))</f>
        <v>1</v>
      </c>
      <c r="Q74" s="64">
        <v>44575</v>
      </c>
      <c r="R74" s="39" t="s">
        <v>805</v>
      </c>
      <c r="S74" s="637">
        <v>1100</v>
      </c>
      <c r="T74" s="39"/>
      <c r="U74" s="39" t="s">
        <v>385</v>
      </c>
      <c r="V74" s="780"/>
      <c r="W74" s="64"/>
      <c r="X74" s="39" t="str">
        <f t="shared" si="8"/>
        <v>S06</v>
      </c>
      <c r="Y74" s="39">
        <f>IF(Data!$AC74="","",YEAR(Data!$AC74))</f>
        <v>2022</v>
      </c>
      <c r="Z74" s="39">
        <f>IF(Data!$AC74="","",MONTH(Data!$AC74))</f>
        <v>2</v>
      </c>
      <c r="AA74" s="64">
        <v>44599</v>
      </c>
      <c r="AB74" s="39">
        <v>5198</v>
      </c>
      <c r="AC74" s="64">
        <v>44601</v>
      </c>
      <c r="AD74" s="637">
        <v>1100</v>
      </c>
      <c r="AE74" s="64" t="s">
        <v>385</v>
      </c>
      <c r="AF74" s="784"/>
      <c r="AH74" s="780"/>
      <c r="AI74" s="801">
        <v>2</v>
      </c>
      <c r="AJ74" s="801" t="s">
        <v>723</v>
      </c>
      <c r="AK74" s="780"/>
      <c r="AL74" s="39" t="s">
        <v>954</v>
      </c>
      <c r="AM74" s="780"/>
      <c r="AN74" s="793"/>
      <c r="AO74" s="780"/>
      <c r="AP74" s="863" t="s">
        <v>813</v>
      </c>
      <c r="AQ74" s="780"/>
      <c r="AR74" s="802"/>
      <c r="AS74" s="780"/>
      <c r="AT74" s="803">
        <v>642.5</v>
      </c>
      <c r="AU74" s="803">
        <v>611.6</v>
      </c>
      <c r="AV74" s="804">
        <f t="shared" si="7"/>
        <v>-154.10000000000002</v>
      </c>
      <c r="AW74" s="847">
        <f>IFERROR(IF(tbl_DCFC[[#This Row],[F Montant HT]]="","",tbl_DCFC[[#This Row],[Marge]]/tbl_DCFC[[#This Row],[F Montant HT]]),"")</f>
        <v>-0.1400909090909091</v>
      </c>
    </row>
    <row r="75" spans="1:49" s="437" customFormat="1" ht="15" customHeight="1" x14ac:dyDescent="0.3">
      <c r="A75" s="799">
        <v>44602</v>
      </c>
      <c r="B75" s="780" t="str">
        <f>IFERROR(INDEX(Tabelle2[BU],MATCH(tbl_DCFC[[#This Row],[Categorie]],CAT,0)),"")</f>
        <v>SER</v>
      </c>
      <c r="C75" s="806" t="str">
        <f t="shared" si="5"/>
        <v>S06</v>
      </c>
      <c r="D75" s="799">
        <v>44602</v>
      </c>
      <c r="E75" s="793">
        <v>4721</v>
      </c>
      <c r="F75" s="793" t="s">
        <v>380</v>
      </c>
      <c r="G75" s="793" t="s">
        <v>870</v>
      </c>
      <c r="H75" s="793"/>
      <c r="I75" s="821">
        <v>737</v>
      </c>
      <c r="J75" s="793" t="s">
        <v>260</v>
      </c>
      <c r="K75" s="793" t="s">
        <v>574</v>
      </c>
      <c r="L75" s="855" t="s">
        <v>5</v>
      </c>
      <c r="M75" s="780"/>
      <c r="N75" s="39" t="str">
        <f t="shared" si="6"/>
        <v>S07</v>
      </c>
      <c r="O75" s="39">
        <f>IF(Data!$Q75="","",YEAR(Data!$Q75))</f>
        <v>2022</v>
      </c>
      <c r="P75" s="39">
        <f>IF(Data!$Q75="","",MONTH(Data!$Q75))</f>
        <v>2</v>
      </c>
      <c r="Q75" s="64">
        <v>44607</v>
      </c>
      <c r="R75" s="437" t="s">
        <v>901</v>
      </c>
      <c r="S75" s="637">
        <v>737</v>
      </c>
      <c r="T75" s="39"/>
      <c r="U75" s="39" t="s">
        <v>385</v>
      </c>
      <c r="V75" s="780"/>
      <c r="W75" s="64">
        <v>44607</v>
      </c>
      <c r="X75" s="39" t="str">
        <f t="shared" si="8"/>
        <v>S08</v>
      </c>
      <c r="Y75" s="39">
        <f>IF(Data!$AC75="","",YEAR(Data!$AC75))</f>
        <v>2022</v>
      </c>
      <c r="Z75" s="39">
        <f>IF(Data!$AC75="","",MONTH(Data!$AC75))</f>
        <v>2</v>
      </c>
      <c r="AA75" s="64">
        <v>44610</v>
      </c>
      <c r="AB75" s="39">
        <v>5205</v>
      </c>
      <c r="AC75" s="64">
        <v>44613</v>
      </c>
      <c r="AD75" s="637">
        <v>737</v>
      </c>
      <c r="AE75" s="64">
        <v>44613</v>
      </c>
      <c r="AF75" s="784"/>
      <c r="AH75" s="780"/>
      <c r="AI75" s="801">
        <v>1</v>
      </c>
      <c r="AJ75" s="801" t="s">
        <v>868</v>
      </c>
      <c r="AK75" s="780"/>
      <c r="AL75" s="437" t="s">
        <v>882</v>
      </c>
      <c r="AM75" s="780"/>
      <c r="AN75" s="793"/>
      <c r="AO75" s="780"/>
      <c r="AP75" s="801" t="s">
        <v>869</v>
      </c>
      <c r="AQ75" s="780"/>
      <c r="AR75" s="802"/>
      <c r="AS75" s="780"/>
      <c r="AT75" s="803"/>
      <c r="AU75" s="803"/>
      <c r="AV75" s="804" t="str">
        <f t="shared" si="7"/>
        <v/>
      </c>
      <c r="AW75" s="847" t="str">
        <f>IFERROR(IF(tbl_DCFC[[#This Row],[F Montant HT]]="","",tbl_DCFC[[#This Row],[Marge]]/tbl_DCFC[[#This Row],[F Montant HT]]),"")</f>
        <v/>
      </c>
    </row>
    <row r="76" spans="1:49" s="437" customFormat="1" ht="15" customHeight="1" x14ac:dyDescent="0.3">
      <c r="A76" s="799">
        <v>44602</v>
      </c>
      <c r="B76" s="780" t="str">
        <f>IFERROR(INDEX(Tabelle2[BU],MATCH(tbl_DCFC[[#This Row],[Categorie]],CAT,0)),"")</f>
        <v>SER</v>
      </c>
      <c r="C76" s="806" t="str">
        <f t="shared" si="5"/>
        <v>S06</v>
      </c>
      <c r="D76" s="799">
        <v>44602</v>
      </c>
      <c r="E76" s="793">
        <v>4722</v>
      </c>
      <c r="F76" s="793" t="s">
        <v>380</v>
      </c>
      <c r="G76" s="793" t="s">
        <v>851</v>
      </c>
      <c r="H76" s="793"/>
      <c r="I76" s="821">
        <v>500</v>
      </c>
      <c r="J76" s="793" t="s">
        <v>259</v>
      </c>
      <c r="K76" s="793" t="s">
        <v>574</v>
      </c>
      <c r="L76" s="855" t="s">
        <v>6</v>
      </c>
      <c r="M76" s="780"/>
      <c r="N76" s="39"/>
      <c r="O76" s="39" t="str">
        <f>IF(Data!$Q76="","",YEAR(Data!$Q76))</f>
        <v/>
      </c>
      <c r="P76" s="39" t="str">
        <f>IF(Data!$Q76="","",MONTH(Data!$Q76))</f>
        <v/>
      </c>
      <c r="Q76" s="64"/>
      <c r="S76" s="637"/>
      <c r="T76" s="39"/>
      <c r="U76" s="39"/>
      <c r="V76" s="780"/>
      <c r="W76" s="64"/>
      <c r="X76" s="39" t="str">
        <f t="shared" si="8"/>
        <v/>
      </c>
      <c r="Y76" s="39" t="str">
        <f>IF(Data!$AC76="","",YEAR(Data!$AC76))</f>
        <v/>
      </c>
      <c r="Z76" s="39" t="str">
        <f>IF(Data!$AC76="","",MONTH(Data!$AC76))</f>
        <v/>
      </c>
      <c r="AA76" s="64"/>
      <c r="AB76" s="39"/>
      <c r="AC76" s="64"/>
      <c r="AD76" s="637"/>
      <c r="AE76" s="64"/>
      <c r="AF76" s="784"/>
      <c r="AH76" s="780"/>
      <c r="AI76" s="801">
        <v>1</v>
      </c>
      <c r="AJ76" s="801" t="s">
        <v>872</v>
      </c>
      <c r="AK76" s="780"/>
      <c r="AM76" s="780"/>
      <c r="AN76" s="793"/>
      <c r="AO76" s="780"/>
      <c r="AP76" s="801" t="s">
        <v>873</v>
      </c>
      <c r="AQ76" s="780"/>
      <c r="AR76" s="802"/>
      <c r="AS76" s="780"/>
      <c r="AT76" s="803"/>
      <c r="AU76" s="803"/>
      <c r="AV76" s="804"/>
      <c r="AW76" s="847"/>
    </row>
    <row r="77" spans="1:49" s="437" customFormat="1" ht="15" customHeight="1" x14ac:dyDescent="0.3">
      <c r="A77" s="799">
        <v>44602</v>
      </c>
      <c r="B77" s="780" t="str">
        <f>IFERROR(INDEX(Tabelle2[BU],MATCH(tbl_DCFC[[#This Row],[Categorie]],CAT,0)),"")</f>
        <v>SER</v>
      </c>
      <c r="C77" s="806" t="str">
        <f t="shared" si="5"/>
        <v>S06</v>
      </c>
      <c r="D77" s="799">
        <v>44602</v>
      </c>
      <c r="E77" s="793">
        <v>4723</v>
      </c>
      <c r="F77" s="793" t="s">
        <v>380</v>
      </c>
      <c r="G77" s="793" t="s">
        <v>851</v>
      </c>
      <c r="H77" s="793"/>
      <c r="I77" s="821">
        <v>180</v>
      </c>
      <c r="J77" s="793" t="s">
        <v>259</v>
      </c>
      <c r="K77" s="793" t="s">
        <v>574</v>
      </c>
      <c r="L77" s="855" t="s">
        <v>6</v>
      </c>
      <c r="M77" s="780"/>
      <c r="N77" s="39" t="str">
        <f>IF(Q77&lt;&gt;"","S"&amp;TEXT(WEEKNUM(Q77,21),"00"),"")</f>
        <v/>
      </c>
      <c r="O77" s="39" t="str">
        <f>IF(Data!$Q77="","",YEAR(Data!$Q77))</f>
        <v/>
      </c>
      <c r="P77" s="39" t="str">
        <f>IF(Data!$Q77="","",MONTH(Data!$Q77))</f>
        <v/>
      </c>
      <c r="Q77" s="64"/>
      <c r="S77" s="637"/>
      <c r="T77" s="39"/>
      <c r="U77" s="39" t="s">
        <v>385</v>
      </c>
      <c r="V77" s="780"/>
      <c r="W77" s="64"/>
      <c r="X77" s="39" t="str">
        <f t="shared" si="8"/>
        <v/>
      </c>
      <c r="Y77" s="39" t="str">
        <f>IF(Data!$AC77="","",YEAR(Data!$AC77))</f>
        <v/>
      </c>
      <c r="Z77" s="39" t="str">
        <f>IF(Data!$AC77="","",MONTH(Data!$AC77))</f>
        <v/>
      </c>
      <c r="AA77" s="64"/>
      <c r="AB77" s="39"/>
      <c r="AC77" s="64"/>
      <c r="AD77" s="637"/>
      <c r="AE77" s="64" t="s">
        <v>385</v>
      </c>
      <c r="AF77" s="784"/>
      <c r="AH77" s="780"/>
      <c r="AI77" s="801">
        <v>1</v>
      </c>
      <c r="AJ77" s="801" t="s">
        <v>874</v>
      </c>
      <c r="AK77" s="780"/>
      <c r="AL77" s="437" t="s">
        <v>891</v>
      </c>
      <c r="AM77" s="780"/>
      <c r="AN77" s="793"/>
      <c r="AO77" s="780"/>
      <c r="AP77" s="801" t="s">
        <v>875</v>
      </c>
      <c r="AQ77" s="780"/>
      <c r="AR77" s="802"/>
      <c r="AS77" s="780"/>
      <c r="AT77" s="803"/>
      <c r="AU77" s="803"/>
      <c r="AV77" s="804" t="str">
        <f>IF(AT77="","",S77-AT77-AU77)</f>
        <v/>
      </c>
      <c r="AW77" s="847" t="str">
        <f>IFERROR(IF(tbl_DCFC[[#This Row],[F Montant HT]]="","",tbl_DCFC[[#This Row],[Marge]]/tbl_DCFC[[#This Row],[F Montant HT]]),"")</f>
        <v/>
      </c>
    </row>
    <row r="78" spans="1:49" s="437" customFormat="1" ht="15" customHeight="1" x14ac:dyDescent="0.3">
      <c r="A78" s="799">
        <v>44602</v>
      </c>
      <c r="B78" s="780" t="str">
        <f>IFERROR(INDEX(Tabelle2[BU],MATCH(tbl_DCFC[[#This Row],[Categorie]],CAT,0)),"")</f>
        <v>SER</v>
      </c>
      <c r="C78" s="806" t="str">
        <f t="shared" si="5"/>
        <v>S06</v>
      </c>
      <c r="D78" s="799">
        <v>44602</v>
      </c>
      <c r="E78" s="793">
        <v>4724</v>
      </c>
      <c r="F78" s="793" t="s">
        <v>380</v>
      </c>
      <c r="G78" s="793" t="s">
        <v>851</v>
      </c>
      <c r="H78" s="793"/>
      <c r="I78" s="821">
        <v>720</v>
      </c>
      <c r="J78" s="793" t="s">
        <v>259</v>
      </c>
      <c r="K78" s="793" t="s">
        <v>574</v>
      </c>
      <c r="L78" s="855" t="s">
        <v>6</v>
      </c>
      <c r="M78" s="780"/>
      <c r="N78" s="39" t="str">
        <f>IF(Q78&lt;&gt;"","S"&amp;TEXT(WEEKNUM(Q78,21),"00"),"")</f>
        <v/>
      </c>
      <c r="O78" s="39" t="str">
        <f>IF(Data!$Q78="","",YEAR(Data!$Q78))</f>
        <v/>
      </c>
      <c r="P78" s="39" t="str">
        <f>IF(Data!$Q78="","",MONTH(Data!$Q78))</f>
        <v/>
      </c>
      <c r="Q78" s="64"/>
      <c r="S78" s="637"/>
      <c r="T78" s="39"/>
      <c r="U78" s="39" t="s">
        <v>385</v>
      </c>
      <c r="V78" s="780"/>
      <c r="W78" s="64"/>
      <c r="X78" s="39" t="str">
        <f t="shared" si="8"/>
        <v/>
      </c>
      <c r="Y78" s="39" t="str">
        <f>IF(Data!$AC78="","",YEAR(Data!$AC78))</f>
        <v/>
      </c>
      <c r="Z78" s="39" t="str">
        <f>IF(Data!$AC78="","",MONTH(Data!$AC78))</f>
        <v/>
      </c>
      <c r="AA78" s="64"/>
      <c r="AB78" s="39"/>
      <c r="AC78" s="64"/>
      <c r="AD78" s="637"/>
      <c r="AE78" s="64" t="s">
        <v>385</v>
      </c>
      <c r="AF78" s="784"/>
      <c r="AH78" s="780"/>
      <c r="AI78" s="801">
        <v>1</v>
      </c>
      <c r="AJ78" s="801" t="s">
        <v>876</v>
      </c>
      <c r="AK78" s="780"/>
      <c r="AL78" s="437" t="s">
        <v>871</v>
      </c>
      <c r="AM78" s="780"/>
      <c r="AN78" s="793"/>
      <c r="AO78" s="780"/>
      <c r="AP78" s="801" t="s">
        <v>880</v>
      </c>
      <c r="AQ78" s="780"/>
      <c r="AR78" s="802"/>
      <c r="AS78" s="780"/>
      <c r="AT78" s="803"/>
      <c r="AU78" s="803"/>
      <c r="AV78" s="804" t="str">
        <f>IF(AT78="","",S78-AT78-AU78)</f>
        <v/>
      </c>
      <c r="AW78" s="847" t="str">
        <f>IFERROR(IF(tbl_DCFC[[#This Row],[F Montant HT]]="","",tbl_DCFC[[#This Row],[Marge]]/tbl_DCFC[[#This Row],[F Montant HT]]),"")</f>
        <v/>
      </c>
    </row>
    <row r="79" spans="1:49" s="437" customFormat="1" ht="15" customHeight="1" x14ac:dyDescent="0.3">
      <c r="A79" s="799">
        <v>44602</v>
      </c>
      <c r="B79" s="780" t="str">
        <f>IFERROR(INDEX(Tabelle2[BU],MATCH(tbl_DCFC[[#This Row],[Categorie]],CAT,0)),"")</f>
        <v>SER</v>
      </c>
      <c r="C79" s="806" t="str">
        <f t="shared" si="5"/>
        <v>S06</v>
      </c>
      <c r="D79" s="799">
        <v>44602</v>
      </c>
      <c r="E79" s="793">
        <v>4720</v>
      </c>
      <c r="F79" s="793" t="s">
        <v>380</v>
      </c>
      <c r="G79" s="793" t="s">
        <v>877</v>
      </c>
      <c r="H79" s="793"/>
      <c r="I79" s="821">
        <v>1520</v>
      </c>
      <c r="J79" s="793" t="s">
        <v>259</v>
      </c>
      <c r="K79" s="793" t="s">
        <v>574</v>
      </c>
      <c r="L79" s="855" t="s">
        <v>6</v>
      </c>
      <c r="M79" s="780"/>
      <c r="N79" s="39"/>
      <c r="O79" s="39" t="str">
        <f>IF(Data!$Q79="","",YEAR(Data!$Q79))</f>
        <v/>
      </c>
      <c r="P79" s="39" t="str">
        <f>IF(Data!$Q79="","",MONTH(Data!$Q79))</f>
        <v/>
      </c>
      <c r="Q79" s="64"/>
      <c r="S79" s="637"/>
      <c r="T79" s="39"/>
      <c r="U79" s="39"/>
      <c r="V79" s="780"/>
      <c r="W79" s="64"/>
      <c r="X79" s="39" t="str">
        <f t="shared" si="8"/>
        <v/>
      </c>
      <c r="Y79" s="39" t="str">
        <f>IF(Data!$AC79="","",YEAR(Data!$AC79))</f>
        <v/>
      </c>
      <c r="Z79" s="39" t="str">
        <f>IF(Data!$AC79="","",MONTH(Data!$AC79))</f>
        <v/>
      </c>
      <c r="AA79" s="64"/>
      <c r="AB79" s="39"/>
      <c r="AC79" s="64"/>
      <c r="AD79" s="637"/>
      <c r="AE79" s="64"/>
      <c r="AF79" s="784"/>
      <c r="AH79" s="780"/>
      <c r="AI79" s="801">
        <v>1</v>
      </c>
      <c r="AJ79" s="801" t="s">
        <v>575</v>
      </c>
      <c r="AK79" s="780"/>
      <c r="AL79" s="437" t="s">
        <v>878</v>
      </c>
      <c r="AM79" s="780"/>
      <c r="AN79" s="793"/>
      <c r="AO79" s="780"/>
      <c r="AP79" s="801" t="s">
        <v>879</v>
      </c>
      <c r="AQ79" s="780"/>
      <c r="AR79" s="802"/>
      <c r="AS79" s="780"/>
      <c r="AT79" s="803"/>
      <c r="AU79" s="803"/>
      <c r="AV79" s="804"/>
      <c r="AW79" s="847"/>
    </row>
    <row r="80" spans="1:49" s="437" customFormat="1" ht="15" customHeight="1" x14ac:dyDescent="0.3">
      <c r="A80" s="799">
        <v>44602</v>
      </c>
      <c r="B80" s="780" t="str">
        <f>IFERROR(INDEX(Tabelle2[BU],MATCH(tbl_DCFC[[#This Row],[Categorie]],CAT,0)),"")</f>
        <v>GSE</v>
      </c>
      <c r="C80" s="806" t="str">
        <f t="shared" si="5"/>
        <v>S07</v>
      </c>
      <c r="D80" s="799">
        <v>44606</v>
      </c>
      <c r="E80" s="793">
        <v>4725</v>
      </c>
      <c r="F80" s="793" t="s">
        <v>380</v>
      </c>
      <c r="G80" s="793" t="s">
        <v>887</v>
      </c>
      <c r="H80" s="793"/>
      <c r="I80" s="821">
        <v>20081.2</v>
      </c>
      <c r="J80" s="793" t="s">
        <v>260</v>
      </c>
      <c r="K80" s="793" t="s">
        <v>593</v>
      </c>
      <c r="L80" s="855" t="s">
        <v>9</v>
      </c>
      <c r="M80" s="780"/>
      <c r="N80" s="39" t="str">
        <f t="shared" ref="N80:N85" si="9">IF(Q80&lt;&gt;"","S"&amp;TEXT(WEEKNUM(Q80,21),"00"),"")</f>
        <v/>
      </c>
      <c r="O80" s="39" t="str">
        <f>IF(Data!$Q80="","",YEAR(Data!$Q80))</f>
        <v/>
      </c>
      <c r="P80" s="39" t="str">
        <f>IF(Data!$Q80="","",MONTH(Data!$Q80))</f>
        <v/>
      </c>
      <c r="Q80" s="64"/>
      <c r="S80" s="637"/>
      <c r="T80" s="39"/>
      <c r="U80" s="39" t="s">
        <v>385</v>
      </c>
      <c r="V80" s="780"/>
      <c r="W80" s="64"/>
      <c r="X80" s="39" t="str">
        <f t="shared" si="8"/>
        <v/>
      </c>
      <c r="Y80" s="39" t="str">
        <f>IF(Data!$AC80="","",YEAR(Data!$AC80))</f>
        <v/>
      </c>
      <c r="Z80" s="39" t="str">
        <f>IF(Data!$AC80="","",MONTH(Data!$AC80))</f>
        <v/>
      </c>
      <c r="AA80" s="64"/>
      <c r="AB80" s="39"/>
      <c r="AC80" s="64"/>
      <c r="AD80" s="637"/>
      <c r="AE80" s="64" t="s">
        <v>385</v>
      </c>
      <c r="AF80" s="784"/>
      <c r="AH80" s="780"/>
      <c r="AI80" s="801">
        <v>1</v>
      </c>
      <c r="AJ80" s="801" t="s">
        <v>888</v>
      </c>
      <c r="AK80" s="780"/>
      <c r="AM80" s="780"/>
      <c r="AN80" s="793"/>
      <c r="AO80" s="780"/>
      <c r="AP80" s="801" t="s">
        <v>889</v>
      </c>
      <c r="AQ80" s="780"/>
      <c r="AR80" s="802"/>
      <c r="AS80" s="780"/>
      <c r="AT80" s="803"/>
      <c r="AU80" s="803"/>
      <c r="AV80" s="804" t="str">
        <f>IF(AT80="","",S80-AT80-AU80)</f>
        <v/>
      </c>
      <c r="AW80" s="847" t="str">
        <f>IFERROR(IF(tbl_DCFC[[#This Row],[F Montant HT]]="","",tbl_DCFC[[#This Row],[Marge]]/tbl_DCFC[[#This Row],[F Montant HT]]),"")</f>
        <v/>
      </c>
    </row>
    <row r="81" spans="1:49" s="437" customFormat="1" ht="15" customHeight="1" x14ac:dyDescent="0.3">
      <c r="A81" s="799">
        <v>44606</v>
      </c>
      <c r="B81" s="780" t="str">
        <f>IFERROR(INDEX(Tabelle2[BU],MATCH(tbl_DCFC[[#This Row],[Categorie]],CAT,0)),"")</f>
        <v>SER</v>
      </c>
      <c r="C81" s="806" t="str">
        <f t="shared" si="5"/>
        <v>S07</v>
      </c>
      <c r="D81" s="799">
        <v>44606</v>
      </c>
      <c r="E81" s="793">
        <v>4726</v>
      </c>
      <c r="F81" s="793" t="s">
        <v>380</v>
      </c>
      <c r="G81" s="793" t="s">
        <v>381</v>
      </c>
      <c r="H81" s="793" t="s">
        <v>847</v>
      </c>
      <c r="I81" s="821">
        <v>8628.2000000000007</v>
      </c>
      <c r="J81" s="793" t="s">
        <v>395</v>
      </c>
      <c r="K81" s="793" t="s">
        <v>574</v>
      </c>
      <c r="L81" s="855" t="s">
        <v>6</v>
      </c>
      <c r="M81" s="780"/>
      <c r="N81" s="39" t="str">
        <f t="shared" si="9"/>
        <v/>
      </c>
      <c r="O81" s="39" t="str">
        <f>IF(Data!$Q81="","",YEAR(Data!$Q81))</f>
        <v/>
      </c>
      <c r="P81" s="39" t="str">
        <f>IF(Data!$Q81="","",MONTH(Data!$Q81))</f>
        <v/>
      </c>
      <c r="Q81" s="64"/>
      <c r="S81" s="637"/>
      <c r="T81" s="39"/>
      <c r="U81" s="39" t="s">
        <v>385</v>
      </c>
      <c r="V81" s="780"/>
      <c r="W81" s="64"/>
      <c r="X81" s="39" t="str">
        <f t="shared" si="8"/>
        <v/>
      </c>
      <c r="Y81" s="39" t="str">
        <f>IF(Data!$AC81="","",YEAR(Data!$AC81))</f>
        <v/>
      </c>
      <c r="Z81" s="39" t="str">
        <f>IF(Data!$AC81="","",MONTH(Data!$AC81))</f>
        <v/>
      </c>
      <c r="AA81" s="64"/>
      <c r="AB81" s="39"/>
      <c r="AC81" s="64"/>
      <c r="AD81" s="637"/>
      <c r="AE81" s="64" t="s">
        <v>385</v>
      </c>
      <c r="AF81" s="784"/>
      <c r="AH81" s="780"/>
      <c r="AI81" s="801">
        <v>2</v>
      </c>
      <c r="AJ81" s="801" t="s">
        <v>885</v>
      </c>
      <c r="AK81" s="780"/>
      <c r="AM81" s="780"/>
      <c r="AN81" s="793"/>
      <c r="AO81" s="780"/>
      <c r="AP81" s="801" t="s">
        <v>886</v>
      </c>
      <c r="AQ81" s="780"/>
      <c r="AR81" s="802"/>
      <c r="AS81" s="780"/>
      <c r="AT81" s="803"/>
      <c r="AU81" s="803"/>
      <c r="AV81" s="804" t="str">
        <f>IF(AT81="","",S81-AT81-AU81)</f>
        <v/>
      </c>
      <c r="AW81" s="847" t="str">
        <f>IFERROR(IF(tbl_DCFC[[#This Row],[F Montant HT]]="","",tbl_DCFC[[#This Row],[Marge]]/tbl_DCFC[[#This Row],[F Montant HT]]),"")</f>
        <v/>
      </c>
    </row>
    <row r="82" spans="1:49" s="437" customFormat="1" ht="15" customHeight="1" x14ac:dyDescent="0.3">
      <c r="A82" s="799">
        <v>44607</v>
      </c>
      <c r="B82" s="780" t="str">
        <f>IFERROR(INDEX(Tabelle2[BU],MATCH(tbl_DCFC[[#This Row],[Categorie]],CAT,0)),"")</f>
        <v>SER</v>
      </c>
      <c r="C82" s="806" t="str">
        <f t="shared" si="5"/>
        <v>S07</v>
      </c>
      <c r="D82" s="799">
        <v>44607</v>
      </c>
      <c r="E82" s="793">
        <v>4727</v>
      </c>
      <c r="F82" s="793" t="s">
        <v>380</v>
      </c>
      <c r="G82" s="793" t="s">
        <v>808</v>
      </c>
      <c r="H82" s="793"/>
      <c r="I82" s="821">
        <v>3200</v>
      </c>
      <c r="J82" s="793" t="s">
        <v>259</v>
      </c>
      <c r="K82" s="793" t="s">
        <v>574</v>
      </c>
      <c r="L82" s="855" t="s">
        <v>6</v>
      </c>
      <c r="M82" s="780"/>
      <c r="N82" s="39" t="str">
        <f t="shared" si="9"/>
        <v/>
      </c>
      <c r="O82" s="39" t="str">
        <f>IF(Data!$Q82="","",YEAR(Data!$Q82))</f>
        <v/>
      </c>
      <c r="P82" s="39" t="str">
        <f>IF(Data!$Q82="","",MONTH(Data!$Q82))</f>
        <v/>
      </c>
      <c r="Q82" s="64"/>
      <c r="S82" s="637"/>
      <c r="T82" s="39"/>
      <c r="U82" s="39"/>
      <c r="V82" s="780"/>
      <c r="W82" s="64"/>
      <c r="X82" s="39" t="str">
        <f t="shared" si="8"/>
        <v/>
      </c>
      <c r="Y82" s="39" t="str">
        <f>IF(Data!$AC82="","",YEAR(Data!$AC82))</f>
        <v/>
      </c>
      <c r="Z82" s="39" t="str">
        <f>IF(Data!$AC82="","",MONTH(Data!$AC82))</f>
        <v/>
      </c>
      <c r="AA82" s="64"/>
      <c r="AB82" s="39"/>
      <c r="AC82" s="64"/>
      <c r="AD82" s="637"/>
      <c r="AE82" s="64"/>
      <c r="AF82" s="784"/>
      <c r="AH82" s="780"/>
      <c r="AI82" s="801">
        <v>1</v>
      </c>
      <c r="AJ82" s="801" t="s">
        <v>883</v>
      </c>
      <c r="AK82" s="780"/>
      <c r="AM82" s="780"/>
      <c r="AN82" s="793"/>
      <c r="AO82" s="780"/>
      <c r="AP82" s="801" t="s">
        <v>884</v>
      </c>
      <c r="AQ82" s="780"/>
      <c r="AR82" s="802"/>
      <c r="AS82" s="780"/>
      <c r="AT82" s="803"/>
      <c r="AU82" s="803"/>
      <c r="AV82" s="804"/>
      <c r="AW82" s="847"/>
    </row>
    <row r="83" spans="1:49" s="437" customFormat="1" ht="15" customHeight="1" x14ac:dyDescent="0.3">
      <c r="A83" s="799">
        <v>44572</v>
      </c>
      <c r="B83" s="780" t="str">
        <f>IFERROR(INDEX(Tabelle2[BU],MATCH(tbl_DCFC[[#This Row],[Categorie]],CAT,0)),"")</f>
        <v>SER</v>
      </c>
      <c r="C83" s="806" t="str">
        <f t="shared" ref="C83:C85" si="10">IF(D83&lt;&gt;"","S"&amp;TEXT(WEEKNUM(D83,21),"00"),"")</f>
        <v>S02</v>
      </c>
      <c r="D83" s="799">
        <v>44572</v>
      </c>
      <c r="E83" s="793">
        <v>4700</v>
      </c>
      <c r="F83" s="793" t="s">
        <v>382</v>
      </c>
      <c r="G83" s="793" t="s">
        <v>381</v>
      </c>
      <c r="H83" s="793" t="s">
        <v>847</v>
      </c>
      <c r="I83" s="821">
        <v>20320</v>
      </c>
      <c r="J83" s="793" t="s">
        <v>260</v>
      </c>
      <c r="K83" s="793" t="s">
        <v>574</v>
      </c>
      <c r="L83" s="855" t="s">
        <v>5</v>
      </c>
      <c r="M83" s="780"/>
      <c r="N83" s="437" t="str">
        <f t="shared" si="9"/>
        <v>S07</v>
      </c>
      <c r="O83" s="39">
        <f>IF(Data!$Q83="","",YEAR(Data!$Q83))</f>
        <v>2022</v>
      </c>
      <c r="P83" s="39">
        <f>IF(Data!$Q83="","",MONTH(Data!$Q83))</f>
        <v>2</v>
      </c>
      <c r="Q83" s="390">
        <v>44607</v>
      </c>
      <c r="R83" s="437" t="s">
        <v>890</v>
      </c>
      <c r="S83" s="438">
        <v>20320</v>
      </c>
      <c r="V83" s="780"/>
      <c r="W83" s="390"/>
      <c r="X83" s="437" t="str">
        <f t="shared" si="8"/>
        <v/>
      </c>
      <c r="Y83" s="437" t="str">
        <f>IF(Data!$AC83="","",YEAR(Data!$AC83))</f>
        <v/>
      </c>
      <c r="Z83" s="437" t="str">
        <f>IF(Data!$AC83="","",MONTH(Data!$AC83))</f>
        <v/>
      </c>
      <c r="AA83" s="390"/>
      <c r="AC83" s="390"/>
      <c r="AD83" s="438"/>
      <c r="AE83" s="390">
        <v>44659</v>
      </c>
      <c r="AF83" s="784"/>
      <c r="AH83" s="780"/>
      <c r="AI83" s="801">
        <v>1</v>
      </c>
      <c r="AJ83" s="801" t="s">
        <v>769</v>
      </c>
      <c r="AK83" s="780"/>
      <c r="AM83" s="780"/>
      <c r="AN83" s="793"/>
      <c r="AO83" s="780"/>
      <c r="AP83" s="801" t="s">
        <v>766</v>
      </c>
      <c r="AQ83" s="780"/>
      <c r="AR83" s="802"/>
      <c r="AS83" s="780"/>
      <c r="AT83" s="803"/>
      <c r="AU83" s="803"/>
      <c r="AV83" s="804"/>
      <c r="AW83" s="847"/>
    </row>
    <row r="84" spans="1:49" s="437" customFormat="1" ht="15" customHeight="1" x14ac:dyDescent="0.3">
      <c r="A84" s="799">
        <v>44572</v>
      </c>
      <c r="B84" s="780" t="str">
        <f>IFERROR(INDEX(Tabelle2[BU],MATCH(tbl_DCFC[[#This Row],[Categorie]],CAT,0)),"")</f>
        <v>SER</v>
      </c>
      <c r="C84" s="806" t="str">
        <f t="shared" si="10"/>
        <v>S02</v>
      </c>
      <c r="D84" s="799">
        <v>44572</v>
      </c>
      <c r="E84" s="793">
        <v>4700</v>
      </c>
      <c r="F84" s="793" t="s">
        <v>382</v>
      </c>
      <c r="G84" s="793" t="s">
        <v>381</v>
      </c>
      <c r="H84" s="793" t="s">
        <v>847</v>
      </c>
      <c r="I84" s="821">
        <v>20320</v>
      </c>
      <c r="J84" s="793" t="s">
        <v>260</v>
      </c>
      <c r="K84" s="793" t="s">
        <v>574</v>
      </c>
      <c r="L84" s="855" t="s">
        <v>5</v>
      </c>
      <c r="M84" s="780"/>
      <c r="N84" s="437" t="str">
        <f t="shared" si="9"/>
        <v>S07</v>
      </c>
      <c r="O84" s="39">
        <f>IF(Data!$Q84="","",YEAR(Data!$Q84))</f>
        <v>2022</v>
      </c>
      <c r="P84" s="39">
        <f>IF(Data!$Q84="","",MONTH(Data!$Q84))</f>
        <v>2</v>
      </c>
      <c r="Q84" s="390">
        <v>44607</v>
      </c>
      <c r="R84" s="437" t="s">
        <v>890</v>
      </c>
      <c r="S84" s="438">
        <v>20320</v>
      </c>
      <c r="V84" s="780"/>
      <c r="W84" s="390"/>
      <c r="X84" s="437" t="str">
        <f t="shared" si="8"/>
        <v/>
      </c>
      <c r="Y84" s="437" t="str">
        <f>IF(Data!$AC84="","",YEAR(Data!$AC84))</f>
        <v/>
      </c>
      <c r="Z84" s="437" t="str">
        <f>IF(Data!$AC84="","",MONTH(Data!$AC84))</f>
        <v/>
      </c>
      <c r="AA84" s="390"/>
      <c r="AC84" s="390"/>
      <c r="AD84" s="438"/>
      <c r="AE84" s="390">
        <v>44673</v>
      </c>
      <c r="AF84" s="784"/>
      <c r="AH84" s="780"/>
      <c r="AI84" s="801">
        <v>1</v>
      </c>
      <c r="AJ84" s="801" t="s">
        <v>769</v>
      </c>
      <c r="AK84" s="780"/>
      <c r="AM84" s="780"/>
      <c r="AN84" s="793"/>
      <c r="AO84" s="780"/>
      <c r="AP84" s="801" t="s">
        <v>766</v>
      </c>
      <c r="AQ84" s="780"/>
      <c r="AR84" s="802"/>
      <c r="AS84" s="780"/>
      <c r="AT84" s="803"/>
      <c r="AU84" s="803"/>
      <c r="AV84" s="804"/>
      <c r="AW84" s="847"/>
    </row>
    <row r="85" spans="1:49" s="437" customFormat="1" ht="15" customHeight="1" x14ac:dyDescent="0.3">
      <c r="A85" s="799">
        <v>44607</v>
      </c>
      <c r="B85" s="780" t="str">
        <f>IFERROR(INDEX(Tabelle2[BU],MATCH(tbl_DCFC[[#This Row],[Categorie]],CAT,0)),"")</f>
        <v>SER</v>
      </c>
      <c r="C85" s="806" t="str">
        <f t="shared" si="10"/>
        <v>S07</v>
      </c>
      <c r="D85" s="799">
        <v>44607</v>
      </c>
      <c r="E85" s="793">
        <v>4728</v>
      </c>
      <c r="F85" s="793" t="s">
        <v>380</v>
      </c>
      <c r="G85" s="793" t="s">
        <v>870</v>
      </c>
      <c r="H85" s="793"/>
      <c r="I85" s="821">
        <v>5851</v>
      </c>
      <c r="J85" s="793" t="s">
        <v>260</v>
      </c>
      <c r="K85" s="793" t="s">
        <v>574</v>
      </c>
      <c r="L85" s="855" t="s">
        <v>5</v>
      </c>
      <c r="M85" s="780"/>
      <c r="N85" s="437" t="str">
        <f t="shared" si="9"/>
        <v>S07</v>
      </c>
      <c r="O85" s="39">
        <f>IF(Data!$Q85="","",YEAR(Data!$Q85))</f>
        <v>2022</v>
      </c>
      <c r="P85" s="39">
        <f>IF(Data!$Q85="","",MONTH(Data!$Q85))</f>
        <v>2</v>
      </c>
      <c r="Q85" s="64">
        <v>44609</v>
      </c>
      <c r="R85" s="39" t="s">
        <v>903</v>
      </c>
      <c r="S85" s="637">
        <v>5851</v>
      </c>
      <c r="T85" s="39"/>
      <c r="U85" s="39"/>
      <c r="V85" s="780"/>
      <c r="W85" s="64"/>
      <c r="X85" s="39" t="str">
        <f t="shared" si="8"/>
        <v/>
      </c>
      <c r="Y85" s="39" t="str">
        <f>IF(Data!$AC85="","",YEAR(Data!$AC85))</f>
        <v/>
      </c>
      <c r="Z85" s="39" t="str">
        <f>IF(Data!$AC85="","",MONTH(Data!$AC85))</f>
        <v/>
      </c>
      <c r="AA85" s="64"/>
      <c r="AB85" s="39"/>
      <c r="AC85" s="64"/>
      <c r="AD85" s="637"/>
      <c r="AE85" s="64">
        <v>44663</v>
      </c>
      <c r="AF85" s="784"/>
      <c r="AH85" s="780"/>
      <c r="AI85" s="801">
        <v>4</v>
      </c>
      <c r="AJ85" s="801" t="s">
        <v>892</v>
      </c>
      <c r="AK85" s="780"/>
      <c r="AL85" s="39" t="s">
        <v>904</v>
      </c>
      <c r="AM85" s="780"/>
      <c r="AN85" s="793"/>
      <c r="AO85" s="780"/>
      <c r="AP85" s="801" t="s">
        <v>893</v>
      </c>
      <c r="AQ85" s="780"/>
      <c r="AR85" s="802"/>
      <c r="AS85" s="780"/>
      <c r="AT85" s="803"/>
      <c r="AU85" s="803"/>
      <c r="AV85" s="804"/>
      <c r="AW85" s="847"/>
    </row>
    <row r="86" spans="1:49" s="437" customFormat="1" ht="15" customHeight="1" x14ac:dyDescent="0.3">
      <c r="A86" s="799">
        <v>44608</v>
      </c>
      <c r="B86" s="780" t="str">
        <f>IFERROR(INDEX(Tabelle2[BU],MATCH(tbl_DCFC[[#This Row],[Categorie]],CAT,0)),"")</f>
        <v>SER</v>
      </c>
      <c r="C86" s="806" t="str">
        <f t="shared" ref="C86:C149" si="11">IF(D86&lt;&gt;"","S"&amp;TEXT(WEEKNUM(D86,21),"00"),"")</f>
        <v>S07</v>
      </c>
      <c r="D86" s="799">
        <v>44608</v>
      </c>
      <c r="E86" s="793">
        <v>4729</v>
      </c>
      <c r="F86" s="793" t="s">
        <v>380</v>
      </c>
      <c r="G86" s="793" t="s">
        <v>114</v>
      </c>
      <c r="H86" s="793"/>
      <c r="I86" s="821">
        <v>1060</v>
      </c>
      <c r="J86" s="793" t="s">
        <v>395</v>
      </c>
      <c r="K86" s="793" t="s">
        <v>569</v>
      </c>
      <c r="L86" s="855" t="s">
        <v>5</v>
      </c>
      <c r="M86" s="780"/>
      <c r="N86" s="437" t="str">
        <f t="shared" ref="N86:N149" si="12">IF(Q86&lt;&gt;"","S"&amp;TEXT(WEEKNUM(Q86,21),"00"),"")</f>
        <v>S10</v>
      </c>
      <c r="O86" s="39">
        <f>IF(Data!$Q86="","",YEAR(Data!$Q86))</f>
        <v>2022</v>
      </c>
      <c r="P86" s="39">
        <f>IF(Data!$Q86="","",MONTH(Data!$Q86))</f>
        <v>3</v>
      </c>
      <c r="Q86" s="64">
        <v>44627</v>
      </c>
      <c r="R86" s="39" t="s">
        <v>949</v>
      </c>
      <c r="S86" s="637">
        <v>1060</v>
      </c>
      <c r="T86" s="39"/>
      <c r="U86" s="39"/>
      <c r="V86" s="780"/>
      <c r="W86" s="64">
        <v>44622</v>
      </c>
      <c r="X86" s="39" t="str">
        <f t="shared" si="8"/>
        <v/>
      </c>
      <c r="Y86" s="39" t="str">
        <f>IF(Data!$AC86="","",YEAR(Data!$AC86))</f>
        <v/>
      </c>
      <c r="Z86" s="39" t="str">
        <f>IF(Data!$AC86="","",MONTH(Data!$AC86))</f>
        <v/>
      </c>
      <c r="AA86" s="64"/>
      <c r="AB86" s="39"/>
      <c r="AC86" s="64"/>
      <c r="AD86" s="637"/>
      <c r="AE86" s="64">
        <v>44693</v>
      </c>
      <c r="AF86" s="784"/>
      <c r="AH86" s="780"/>
      <c r="AI86" s="801">
        <v>2</v>
      </c>
      <c r="AJ86" s="801" t="s">
        <v>723</v>
      </c>
      <c r="AK86" s="780"/>
      <c r="AL86" s="39" t="s">
        <v>969</v>
      </c>
      <c r="AM86" s="780"/>
      <c r="AN86" s="793"/>
      <c r="AO86" s="780"/>
      <c r="AP86" s="801" t="s">
        <v>894</v>
      </c>
      <c r="AQ86" s="780"/>
      <c r="AR86" s="802"/>
      <c r="AS86" s="780"/>
      <c r="AT86" s="803">
        <v>494.4</v>
      </c>
      <c r="AU86" s="803"/>
      <c r="AV86" s="804"/>
      <c r="AW86" s="847"/>
    </row>
    <row r="87" spans="1:49" s="437" customFormat="1" ht="15" customHeight="1" x14ac:dyDescent="0.3">
      <c r="A87" s="799">
        <v>44608</v>
      </c>
      <c r="B87" s="780" t="str">
        <f>IFERROR(INDEX(Tabelle2[BU],MATCH(tbl_DCFC[[#This Row],[Categorie]],CAT,0)),"")</f>
        <v>SER</v>
      </c>
      <c r="C87" s="806" t="str">
        <f t="shared" si="11"/>
        <v>S07</v>
      </c>
      <c r="D87" s="799">
        <v>44608</v>
      </c>
      <c r="E87" s="793">
        <v>4730</v>
      </c>
      <c r="F87" s="793" t="s">
        <v>380</v>
      </c>
      <c r="G87" s="793" t="s">
        <v>114</v>
      </c>
      <c r="H87" s="793"/>
      <c r="I87" s="821">
        <v>1200</v>
      </c>
      <c r="J87" s="793" t="s">
        <v>395</v>
      </c>
      <c r="K87" s="793" t="s">
        <v>569</v>
      </c>
      <c r="L87" s="855" t="s">
        <v>5</v>
      </c>
      <c r="M87" s="780"/>
      <c r="N87" s="437" t="str">
        <f t="shared" si="12"/>
        <v>S13</v>
      </c>
      <c r="O87" s="39">
        <f>IF(Data!$Q87="","",YEAR(Data!$Q87))</f>
        <v>2022</v>
      </c>
      <c r="P87" s="39">
        <f>IF(Data!$Q87="","",MONTH(Data!$Q87))</f>
        <v>3</v>
      </c>
      <c r="Q87" s="64">
        <v>44651</v>
      </c>
      <c r="R87" s="39" t="s">
        <v>1010</v>
      </c>
      <c r="S87" s="637">
        <v>1200</v>
      </c>
      <c r="T87" s="39"/>
      <c r="U87" s="39"/>
      <c r="V87" s="780"/>
      <c r="W87" s="64">
        <v>44622</v>
      </c>
      <c r="X87" s="39" t="str">
        <f t="shared" si="8"/>
        <v>S16</v>
      </c>
      <c r="Y87" s="39">
        <f>IF(Data!$AC87="","",YEAR(Data!$AC87))</f>
        <v>1903</v>
      </c>
      <c r="Z87" s="39">
        <f>IF(Data!$AC87="","",MONTH(Data!$AC87))</f>
        <v>4</v>
      </c>
      <c r="AA87" s="64">
        <v>44655</v>
      </c>
      <c r="AB87" s="39">
        <v>5230</v>
      </c>
      <c r="AC87" s="64">
        <v>1200</v>
      </c>
      <c r="AD87" s="637"/>
      <c r="AE87" s="64">
        <v>44678</v>
      </c>
      <c r="AF87" s="784"/>
      <c r="AH87" s="780"/>
      <c r="AI87" s="801">
        <v>2</v>
      </c>
      <c r="AJ87" s="801" t="s">
        <v>721</v>
      </c>
      <c r="AK87" s="780"/>
      <c r="AL87" s="39" t="s">
        <v>1022</v>
      </c>
      <c r="AM87" s="780"/>
      <c r="AN87" s="793"/>
      <c r="AO87" s="780"/>
      <c r="AP87" s="801" t="s">
        <v>895</v>
      </c>
      <c r="AQ87" s="780"/>
      <c r="AR87" s="802"/>
      <c r="AS87" s="780"/>
      <c r="AT87" s="803"/>
      <c r="AU87" s="803"/>
      <c r="AV87" s="804"/>
      <c r="AW87" s="847"/>
    </row>
    <row r="88" spans="1:49" s="437" customFormat="1" ht="15" customHeight="1" x14ac:dyDescent="0.3">
      <c r="A88" s="799">
        <v>44608</v>
      </c>
      <c r="B88" s="780" t="str">
        <f>IFERROR(INDEX(Tabelle2[BU],MATCH(tbl_DCFC[[#This Row],[Categorie]],CAT,0)),"")</f>
        <v>SER</v>
      </c>
      <c r="C88" s="806" t="str">
        <f t="shared" si="11"/>
        <v>S07</v>
      </c>
      <c r="D88" s="799">
        <v>44608</v>
      </c>
      <c r="E88" s="793">
        <v>4731</v>
      </c>
      <c r="F88" s="793" t="s">
        <v>380</v>
      </c>
      <c r="G88" s="793" t="s">
        <v>896</v>
      </c>
      <c r="H88" s="793"/>
      <c r="I88" s="821">
        <v>20580</v>
      </c>
      <c r="J88" s="793" t="s">
        <v>259</v>
      </c>
      <c r="K88" s="793" t="s">
        <v>574</v>
      </c>
      <c r="L88" s="855" t="s">
        <v>6</v>
      </c>
      <c r="M88" s="780"/>
      <c r="N88" s="437" t="str">
        <f t="shared" si="12"/>
        <v/>
      </c>
      <c r="O88" s="39" t="str">
        <f>IF(Data!$Q88="","",YEAR(Data!$Q88))</f>
        <v/>
      </c>
      <c r="P88" s="39" t="str">
        <f>IF(Data!$Q88="","",MONTH(Data!$Q88))</f>
        <v/>
      </c>
      <c r="Q88" s="64"/>
      <c r="R88" s="39"/>
      <c r="S88" s="637"/>
      <c r="T88" s="39"/>
      <c r="U88" s="39"/>
      <c r="V88" s="780"/>
      <c r="W88" s="64"/>
      <c r="X88" s="39" t="str">
        <f t="shared" si="8"/>
        <v/>
      </c>
      <c r="Y88" s="39" t="str">
        <f>IF(Data!$AC88="","",YEAR(Data!$AC88))</f>
        <v/>
      </c>
      <c r="Z88" s="39" t="str">
        <f>IF(Data!$AC88="","",MONTH(Data!$AC88))</f>
        <v/>
      </c>
      <c r="AA88" s="64"/>
      <c r="AB88" s="39"/>
      <c r="AC88" s="64"/>
      <c r="AD88" s="637"/>
      <c r="AE88" s="64"/>
      <c r="AF88" s="784"/>
      <c r="AH88" s="780"/>
      <c r="AI88" s="801">
        <v>1</v>
      </c>
      <c r="AJ88" s="801" t="s">
        <v>897</v>
      </c>
      <c r="AK88" s="780"/>
      <c r="AL88" s="39"/>
      <c r="AM88" s="780"/>
      <c r="AN88" s="793"/>
      <c r="AO88" s="780"/>
      <c r="AP88" s="801" t="s">
        <v>898</v>
      </c>
      <c r="AQ88" s="780"/>
      <c r="AR88" s="802"/>
      <c r="AS88" s="780"/>
      <c r="AT88" s="803"/>
      <c r="AU88" s="803"/>
      <c r="AV88" s="804"/>
      <c r="AW88" s="847"/>
    </row>
    <row r="89" spans="1:49" s="437" customFormat="1" ht="15" customHeight="1" x14ac:dyDescent="0.3">
      <c r="A89" s="799">
        <v>44609</v>
      </c>
      <c r="B89" s="780" t="str">
        <f>IFERROR(INDEX(Tabelle2[BU],MATCH(tbl_DCFC[[#This Row],[Categorie]],CAT,0)),"")</f>
        <v>SER</v>
      </c>
      <c r="C89" s="806" t="str">
        <f t="shared" si="11"/>
        <v>S07</v>
      </c>
      <c r="D89" s="799">
        <v>44609</v>
      </c>
      <c r="E89" s="793">
        <v>4732</v>
      </c>
      <c r="F89" s="793" t="s">
        <v>380</v>
      </c>
      <c r="G89" s="793" t="s">
        <v>851</v>
      </c>
      <c r="H89" s="793"/>
      <c r="I89" s="821"/>
      <c r="J89" s="793" t="s">
        <v>259</v>
      </c>
      <c r="K89" s="793" t="s">
        <v>574</v>
      </c>
      <c r="L89" s="855" t="s">
        <v>9</v>
      </c>
      <c r="M89" s="780"/>
      <c r="N89" s="437" t="str">
        <f t="shared" si="12"/>
        <v/>
      </c>
      <c r="O89" s="39" t="str">
        <f>IF(Data!$Q89="","",YEAR(Data!$Q89))</f>
        <v/>
      </c>
      <c r="P89" s="39" t="str">
        <f>IF(Data!$Q89="","",MONTH(Data!$Q89))</f>
        <v/>
      </c>
      <c r="Q89" s="64"/>
      <c r="R89" s="39"/>
      <c r="S89" s="637"/>
      <c r="T89" s="39"/>
      <c r="U89" s="39" t="s">
        <v>385</v>
      </c>
      <c r="V89" s="780"/>
      <c r="W89" s="64"/>
      <c r="X89" s="39" t="str">
        <f t="shared" si="8"/>
        <v/>
      </c>
      <c r="Y89" s="39" t="str">
        <f>IF(Data!$AC89="","",YEAR(Data!$AC89))</f>
        <v/>
      </c>
      <c r="Z89" s="39" t="str">
        <f>IF(Data!$AC89="","",MONTH(Data!$AC89))</f>
        <v/>
      </c>
      <c r="AA89" s="64"/>
      <c r="AB89" s="39"/>
      <c r="AC89" s="64"/>
      <c r="AD89" s="637"/>
      <c r="AE89" s="64" t="s">
        <v>385</v>
      </c>
      <c r="AF89" s="784"/>
      <c r="AH89" s="780"/>
      <c r="AI89" s="801">
        <v>1</v>
      </c>
      <c r="AJ89" s="801" t="s">
        <v>876</v>
      </c>
      <c r="AK89" s="780"/>
      <c r="AL89" s="39" t="s">
        <v>968</v>
      </c>
      <c r="AM89" s="780"/>
      <c r="AN89" s="793"/>
      <c r="AO89" s="780"/>
      <c r="AP89" s="801" t="s">
        <v>923</v>
      </c>
      <c r="AQ89" s="780"/>
      <c r="AR89" s="802"/>
      <c r="AS89" s="780"/>
      <c r="AT89" s="803"/>
      <c r="AU89" s="803"/>
      <c r="AV89" s="804" t="str">
        <f>IF(AT89="","",S89-AT89-AU89)</f>
        <v/>
      </c>
      <c r="AW89" s="847" t="str">
        <f>IFERROR(IF(tbl_DCFC[[#This Row],[F Montant HT]]="","",tbl_DCFC[[#This Row],[Marge]]/tbl_DCFC[[#This Row],[F Montant HT]]),"")</f>
        <v/>
      </c>
    </row>
    <row r="90" spans="1:49" s="437" customFormat="1" ht="15" customHeight="1" x14ac:dyDescent="0.3">
      <c r="A90" s="799">
        <v>44602</v>
      </c>
      <c r="B90" s="780" t="str">
        <f>IFERROR(INDEX(Tabelle2[BU],MATCH(tbl_DCFC[[#This Row],[Categorie]],CAT,0)),"")</f>
        <v>SER</v>
      </c>
      <c r="C90" s="806" t="str">
        <f t="shared" si="11"/>
        <v>S06</v>
      </c>
      <c r="D90" s="799">
        <v>44602</v>
      </c>
      <c r="E90" s="793">
        <v>4721</v>
      </c>
      <c r="F90" s="793" t="s">
        <v>380</v>
      </c>
      <c r="G90" s="793" t="s">
        <v>870</v>
      </c>
      <c r="H90" s="793"/>
      <c r="I90" s="821">
        <v>460</v>
      </c>
      <c r="J90" s="793" t="s">
        <v>260</v>
      </c>
      <c r="K90" s="793" t="s">
        <v>574</v>
      </c>
      <c r="L90" s="855" t="s">
        <v>6</v>
      </c>
      <c r="M90" s="780"/>
      <c r="N90" s="437" t="str">
        <f t="shared" si="12"/>
        <v/>
      </c>
      <c r="O90" s="39" t="str">
        <f>IF(Data!$Q90="","",YEAR(Data!$Q90))</f>
        <v/>
      </c>
      <c r="P90" s="39" t="str">
        <f>IF(Data!$Q90="","",MONTH(Data!$Q90))</f>
        <v/>
      </c>
      <c r="Q90" s="64"/>
      <c r="R90" s="39"/>
      <c r="S90" s="637"/>
      <c r="T90" s="39"/>
      <c r="U90" s="39"/>
      <c r="V90" s="780"/>
      <c r="W90" s="64"/>
      <c r="X90" s="39" t="str">
        <f t="shared" si="8"/>
        <v/>
      </c>
      <c r="Y90" s="39" t="str">
        <f>IF(Data!$AC90="","",YEAR(Data!$AC90))</f>
        <v/>
      </c>
      <c r="Z90" s="39" t="str">
        <f>IF(Data!$AC90="","",MONTH(Data!$AC90))</f>
        <v/>
      </c>
      <c r="AA90" s="64"/>
      <c r="AB90" s="39"/>
      <c r="AC90" s="64"/>
      <c r="AD90" s="637"/>
      <c r="AE90" s="64"/>
      <c r="AF90" s="784"/>
      <c r="AH90" s="780"/>
      <c r="AI90" s="801"/>
      <c r="AJ90" s="801"/>
      <c r="AK90" s="780"/>
      <c r="AL90" s="39" t="s">
        <v>902</v>
      </c>
      <c r="AM90" s="780"/>
      <c r="AN90" s="793"/>
      <c r="AO90" s="780"/>
      <c r="AP90" s="801" t="s">
        <v>869</v>
      </c>
      <c r="AQ90" s="780"/>
      <c r="AR90" s="802"/>
      <c r="AS90" s="780"/>
      <c r="AT90" s="803"/>
      <c r="AU90" s="803"/>
      <c r="AV90" s="804"/>
      <c r="AW90" s="847"/>
    </row>
    <row r="91" spans="1:49" s="437" customFormat="1" ht="15" customHeight="1" x14ac:dyDescent="0.3">
      <c r="A91" s="799">
        <v>44609</v>
      </c>
      <c r="B91" s="780" t="str">
        <f>IFERROR(INDEX(Tabelle2[BU],MATCH(tbl_DCFC[[#This Row],[Categorie]],CAT,0)),"")</f>
        <v>SER</v>
      </c>
      <c r="C91" s="806" t="str">
        <f t="shared" si="11"/>
        <v>S07</v>
      </c>
      <c r="D91" s="799">
        <v>44609</v>
      </c>
      <c r="E91" s="793">
        <v>4733</v>
      </c>
      <c r="F91" s="793" t="s">
        <v>380</v>
      </c>
      <c r="G91" s="793" t="s">
        <v>870</v>
      </c>
      <c r="H91" s="793"/>
      <c r="I91" s="821">
        <v>460</v>
      </c>
      <c r="J91" s="793" t="s">
        <v>260</v>
      </c>
      <c r="K91" s="793" t="s">
        <v>574</v>
      </c>
      <c r="L91" s="855" t="s">
        <v>5</v>
      </c>
      <c r="M91" s="780"/>
      <c r="N91" s="437" t="str">
        <f t="shared" si="12"/>
        <v>S07</v>
      </c>
      <c r="O91" s="39">
        <f>IF(Data!$Q91="","",YEAR(Data!$Q91))</f>
        <v>2022</v>
      </c>
      <c r="P91" s="39">
        <f>IF(Data!$Q91="","",MONTH(Data!$Q91))</f>
        <v>2</v>
      </c>
      <c r="Q91" s="64">
        <v>44609</v>
      </c>
      <c r="R91" s="39" t="s">
        <v>905</v>
      </c>
      <c r="S91" s="637">
        <v>460</v>
      </c>
      <c r="T91" s="39"/>
      <c r="U91" s="39" t="s">
        <v>385</v>
      </c>
      <c r="V91" s="780"/>
      <c r="W91" s="64">
        <v>44614</v>
      </c>
      <c r="X91" s="39" t="str">
        <f t="shared" si="8"/>
        <v>S08</v>
      </c>
      <c r="Y91" s="39">
        <f>IF(Data!$AC91="","",YEAR(Data!$AC91))</f>
        <v>2022</v>
      </c>
      <c r="Z91" s="39">
        <f>IF(Data!$AC91="","",MONTH(Data!$AC91))</f>
        <v>2</v>
      </c>
      <c r="AA91" s="64">
        <v>44616</v>
      </c>
      <c r="AB91" s="39">
        <v>5207</v>
      </c>
      <c r="AC91" s="64">
        <v>44617</v>
      </c>
      <c r="AD91" s="637">
        <v>460</v>
      </c>
      <c r="AE91" s="64" t="s">
        <v>385</v>
      </c>
      <c r="AF91" s="784"/>
      <c r="AH91" s="780"/>
      <c r="AI91" s="801">
        <v>1</v>
      </c>
      <c r="AJ91" s="801" t="s">
        <v>906</v>
      </c>
      <c r="AK91" s="780"/>
      <c r="AL91" s="39" t="s">
        <v>908</v>
      </c>
      <c r="AM91" s="780"/>
      <c r="AN91" s="793"/>
      <c r="AO91" s="780"/>
      <c r="AP91" s="801" t="s">
        <v>899</v>
      </c>
      <c r="AQ91" s="780"/>
      <c r="AR91" s="802"/>
      <c r="AS91" s="780"/>
      <c r="AT91" s="803">
        <v>37.64</v>
      </c>
      <c r="AU91" s="803">
        <v>271.82</v>
      </c>
      <c r="AV91" s="804">
        <f>IF(AT91="","",S91-AT91-AU91)</f>
        <v>150.54000000000002</v>
      </c>
      <c r="AW91" s="847">
        <f>IFERROR(IF(tbl_DCFC[[#This Row],[F Montant HT]]="","",tbl_DCFC[[#This Row],[Marge]]/tbl_DCFC[[#This Row],[F Montant HT]]),"")</f>
        <v>0.32726086956521744</v>
      </c>
    </row>
    <row r="92" spans="1:49" s="437" customFormat="1" ht="15" customHeight="1" x14ac:dyDescent="0.3">
      <c r="A92" s="799">
        <v>44609</v>
      </c>
      <c r="B92" s="780" t="str">
        <f>IFERROR(INDEX(Tabelle2[BU],MATCH(tbl_DCFC[[#This Row],[Categorie]],CAT,0)),"")</f>
        <v>SER</v>
      </c>
      <c r="C92" s="806" t="str">
        <f t="shared" si="11"/>
        <v>S07</v>
      </c>
      <c r="D92" s="799">
        <v>44609</v>
      </c>
      <c r="E92" s="793">
        <v>4733</v>
      </c>
      <c r="F92" s="793" t="s">
        <v>380</v>
      </c>
      <c r="G92" s="793" t="s">
        <v>870</v>
      </c>
      <c r="H92" s="793"/>
      <c r="I92" s="821">
        <v>90</v>
      </c>
      <c r="J92" s="793" t="s">
        <v>260</v>
      </c>
      <c r="K92" s="793" t="s">
        <v>574</v>
      </c>
      <c r="L92" s="855" t="s">
        <v>5</v>
      </c>
      <c r="M92" s="780"/>
      <c r="N92" s="437" t="str">
        <f t="shared" si="12"/>
        <v>S07</v>
      </c>
      <c r="O92" s="39">
        <f>IF(Data!$Q92="","",YEAR(Data!$Q92))</f>
        <v>2022</v>
      </c>
      <c r="P92" s="39">
        <f>IF(Data!$Q92="","",MONTH(Data!$Q92))</f>
        <v>2</v>
      </c>
      <c r="Q92" s="64">
        <v>44609</v>
      </c>
      <c r="R92" s="39" t="s">
        <v>905</v>
      </c>
      <c r="S92" s="637">
        <v>90</v>
      </c>
      <c r="T92" s="39"/>
      <c r="U92" s="39"/>
      <c r="V92" s="780"/>
      <c r="W92" s="64">
        <v>44614</v>
      </c>
      <c r="X92" s="39" t="str">
        <f t="shared" si="8"/>
        <v>S11</v>
      </c>
      <c r="Y92" s="39">
        <f>IF(Data!$AC92="","",YEAR(Data!$AC92))</f>
        <v>2022</v>
      </c>
      <c r="Z92" s="39">
        <f>IF(Data!$AC92="","",MONTH(Data!$AC92))</f>
        <v>3</v>
      </c>
      <c r="AA92" s="64">
        <v>44630</v>
      </c>
      <c r="AB92" s="39">
        <v>5213</v>
      </c>
      <c r="AC92" s="64">
        <v>44634</v>
      </c>
      <c r="AD92" s="637">
        <v>90</v>
      </c>
      <c r="AE92" s="64"/>
      <c r="AF92" s="784"/>
      <c r="AH92" s="780"/>
      <c r="AI92" s="801">
        <v>1</v>
      </c>
      <c r="AJ92" s="801" t="s">
        <v>907</v>
      </c>
      <c r="AK92" s="780"/>
      <c r="AL92" s="39"/>
      <c r="AM92" s="780"/>
      <c r="AN92" s="793"/>
      <c r="AO92" s="780"/>
      <c r="AP92" s="801" t="s">
        <v>899</v>
      </c>
      <c r="AQ92" s="780"/>
      <c r="AR92" s="802"/>
      <c r="AS92" s="780"/>
      <c r="AT92" s="803">
        <v>7.36</v>
      </c>
      <c r="AU92" s="803">
        <v>53.18</v>
      </c>
      <c r="AV92" s="804">
        <f t="shared" ref="AV92:AV100" si="13">IF(AT92="","",S92-AT92-AU92)</f>
        <v>29.46</v>
      </c>
      <c r="AW92" s="847">
        <f>IFERROR(IF(tbl_DCFC[[#This Row],[F Montant HT]]="","",tbl_DCFC[[#This Row],[Marge]]/tbl_DCFC[[#This Row],[F Montant HT]]),"")</f>
        <v>0.32733333333333337</v>
      </c>
    </row>
    <row r="93" spans="1:49" s="437" customFormat="1" ht="15" customHeight="1" x14ac:dyDescent="0.3">
      <c r="A93" s="799">
        <v>44602</v>
      </c>
      <c r="B93" s="780" t="str">
        <f>IFERROR(INDEX(Tabelle2[BU],MATCH(tbl_DCFC[[#This Row],[Categorie]],CAT,0)),"")</f>
        <v/>
      </c>
      <c r="C93" s="806" t="str">
        <f t="shared" si="11"/>
        <v>S06</v>
      </c>
      <c r="D93" s="799">
        <v>44602</v>
      </c>
      <c r="E93" s="793"/>
      <c r="F93" s="793"/>
      <c r="G93" s="793" t="s">
        <v>910</v>
      </c>
      <c r="H93" s="793"/>
      <c r="I93" s="821"/>
      <c r="J93" s="793" t="s">
        <v>842</v>
      </c>
      <c r="K93" s="793"/>
      <c r="L93" s="855"/>
      <c r="M93" s="780"/>
      <c r="N93" s="437" t="str">
        <f t="shared" si="12"/>
        <v/>
      </c>
      <c r="O93" s="39" t="str">
        <f>IF(Data!$Q93="","",YEAR(Data!$Q93))</f>
        <v/>
      </c>
      <c r="P93" s="39" t="str">
        <f>IF(Data!$Q93="","",MONTH(Data!$Q93))</f>
        <v/>
      </c>
      <c r="Q93" s="64"/>
      <c r="R93" s="39" t="s">
        <v>911</v>
      </c>
      <c r="S93" s="637"/>
      <c r="T93" s="39"/>
      <c r="U93" s="39" t="s">
        <v>385</v>
      </c>
      <c r="V93" s="780"/>
      <c r="W93" s="64"/>
      <c r="X93" s="39" t="str">
        <f t="shared" si="8"/>
        <v>S06</v>
      </c>
      <c r="Y93" s="39">
        <f>IF(Data!$AC93="","",YEAR(Data!$AC93))</f>
        <v>2022</v>
      </c>
      <c r="Z93" s="39">
        <f>IF(Data!$AC93="","",MONTH(Data!$AC93))</f>
        <v>2</v>
      </c>
      <c r="AA93" s="64"/>
      <c r="AB93" s="39">
        <v>5200</v>
      </c>
      <c r="AC93" s="64">
        <v>44602</v>
      </c>
      <c r="AD93" s="637">
        <v>-3571</v>
      </c>
      <c r="AE93" s="64" t="s">
        <v>385</v>
      </c>
      <c r="AF93" s="784"/>
      <c r="AH93" s="780"/>
      <c r="AI93" s="801"/>
      <c r="AJ93" s="801"/>
      <c r="AK93" s="780"/>
      <c r="AL93" s="39" t="s">
        <v>912</v>
      </c>
      <c r="AM93" s="780"/>
      <c r="AN93" s="793"/>
      <c r="AO93" s="780"/>
      <c r="AP93" s="801" t="s">
        <v>914</v>
      </c>
      <c r="AQ93" s="780"/>
      <c r="AR93" s="802"/>
      <c r="AS93" s="780"/>
      <c r="AT93" s="803"/>
      <c r="AU93" s="803"/>
      <c r="AV93" s="804" t="str">
        <f t="shared" si="13"/>
        <v/>
      </c>
      <c r="AW93" s="847" t="str">
        <f>IFERROR(IF(tbl_DCFC[[#This Row],[F Montant HT]]="","",tbl_DCFC[[#This Row],[Marge]]/tbl_DCFC[[#This Row],[F Montant HT]]),"")</f>
        <v/>
      </c>
    </row>
    <row r="94" spans="1:49" s="437" customFormat="1" ht="15" customHeight="1" x14ac:dyDescent="0.3">
      <c r="A94" s="799">
        <v>44602</v>
      </c>
      <c r="B94" s="780" t="str">
        <f>IFERROR(INDEX(Tabelle2[BU],MATCH(tbl_DCFC[[#This Row],[Categorie]],CAT,0)),"")</f>
        <v/>
      </c>
      <c r="C94" s="806" t="str">
        <f t="shared" si="11"/>
        <v>S06</v>
      </c>
      <c r="D94" s="799">
        <v>44602</v>
      </c>
      <c r="E94" s="793"/>
      <c r="F94" s="793"/>
      <c r="G94" s="793" t="s">
        <v>910</v>
      </c>
      <c r="H94" s="793"/>
      <c r="I94" s="821"/>
      <c r="J94" s="793" t="s">
        <v>842</v>
      </c>
      <c r="K94" s="793"/>
      <c r="L94" s="855"/>
      <c r="M94" s="780"/>
      <c r="N94" s="437" t="str">
        <f t="shared" si="12"/>
        <v/>
      </c>
      <c r="O94" s="39" t="str">
        <f>IF(Data!$Q94="","",YEAR(Data!$Q94))</f>
        <v/>
      </c>
      <c r="P94" s="39" t="str">
        <f>IF(Data!$Q94="","",MONTH(Data!$Q94))</f>
        <v/>
      </c>
      <c r="Q94" s="64"/>
      <c r="R94" s="39" t="s">
        <v>911</v>
      </c>
      <c r="S94" s="637"/>
      <c r="T94" s="39"/>
      <c r="U94" s="39"/>
      <c r="V94" s="780"/>
      <c r="W94" s="64"/>
      <c r="X94" s="39" t="str">
        <f t="shared" si="8"/>
        <v>S06</v>
      </c>
      <c r="Y94" s="39">
        <f>IF(Data!$AC94="","",YEAR(Data!$AC94))</f>
        <v>2022</v>
      </c>
      <c r="Z94" s="39">
        <f>IF(Data!$AC94="","",MONTH(Data!$AC94))</f>
        <v>2</v>
      </c>
      <c r="AA94" s="64"/>
      <c r="AB94" s="39">
        <v>5201</v>
      </c>
      <c r="AC94" s="64">
        <v>44602</v>
      </c>
      <c r="AD94" s="637">
        <v>3571</v>
      </c>
      <c r="AE94" s="64"/>
      <c r="AF94" s="784"/>
      <c r="AH94" s="780"/>
      <c r="AI94" s="801"/>
      <c r="AJ94" s="801"/>
      <c r="AK94" s="780"/>
      <c r="AL94" s="39" t="s">
        <v>913</v>
      </c>
      <c r="AM94" s="780"/>
      <c r="AN94" s="793"/>
      <c r="AO94" s="780"/>
      <c r="AP94" s="801" t="s">
        <v>914</v>
      </c>
      <c r="AQ94" s="780"/>
      <c r="AR94" s="802"/>
      <c r="AS94" s="780"/>
      <c r="AT94" s="803"/>
      <c r="AU94" s="803"/>
      <c r="AV94" s="804" t="str">
        <f t="shared" si="13"/>
        <v/>
      </c>
      <c r="AW94" s="847" t="str">
        <f>IFERROR(IF(tbl_DCFC[[#This Row],[F Montant HT]]="","",tbl_DCFC[[#This Row],[Marge]]/tbl_DCFC[[#This Row],[F Montant HT]]),"")</f>
        <v/>
      </c>
    </row>
    <row r="95" spans="1:49" s="437" customFormat="1" ht="15" customHeight="1" x14ac:dyDescent="0.3">
      <c r="A95" s="799">
        <v>44592</v>
      </c>
      <c r="B95" s="780" t="str">
        <f>IFERROR(INDEX(Tabelle2[BU],MATCH(tbl_DCFC[[#This Row],[Categorie]],CAT,0)),"")</f>
        <v/>
      </c>
      <c r="C95" s="806" t="str">
        <f t="shared" si="11"/>
        <v>S05</v>
      </c>
      <c r="D95" s="799">
        <v>44592</v>
      </c>
      <c r="E95" s="793"/>
      <c r="F95" s="793"/>
      <c r="G95" s="793" t="s">
        <v>841</v>
      </c>
      <c r="H95" s="793"/>
      <c r="I95" s="821"/>
      <c r="J95" s="793" t="s">
        <v>842</v>
      </c>
      <c r="K95" s="793"/>
      <c r="L95" s="855"/>
      <c r="M95" s="780"/>
      <c r="N95" s="437" t="str">
        <f t="shared" si="12"/>
        <v/>
      </c>
      <c r="O95" s="39" t="str">
        <f>IF(Data!$Q95="","",YEAR(Data!$Q95))</f>
        <v/>
      </c>
      <c r="P95" s="39" t="str">
        <f>IF(Data!$Q95="","",MONTH(Data!$Q95))</f>
        <v/>
      </c>
      <c r="Q95" s="64"/>
      <c r="R95" s="39" t="s">
        <v>915</v>
      </c>
      <c r="S95" s="637"/>
      <c r="T95" s="39"/>
      <c r="U95" s="39" t="s">
        <v>385</v>
      </c>
      <c r="V95" s="780"/>
      <c r="W95" s="64"/>
      <c r="X95" s="39" t="str">
        <f t="shared" si="8"/>
        <v>S05</v>
      </c>
      <c r="Y95" s="39">
        <f>IF(Data!$AC95="","",YEAR(Data!$AC95))</f>
        <v>2022</v>
      </c>
      <c r="Z95" s="39">
        <f>IF(Data!$AC95="","",MONTH(Data!$AC95))</f>
        <v>1</v>
      </c>
      <c r="AA95" s="64"/>
      <c r="AB95" s="39">
        <v>5195</v>
      </c>
      <c r="AC95" s="64">
        <v>44592</v>
      </c>
      <c r="AD95" s="637">
        <v>412.5</v>
      </c>
      <c r="AE95" s="64" t="s">
        <v>385</v>
      </c>
      <c r="AF95" s="784"/>
      <c r="AH95" s="780"/>
      <c r="AI95" s="801">
        <v>1</v>
      </c>
      <c r="AJ95" s="801" t="s">
        <v>916</v>
      </c>
      <c r="AK95" s="780"/>
      <c r="AL95" s="39"/>
      <c r="AM95" s="780"/>
      <c r="AN95" s="793"/>
      <c r="AO95" s="780"/>
      <c r="AP95" s="801"/>
      <c r="AQ95" s="780"/>
      <c r="AR95" s="802"/>
      <c r="AS95" s="780"/>
      <c r="AT95" s="803"/>
      <c r="AU95" s="803"/>
      <c r="AV95" s="804" t="str">
        <f t="shared" si="13"/>
        <v/>
      </c>
      <c r="AW95" s="847" t="str">
        <f>IFERROR(IF(tbl_DCFC[[#This Row],[F Montant HT]]="","",tbl_DCFC[[#This Row],[Marge]]/tbl_DCFC[[#This Row],[F Montant HT]]),"")</f>
        <v/>
      </c>
    </row>
    <row r="96" spans="1:49" s="437" customFormat="1" ht="15" customHeight="1" x14ac:dyDescent="0.3">
      <c r="A96" s="799">
        <v>44609</v>
      </c>
      <c r="B96" s="780" t="str">
        <f>IFERROR(INDEX(Tabelle2[BU],MATCH(tbl_DCFC[[#This Row],[Categorie]],CAT,0)),"")</f>
        <v>SER</v>
      </c>
      <c r="C96" s="806" t="str">
        <f t="shared" si="11"/>
        <v>S07</v>
      </c>
      <c r="D96" s="799">
        <v>44609</v>
      </c>
      <c r="E96" s="793">
        <v>4734</v>
      </c>
      <c r="F96" s="793" t="s">
        <v>380</v>
      </c>
      <c r="G96" s="793" t="s">
        <v>383</v>
      </c>
      <c r="H96" s="793"/>
      <c r="I96" s="821">
        <v>5939</v>
      </c>
      <c r="J96" s="793" t="s">
        <v>259</v>
      </c>
      <c r="K96" s="793" t="s">
        <v>574</v>
      </c>
      <c r="L96" s="855" t="s">
        <v>5</v>
      </c>
      <c r="M96" s="780"/>
      <c r="N96" s="437" t="str">
        <f t="shared" si="12"/>
        <v>S07</v>
      </c>
      <c r="O96" s="39">
        <f>IF(Data!$Q96="","",YEAR(Data!$Q96))</f>
        <v>2022</v>
      </c>
      <c r="P96" s="39">
        <f>IF(Data!$Q96="","",MONTH(Data!$Q96))</f>
        <v>2</v>
      </c>
      <c r="Q96" s="64">
        <v>44610</v>
      </c>
      <c r="R96" s="39" t="s">
        <v>922</v>
      </c>
      <c r="S96" s="637">
        <v>5939</v>
      </c>
      <c r="T96" s="39"/>
      <c r="U96" s="39"/>
      <c r="V96" s="780"/>
      <c r="W96" s="64"/>
      <c r="X96" s="39" t="str">
        <f t="shared" si="8"/>
        <v/>
      </c>
      <c r="Y96" s="39" t="str">
        <f>IF(Data!$AC96="","",YEAR(Data!$AC96))</f>
        <v/>
      </c>
      <c r="Z96" s="39" t="str">
        <f>IF(Data!$AC96="","",MONTH(Data!$AC96))</f>
        <v/>
      </c>
      <c r="AA96" s="64"/>
      <c r="AB96" s="39"/>
      <c r="AC96" s="64"/>
      <c r="AD96" s="637"/>
      <c r="AE96" s="64">
        <v>44706</v>
      </c>
      <c r="AF96" s="784"/>
      <c r="AH96" s="780"/>
      <c r="AI96" s="801">
        <v>3</v>
      </c>
      <c r="AJ96" s="801" t="s">
        <v>990</v>
      </c>
      <c r="AK96" s="780"/>
      <c r="AL96" s="39"/>
      <c r="AM96" s="780"/>
      <c r="AN96" s="793"/>
      <c r="AO96" s="780"/>
      <c r="AP96" s="801" t="s">
        <v>917</v>
      </c>
      <c r="AQ96" s="780"/>
      <c r="AR96" s="802"/>
      <c r="AS96" s="780"/>
      <c r="AT96" s="803">
        <v>1110</v>
      </c>
      <c r="AU96" s="803">
        <v>510</v>
      </c>
      <c r="AV96" s="804">
        <f t="shared" si="13"/>
        <v>4319</v>
      </c>
      <c r="AW96" s="847" t="str">
        <f>IFERROR(IF(tbl_DCFC[[#This Row],[F Montant HT]]="","",tbl_DCFC[[#This Row],[Marge]]/tbl_DCFC[[#This Row],[F Montant HT]]),"")</f>
        <v/>
      </c>
    </row>
    <row r="97" spans="1:49" s="437" customFormat="1" ht="15" customHeight="1" x14ac:dyDescent="0.3">
      <c r="A97" s="782"/>
      <c r="B97" s="780" t="str">
        <f>IFERROR(INDEX(Tabelle2[BU],MATCH(tbl_DCFC[[#This Row],[Categorie]],CAT,0)),"")</f>
        <v>TOO</v>
      </c>
      <c r="C97" s="865" t="str">
        <f t="shared" si="11"/>
        <v/>
      </c>
      <c r="D97" s="782"/>
      <c r="E97" s="781">
        <v>4673</v>
      </c>
      <c r="F97" s="781" t="s">
        <v>380</v>
      </c>
      <c r="G97" s="781" t="s">
        <v>114</v>
      </c>
      <c r="H97" s="781"/>
      <c r="I97" s="783">
        <v>9590</v>
      </c>
      <c r="J97" s="781" t="s">
        <v>260</v>
      </c>
      <c r="K97" s="781" t="s">
        <v>579</v>
      </c>
      <c r="L97" s="792" t="s">
        <v>5</v>
      </c>
      <c r="M97" s="780"/>
      <c r="N97" s="437" t="str">
        <f t="shared" si="12"/>
        <v>S08</v>
      </c>
      <c r="O97" s="39">
        <f>IF(Data!$Q97="","",YEAR(Data!$Q97))</f>
        <v>2022</v>
      </c>
      <c r="P97" s="39">
        <f>IF(Data!$Q97="","",MONTH(Data!$Q97))</f>
        <v>2</v>
      </c>
      <c r="Q97" s="64">
        <v>44614</v>
      </c>
      <c r="R97" s="864" t="s">
        <v>919</v>
      </c>
      <c r="S97" s="637">
        <v>9590</v>
      </c>
      <c r="T97" s="39"/>
      <c r="U97" s="39" t="s">
        <v>385</v>
      </c>
      <c r="V97" s="780"/>
      <c r="W97" s="64"/>
      <c r="X97" s="39" t="str">
        <f t="shared" si="8"/>
        <v/>
      </c>
      <c r="Y97" s="39" t="str">
        <f>IF(Data!$AC97="","",YEAR(Data!$AC97))</f>
        <v/>
      </c>
      <c r="Z97" s="39" t="str">
        <f>IF(Data!$AC97="","",MONTH(Data!$AC97))</f>
        <v/>
      </c>
      <c r="AA97" s="64"/>
      <c r="AB97" s="39"/>
      <c r="AC97" s="64"/>
      <c r="AD97" s="637"/>
      <c r="AE97" s="64">
        <v>44685</v>
      </c>
      <c r="AF97" s="784"/>
      <c r="AH97" s="780"/>
      <c r="AI97" s="801">
        <v>1</v>
      </c>
      <c r="AJ97" s="801" t="s">
        <v>920</v>
      </c>
      <c r="AK97" s="780"/>
      <c r="AL97" s="39"/>
      <c r="AM97" s="780"/>
      <c r="AN97" s="793"/>
      <c r="AO97" s="780"/>
      <c r="AP97" s="801" t="s">
        <v>712</v>
      </c>
      <c r="AQ97" s="780"/>
      <c r="AR97" s="802"/>
      <c r="AS97" s="780"/>
      <c r="AT97" s="803"/>
      <c r="AU97" s="803"/>
      <c r="AV97" s="804" t="str">
        <f t="shared" si="13"/>
        <v/>
      </c>
      <c r="AW97" s="847" t="str">
        <f>IFERROR(IF(tbl_DCFC[[#This Row],[F Montant HT]]="","",tbl_DCFC[[#This Row],[Marge]]/tbl_DCFC[[#This Row],[F Montant HT]]),"")</f>
        <v/>
      </c>
    </row>
    <row r="98" spans="1:49" s="437" customFormat="1" ht="15" customHeight="1" x14ac:dyDescent="0.3">
      <c r="A98" s="799">
        <v>44616</v>
      </c>
      <c r="B98" s="780" t="str">
        <f>IFERROR(INDEX(Tabelle2[BU],MATCH(tbl_DCFC[[#This Row],[Categorie]],CAT,0)),"")</f>
        <v>SER</v>
      </c>
      <c r="C98" s="806" t="str">
        <f t="shared" si="11"/>
        <v>S08</v>
      </c>
      <c r="D98" s="799">
        <v>44616</v>
      </c>
      <c r="E98" s="793">
        <v>4738</v>
      </c>
      <c r="F98" s="793" t="s">
        <v>380</v>
      </c>
      <c r="G98" s="793" t="s">
        <v>925</v>
      </c>
      <c r="H98" s="793"/>
      <c r="I98" s="821">
        <v>1915</v>
      </c>
      <c r="J98" s="793" t="s">
        <v>260</v>
      </c>
      <c r="K98" s="793" t="s">
        <v>574</v>
      </c>
      <c r="L98" s="855" t="s">
        <v>5</v>
      </c>
      <c r="M98" s="780"/>
      <c r="N98" s="437" t="str">
        <f t="shared" si="12"/>
        <v/>
      </c>
      <c r="O98" s="39" t="str">
        <f>IF(Data!$Q98="","",YEAR(Data!$Q98))</f>
        <v/>
      </c>
      <c r="P98" s="39" t="str">
        <f>IF(Data!$Q98="","",MONTH(Data!$Q98))</f>
        <v/>
      </c>
      <c r="Q98" s="64"/>
      <c r="R98" s="39" t="s">
        <v>937</v>
      </c>
      <c r="S98" s="637">
        <v>1915</v>
      </c>
      <c r="T98" s="39"/>
      <c r="U98" s="39"/>
      <c r="V98" s="780"/>
      <c r="W98" s="64">
        <v>44620</v>
      </c>
      <c r="X98" s="39" t="str">
        <f t="shared" si="8"/>
        <v/>
      </c>
      <c r="Y98" s="39" t="str">
        <f>IF(Data!$AC98="","",YEAR(Data!$AC98))</f>
        <v/>
      </c>
      <c r="Z98" s="39" t="str">
        <f>IF(Data!$AC98="","",MONTH(Data!$AC98))</f>
        <v/>
      </c>
      <c r="AA98" s="64"/>
      <c r="AB98" s="39"/>
      <c r="AC98" s="64"/>
      <c r="AD98" s="637"/>
      <c r="AE98" s="64">
        <v>44673</v>
      </c>
      <c r="AF98" s="784"/>
      <c r="AH98" s="780"/>
      <c r="AI98" s="801">
        <v>1</v>
      </c>
      <c r="AJ98" s="801" t="s">
        <v>989</v>
      </c>
      <c r="AK98" s="780"/>
      <c r="AL98" s="39"/>
      <c r="AM98" s="780"/>
      <c r="AN98" s="793"/>
      <c r="AO98" s="780"/>
      <c r="AP98" s="801" t="s">
        <v>926</v>
      </c>
      <c r="AQ98" s="780"/>
      <c r="AR98" s="802"/>
      <c r="AS98" s="780"/>
      <c r="AT98" s="803"/>
      <c r="AU98" s="803"/>
      <c r="AV98" s="804" t="str">
        <f t="shared" si="13"/>
        <v/>
      </c>
      <c r="AW98" s="847" t="str">
        <f>IFERROR(IF(tbl_DCFC[[#This Row],[F Montant HT]]="","",tbl_DCFC[[#This Row],[Marge]]/tbl_DCFC[[#This Row],[F Montant HT]]),"")</f>
        <v/>
      </c>
    </row>
    <row r="99" spans="1:49" s="437" customFormat="1" ht="15" customHeight="1" x14ac:dyDescent="0.3">
      <c r="A99" s="799">
        <v>44620</v>
      </c>
      <c r="B99" s="780" t="str">
        <f>IFERROR(INDEX(Tabelle2[BU],MATCH(tbl_DCFC[[#This Row],[Categorie]],CAT,0)),"")</f>
        <v>SER</v>
      </c>
      <c r="C99" s="806" t="str">
        <f t="shared" si="11"/>
        <v>S09</v>
      </c>
      <c r="D99" s="799">
        <v>44620</v>
      </c>
      <c r="E99" s="793">
        <v>4739</v>
      </c>
      <c r="F99" s="793" t="s">
        <v>380</v>
      </c>
      <c r="G99" s="793" t="s">
        <v>930</v>
      </c>
      <c r="H99" s="793"/>
      <c r="I99" s="821">
        <v>5885</v>
      </c>
      <c r="J99" s="793" t="s">
        <v>259</v>
      </c>
      <c r="K99" s="793" t="s">
        <v>574</v>
      </c>
      <c r="L99" s="855" t="s">
        <v>6</v>
      </c>
      <c r="M99" s="780"/>
      <c r="N99" s="437" t="str">
        <f t="shared" si="12"/>
        <v/>
      </c>
      <c r="O99" s="39" t="str">
        <f>IF(Data!$Q99="","",YEAR(Data!$Q99))</f>
        <v/>
      </c>
      <c r="P99" s="39" t="str">
        <f>IF(Data!$Q99="","",MONTH(Data!$Q99))</f>
        <v/>
      </c>
      <c r="Q99" s="64"/>
      <c r="R99" s="39"/>
      <c r="S99" s="637"/>
      <c r="T99" s="39"/>
      <c r="U99" s="39"/>
      <c r="V99" s="780"/>
      <c r="W99" s="64"/>
      <c r="X99" s="39" t="str">
        <f t="shared" si="8"/>
        <v/>
      </c>
      <c r="Y99" s="39" t="str">
        <f>IF(Data!$AC99="","",YEAR(Data!$AC99))</f>
        <v/>
      </c>
      <c r="Z99" s="39" t="str">
        <f>IF(Data!$AC99="","",MONTH(Data!$AC99))</f>
        <v/>
      </c>
      <c r="AA99" s="64"/>
      <c r="AB99" s="39"/>
      <c r="AC99" s="64"/>
      <c r="AD99" s="637"/>
      <c r="AE99" s="64"/>
      <c r="AF99" s="784"/>
      <c r="AH99" s="780"/>
      <c r="AI99" s="801">
        <v>1</v>
      </c>
      <c r="AJ99" s="801" t="s">
        <v>931</v>
      </c>
      <c r="AK99" s="780"/>
      <c r="AL99" s="39" t="s">
        <v>976</v>
      </c>
      <c r="AM99" s="780"/>
      <c r="AN99" s="793"/>
      <c r="AO99" s="780"/>
      <c r="AP99" s="801" t="s">
        <v>934</v>
      </c>
      <c r="AQ99" s="780"/>
      <c r="AR99" s="802"/>
      <c r="AS99" s="780"/>
      <c r="AT99" s="803"/>
      <c r="AU99" s="803"/>
      <c r="AV99" s="804" t="str">
        <f t="shared" si="13"/>
        <v/>
      </c>
      <c r="AW99" s="847" t="str">
        <f>IFERROR(IF(tbl_DCFC[[#This Row],[F Montant HT]]="","",tbl_DCFC[[#This Row],[Marge]]/tbl_DCFC[[#This Row],[F Montant HT]]),"")</f>
        <v/>
      </c>
    </row>
    <row r="100" spans="1:49" s="437" customFormat="1" ht="15" customHeight="1" x14ac:dyDescent="0.3">
      <c r="A100" s="799">
        <v>44620</v>
      </c>
      <c r="B100" s="780" t="str">
        <f>IFERROR(INDEX(Tabelle2[BU],MATCH(tbl_DCFC[[#This Row],[Categorie]],CAT,0)),"")</f>
        <v>SER</v>
      </c>
      <c r="C100" s="806" t="str">
        <f t="shared" si="11"/>
        <v>S09</v>
      </c>
      <c r="D100" s="799">
        <v>44620</v>
      </c>
      <c r="E100" s="793">
        <v>4740</v>
      </c>
      <c r="F100" s="793" t="s">
        <v>380</v>
      </c>
      <c r="G100" s="793" t="s">
        <v>930</v>
      </c>
      <c r="H100" s="793"/>
      <c r="I100" s="821">
        <v>4476</v>
      </c>
      <c r="J100" s="793" t="s">
        <v>259</v>
      </c>
      <c r="K100" s="793" t="s">
        <v>574</v>
      </c>
      <c r="L100" s="855" t="s">
        <v>6</v>
      </c>
      <c r="M100" s="780"/>
      <c r="N100" s="437" t="str">
        <f t="shared" si="12"/>
        <v/>
      </c>
      <c r="O100" s="39" t="str">
        <f>IF(Data!$Q100="","",YEAR(Data!$Q100))</f>
        <v/>
      </c>
      <c r="P100" s="39" t="str">
        <f>IF(Data!$Q100="","",MONTH(Data!$Q100))</f>
        <v/>
      </c>
      <c r="Q100" s="64"/>
      <c r="R100" s="39"/>
      <c r="S100" s="637"/>
      <c r="T100" s="39"/>
      <c r="U100" s="39"/>
      <c r="V100" s="780"/>
      <c r="W100" s="64"/>
      <c r="X100" s="39" t="str">
        <f t="shared" si="8"/>
        <v/>
      </c>
      <c r="Y100" s="39" t="str">
        <f>IF(Data!$AC100="","",YEAR(Data!$AC100))</f>
        <v/>
      </c>
      <c r="Z100" s="39" t="str">
        <f>IF(Data!$AC100="","",MONTH(Data!$AC100))</f>
        <v/>
      </c>
      <c r="AA100" s="64"/>
      <c r="AB100" s="39"/>
      <c r="AC100" s="64"/>
      <c r="AD100" s="637"/>
      <c r="AE100" s="64"/>
      <c r="AF100" s="784"/>
      <c r="AH100" s="780"/>
      <c r="AI100" s="801">
        <v>1</v>
      </c>
      <c r="AJ100" s="801" t="s">
        <v>932</v>
      </c>
      <c r="AK100" s="780"/>
      <c r="AL100" s="39"/>
      <c r="AM100" s="780"/>
      <c r="AN100" s="793"/>
      <c r="AO100" s="780"/>
      <c r="AP100" s="801" t="s">
        <v>935</v>
      </c>
      <c r="AQ100" s="780"/>
      <c r="AR100" s="802"/>
      <c r="AS100" s="780"/>
      <c r="AT100" s="803"/>
      <c r="AU100" s="803"/>
      <c r="AV100" s="804" t="str">
        <f t="shared" si="13"/>
        <v/>
      </c>
      <c r="AW100" s="847" t="str">
        <f>IFERROR(IF(tbl_DCFC[[#This Row],[F Montant HT]]="","",tbl_DCFC[[#This Row],[Marge]]/tbl_DCFC[[#This Row],[F Montant HT]]),"")</f>
        <v/>
      </c>
    </row>
    <row r="101" spans="1:49" s="437" customFormat="1" ht="15" customHeight="1" x14ac:dyDescent="0.3">
      <c r="A101" s="799">
        <v>44620</v>
      </c>
      <c r="B101" s="780" t="str">
        <f>IFERROR(INDEX(Tabelle2[BU],MATCH(tbl_DCFC[[#This Row],[Categorie]],CAT,0)),"")</f>
        <v>TOO</v>
      </c>
      <c r="C101" s="806" t="str">
        <f t="shared" si="11"/>
        <v>S09</v>
      </c>
      <c r="D101" s="799">
        <v>44620</v>
      </c>
      <c r="E101" s="793">
        <v>4741</v>
      </c>
      <c r="F101" s="793" t="s">
        <v>380</v>
      </c>
      <c r="G101" s="793" t="s">
        <v>114</v>
      </c>
      <c r="H101" s="793"/>
      <c r="I101" s="821">
        <v>186</v>
      </c>
      <c r="J101" s="793" t="s">
        <v>260</v>
      </c>
      <c r="K101" s="793" t="s">
        <v>750</v>
      </c>
      <c r="L101" s="855" t="s">
        <v>5</v>
      </c>
      <c r="M101" s="780"/>
      <c r="N101" s="437" t="str">
        <f t="shared" si="12"/>
        <v>S13</v>
      </c>
      <c r="O101" s="39">
        <f>IF(Data!$Q101="","",YEAR(Data!$Q101))</f>
        <v>2022</v>
      </c>
      <c r="P101" s="39">
        <f>IF(Data!$Q101="","",MONTH(Data!$Q101))</f>
        <v>3</v>
      </c>
      <c r="Q101" s="64">
        <v>44648</v>
      </c>
      <c r="R101" s="39" t="s">
        <v>1007</v>
      </c>
      <c r="S101" s="637">
        <v>186</v>
      </c>
      <c r="T101" s="39"/>
      <c r="U101" s="39"/>
      <c r="V101" s="780"/>
      <c r="W101" s="64"/>
      <c r="X101" s="39" t="str">
        <f t="shared" si="8"/>
        <v>S14</v>
      </c>
      <c r="Y101" s="39">
        <f>IF(Data!$AC101="","",YEAR(Data!$AC101))</f>
        <v>2022</v>
      </c>
      <c r="Z101" s="39">
        <f>IF(Data!$AC101="","",MONTH(Data!$AC101))</f>
        <v>4</v>
      </c>
      <c r="AA101" s="64">
        <v>44657</v>
      </c>
      <c r="AB101" s="39">
        <v>5231</v>
      </c>
      <c r="AC101" s="64">
        <v>44659</v>
      </c>
      <c r="AD101" s="637">
        <v>186</v>
      </c>
      <c r="AE101" s="64">
        <v>44666</v>
      </c>
      <c r="AF101" s="784"/>
      <c r="AH101" s="780"/>
      <c r="AI101" s="801">
        <v>3</v>
      </c>
      <c r="AJ101" s="801" t="s">
        <v>933</v>
      </c>
      <c r="AK101" s="780"/>
      <c r="AL101" s="39" t="s">
        <v>963</v>
      </c>
      <c r="AM101" s="780"/>
      <c r="AN101" s="793"/>
      <c r="AO101" s="780"/>
      <c r="AP101" s="801" t="s">
        <v>936</v>
      </c>
      <c r="AQ101" s="780"/>
      <c r="AR101" s="802"/>
      <c r="AS101" s="780"/>
      <c r="AT101" s="803">
        <v>43</v>
      </c>
      <c r="AU101" s="803"/>
      <c r="AV101" s="804"/>
      <c r="AW101" s="847">
        <f>IFERROR(IF(tbl_DCFC[[#This Row],[F Montant HT]]="","",tbl_DCFC[[#This Row],[Marge]]/tbl_DCFC[[#This Row],[F Montant HT]]),"")</f>
        <v>0</v>
      </c>
    </row>
    <row r="102" spans="1:49" s="437" customFormat="1" ht="15" customHeight="1" x14ac:dyDescent="0.3">
      <c r="A102" s="799">
        <v>44620</v>
      </c>
      <c r="B102" s="780" t="str">
        <f>IFERROR(INDEX(Tabelle2[BU],MATCH(tbl_DCFC[[#This Row],[Categorie]],CAT,0)),"")</f>
        <v>SER</v>
      </c>
      <c r="C102" s="806" t="str">
        <f t="shared" si="11"/>
        <v>S09</v>
      </c>
      <c r="D102" s="799">
        <v>44620</v>
      </c>
      <c r="E102" s="793">
        <v>4742</v>
      </c>
      <c r="F102" s="793" t="s">
        <v>380</v>
      </c>
      <c r="G102" s="793" t="s">
        <v>930</v>
      </c>
      <c r="H102" s="793"/>
      <c r="I102" s="821">
        <v>660</v>
      </c>
      <c r="J102" s="793" t="s">
        <v>259</v>
      </c>
      <c r="K102" s="793" t="s">
        <v>574</v>
      </c>
      <c r="L102" s="855" t="s">
        <v>5</v>
      </c>
      <c r="M102" s="780"/>
      <c r="N102" s="437" t="str">
        <f t="shared" si="12"/>
        <v>S09</v>
      </c>
      <c r="O102" s="39">
        <f>IF(Data!$Q102="","",YEAR(Data!$Q102))</f>
        <v>2022</v>
      </c>
      <c r="P102" s="39">
        <f>IF(Data!$Q102="","",MONTH(Data!$Q102))</f>
        <v>3</v>
      </c>
      <c r="Q102" s="64">
        <v>44621</v>
      </c>
      <c r="R102" s="39" t="s">
        <v>945</v>
      </c>
      <c r="S102" s="637">
        <v>660</v>
      </c>
      <c r="T102" s="39"/>
      <c r="U102" s="39" t="s">
        <v>385</v>
      </c>
      <c r="V102" s="780"/>
      <c r="W102" s="64"/>
      <c r="X102" s="39" t="str">
        <f t="shared" si="8"/>
        <v/>
      </c>
      <c r="Y102" s="39" t="str">
        <f>IF(Data!$AC102="","",YEAR(Data!$AC102))</f>
        <v/>
      </c>
      <c r="Z102" s="39" t="str">
        <f>IF(Data!$AC102="","",MONTH(Data!$AC102))</f>
        <v/>
      </c>
      <c r="AA102" s="64"/>
      <c r="AB102" s="39"/>
      <c r="AC102" s="64"/>
      <c r="AD102" s="637"/>
      <c r="AE102" s="64">
        <v>44739</v>
      </c>
      <c r="AF102" s="784"/>
      <c r="AH102" s="780"/>
      <c r="AI102" s="801">
        <v>1</v>
      </c>
      <c r="AJ102" s="801" t="s">
        <v>938</v>
      </c>
      <c r="AK102" s="780"/>
      <c r="AL102" s="39"/>
      <c r="AM102" s="780"/>
      <c r="AN102" s="793"/>
      <c r="AO102" s="780"/>
      <c r="AP102" s="801" t="s">
        <v>939</v>
      </c>
      <c r="AQ102" s="780"/>
      <c r="AR102" s="802"/>
      <c r="AS102" s="780"/>
      <c r="AT102" s="803"/>
      <c r="AU102" s="803"/>
      <c r="AV102" s="804"/>
      <c r="AW102" s="847" t="str">
        <f>IFERROR(IF(tbl_DCFC[[#This Row],[F Montant HT]]="","",tbl_DCFC[[#This Row],[Marge]]/tbl_DCFC[[#This Row],[F Montant HT]]),"")</f>
        <v/>
      </c>
    </row>
    <row r="103" spans="1:49" s="437" customFormat="1" ht="15" customHeight="1" x14ac:dyDescent="0.3">
      <c r="A103" s="799">
        <v>44621</v>
      </c>
      <c r="B103" s="780" t="str">
        <f>IFERROR(INDEX(Tabelle2[BU],MATCH(tbl_DCFC[[#This Row],[Categorie]],CAT,0)),"")</f>
        <v>SER</v>
      </c>
      <c r="C103" s="806" t="str">
        <f t="shared" si="11"/>
        <v>S09</v>
      </c>
      <c r="D103" s="799">
        <v>44621</v>
      </c>
      <c r="E103" s="793">
        <v>4743</v>
      </c>
      <c r="F103" s="793" t="s">
        <v>380</v>
      </c>
      <c r="G103" s="793" t="s">
        <v>397</v>
      </c>
      <c r="H103" s="793"/>
      <c r="I103" s="821">
        <v>660</v>
      </c>
      <c r="J103" s="793" t="s">
        <v>259</v>
      </c>
      <c r="K103" s="793" t="s">
        <v>574</v>
      </c>
      <c r="L103" s="855" t="s">
        <v>5</v>
      </c>
      <c r="M103" s="780"/>
      <c r="N103" s="437" t="str">
        <f t="shared" si="12"/>
        <v>S09</v>
      </c>
      <c r="O103" s="39">
        <f>IF(Data!$Q103="","",YEAR(Data!$Q103))</f>
        <v>2022</v>
      </c>
      <c r="P103" s="39">
        <f>IF(Data!$Q103="","",MONTH(Data!$Q103))</f>
        <v>3</v>
      </c>
      <c r="Q103" s="64">
        <v>44621</v>
      </c>
      <c r="R103" s="39" t="s">
        <v>941</v>
      </c>
      <c r="S103" s="637">
        <v>660</v>
      </c>
      <c r="T103" s="39"/>
      <c r="U103" s="39"/>
      <c r="V103" s="780"/>
      <c r="W103" s="64"/>
      <c r="X103" s="39" t="str">
        <f t="shared" si="8"/>
        <v>S11</v>
      </c>
      <c r="Y103" s="39">
        <f>IF(Data!$AC103="","",YEAR(Data!$AC103))</f>
        <v>2022</v>
      </c>
      <c r="Z103" s="39">
        <f>IF(Data!$AC103="","",MONTH(Data!$AC103))</f>
        <v>3</v>
      </c>
      <c r="AA103" s="64">
        <v>44636</v>
      </c>
      <c r="AB103" s="39">
        <v>5215</v>
      </c>
      <c r="AC103" s="64">
        <v>44638</v>
      </c>
      <c r="AD103" s="637">
        <v>660</v>
      </c>
      <c r="AE103" s="64">
        <v>44652</v>
      </c>
      <c r="AF103" s="784"/>
      <c r="AH103" s="780"/>
      <c r="AI103" s="801">
        <v>1</v>
      </c>
      <c r="AJ103" s="801" t="s">
        <v>988</v>
      </c>
      <c r="AK103" s="780"/>
      <c r="AL103" s="39"/>
      <c r="AM103" s="780"/>
      <c r="AN103" s="793"/>
      <c r="AO103" s="780"/>
      <c r="AP103" s="801" t="s">
        <v>942</v>
      </c>
      <c r="AQ103" s="780"/>
      <c r="AR103" s="802"/>
      <c r="AS103" s="780"/>
      <c r="AT103" s="803">
        <v>45.15</v>
      </c>
      <c r="AU103" s="803"/>
      <c r="AV103" s="804"/>
      <c r="AW103" s="847">
        <f>IFERROR(IF(tbl_DCFC[[#This Row],[F Montant HT]]="","",tbl_DCFC[[#This Row],[Marge]]/tbl_DCFC[[#This Row],[F Montant HT]]),"")</f>
        <v>0</v>
      </c>
    </row>
    <row r="104" spans="1:49" s="437" customFormat="1" ht="15" customHeight="1" x14ac:dyDescent="0.3">
      <c r="A104" s="799">
        <v>44579</v>
      </c>
      <c r="B104" s="780" t="str">
        <f>IFERROR(INDEX(Tabelle2[BU],MATCH(tbl_DCFC[[#This Row],[Categorie]],CAT,0)),"")</f>
        <v>SER</v>
      </c>
      <c r="C104" s="806" t="str">
        <f t="shared" si="11"/>
        <v>S03</v>
      </c>
      <c r="D104" s="799">
        <v>44579</v>
      </c>
      <c r="E104" s="793">
        <v>4709</v>
      </c>
      <c r="F104" s="793" t="s">
        <v>380</v>
      </c>
      <c r="G104" s="793" t="s">
        <v>114</v>
      </c>
      <c r="H104" s="793"/>
      <c r="I104" s="821">
        <v>530</v>
      </c>
      <c r="J104" s="793" t="s">
        <v>260</v>
      </c>
      <c r="K104" s="793" t="s">
        <v>569</v>
      </c>
      <c r="L104" s="855" t="s">
        <v>5</v>
      </c>
      <c r="M104" s="780"/>
      <c r="N104" s="437" t="str">
        <f t="shared" si="12"/>
        <v>S06</v>
      </c>
      <c r="O104" s="39">
        <f>IF(Data!$Q104="","",YEAR(Data!$Q104))</f>
        <v>2022</v>
      </c>
      <c r="P104" s="39">
        <f>IF(Data!$Q104="","",MONTH(Data!$Q104))</f>
        <v>2</v>
      </c>
      <c r="Q104" s="64">
        <v>44601</v>
      </c>
      <c r="R104" s="39" t="s">
        <v>881</v>
      </c>
      <c r="S104" s="637">
        <v>530</v>
      </c>
      <c r="T104" s="39"/>
      <c r="U104" s="39" t="s">
        <v>385</v>
      </c>
      <c r="V104" s="780"/>
      <c r="W104" s="64"/>
      <c r="X104" s="39" t="str">
        <f t="shared" si="8"/>
        <v>S09</v>
      </c>
      <c r="Y104" s="39">
        <f>IF(Data!$AC104="","",YEAR(Data!$AC104))</f>
        <v>2022</v>
      </c>
      <c r="Z104" s="39">
        <f>IF(Data!$AC104="","",MONTH(Data!$AC104))</f>
        <v>3</v>
      </c>
      <c r="AA104" s="64">
        <v>44622</v>
      </c>
      <c r="AB104" s="39">
        <v>5209</v>
      </c>
      <c r="AC104" s="64">
        <v>44622</v>
      </c>
      <c r="AD104" s="637">
        <v>530</v>
      </c>
      <c r="AE104" s="64" t="s">
        <v>385</v>
      </c>
      <c r="AF104" s="784"/>
      <c r="AH104" s="780"/>
      <c r="AI104" s="801">
        <v>1</v>
      </c>
      <c r="AJ104" s="801" t="s">
        <v>723</v>
      </c>
      <c r="AK104" s="780"/>
      <c r="AL104" s="39" t="s">
        <v>956</v>
      </c>
      <c r="AM104" s="780"/>
      <c r="AN104" s="793"/>
      <c r="AO104" s="780"/>
      <c r="AP104" s="801" t="s">
        <v>814</v>
      </c>
      <c r="AQ104" s="780"/>
      <c r="AR104" s="802"/>
      <c r="AS104" s="780"/>
      <c r="AT104" s="803">
        <v>550</v>
      </c>
      <c r="AU104" s="803">
        <v>220</v>
      </c>
      <c r="AV104" s="804">
        <f>IF(AT104="","",S104-AT104-AU104)</f>
        <v>-240</v>
      </c>
      <c r="AW104" s="847">
        <f>IFERROR(IF(tbl_DCFC[[#This Row],[F Montant HT]]="","",tbl_DCFC[[#This Row],[Marge]]/tbl_DCFC[[#This Row],[F Montant HT]]),"")</f>
        <v>-0.45283018867924529</v>
      </c>
    </row>
    <row r="105" spans="1:49" s="437" customFormat="1" ht="15" customHeight="1" x14ac:dyDescent="0.3">
      <c r="A105" s="799">
        <v>44623</v>
      </c>
      <c r="B105" s="780" t="str">
        <f>IFERROR(INDEX(Tabelle2[BU],MATCH(tbl_DCFC[[#This Row],[Categorie]],CAT,0)),"")</f>
        <v>SER</v>
      </c>
      <c r="C105" s="806" t="str">
        <f t="shared" si="11"/>
        <v>S09</v>
      </c>
      <c r="D105" s="799">
        <v>44623</v>
      </c>
      <c r="E105" s="793">
        <v>4747</v>
      </c>
      <c r="F105" s="793" t="s">
        <v>380</v>
      </c>
      <c r="G105" s="793" t="s">
        <v>851</v>
      </c>
      <c r="H105" s="793"/>
      <c r="I105" s="821">
        <v>2365</v>
      </c>
      <c r="J105" s="793" t="s">
        <v>259</v>
      </c>
      <c r="K105" s="793" t="s">
        <v>569</v>
      </c>
      <c r="L105" s="855" t="s">
        <v>6</v>
      </c>
      <c r="M105" s="780"/>
      <c r="N105" s="437" t="str">
        <f t="shared" si="12"/>
        <v/>
      </c>
      <c r="O105" s="39" t="str">
        <f>IF(Data!$Q105="","",YEAR(Data!$Q105))</f>
        <v/>
      </c>
      <c r="P105" s="39" t="str">
        <f>IF(Data!$Q105="","",MONTH(Data!$Q105))</f>
        <v/>
      </c>
      <c r="Q105" s="64"/>
      <c r="R105" s="39"/>
      <c r="S105" s="637"/>
      <c r="T105" s="39"/>
      <c r="U105" s="39" t="s">
        <v>385</v>
      </c>
      <c r="V105" s="780"/>
      <c r="W105" s="64"/>
      <c r="X105" s="39" t="str">
        <f t="shared" si="8"/>
        <v/>
      </c>
      <c r="Y105" s="39" t="str">
        <f>IF(Data!$AC105="","",YEAR(Data!$AC105))</f>
        <v/>
      </c>
      <c r="Z105" s="39" t="str">
        <f>IF(Data!$AC105="","",MONTH(Data!$AC105))</f>
        <v/>
      </c>
      <c r="AA105" s="64"/>
      <c r="AB105" s="39"/>
      <c r="AC105" s="64"/>
      <c r="AD105" s="637"/>
      <c r="AE105" s="64" t="s">
        <v>385</v>
      </c>
      <c r="AF105" s="784"/>
      <c r="AH105" s="780"/>
      <c r="AI105" s="801">
        <v>5</v>
      </c>
      <c r="AJ105" s="801" t="s">
        <v>987</v>
      </c>
      <c r="AK105" s="780"/>
      <c r="AL105" s="39"/>
      <c r="AM105" s="780"/>
      <c r="AN105" s="793"/>
      <c r="AO105" s="780"/>
      <c r="AP105" s="801" t="s">
        <v>944</v>
      </c>
      <c r="AQ105" s="780"/>
      <c r="AR105" s="802"/>
      <c r="AS105" s="780"/>
      <c r="AT105" s="803"/>
      <c r="AU105" s="803"/>
      <c r="AV105" s="804" t="str">
        <f>IF(AT105="","",S105-AT105-AU105)</f>
        <v/>
      </c>
      <c r="AW105" s="847" t="str">
        <f>IFERROR(IF(tbl_DCFC[[#This Row],[F Montant HT]]="","",tbl_DCFC[[#This Row],[Marge]]/tbl_DCFC[[#This Row],[F Montant HT]]),"")</f>
        <v/>
      </c>
    </row>
    <row r="106" spans="1:49" s="437" customFormat="1" ht="15" customHeight="1" x14ac:dyDescent="0.3">
      <c r="A106" s="799">
        <v>44622</v>
      </c>
      <c r="B106" s="780" t="str">
        <f>IFERROR(INDEX(Tabelle2[BU],MATCH(tbl_DCFC[[#This Row],[Categorie]],CAT,0)),"")</f>
        <v>SER</v>
      </c>
      <c r="C106" s="806" t="str">
        <f t="shared" si="11"/>
        <v>S09</v>
      </c>
      <c r="D106" s="799">
        <v>44622</v>
      </c>
      <c r="E106" s="793">
        <v>4744</v>
      </c>
      <c r="F106" s="793" t="s">
        <v>380</v>
      </c>
      <c r="G106" s="793" t="s">
        <v>946</v>
      </c>
      <c r="H106" s="793"/>
      <c r="I106" s="821">
        <v>2230</v>
      </c>
      <c r="J106" s="793" t="s">
        <v>260</v>
      </c>
      <c r="K106" s="793" t="s">
        <v>574</v>
      </c>
      <c r="L106" s="855" t="s">
        <v>5</v>
      </c>
      <c r="M106" s="780"/>
      <c r="N106" s="437" t="str">
        <f t="shared" si="12"/>
        <v>S10</v>
      </c>
      <c r="O106" s="39">
        <f>IF(Data!$Q106="","",YEAR(Data!$Q106))</f>
        <v>2022</v>
      </c>
      <c r="P106" s="39">
        <f>IF(Data!$Q106="","",MONTH(Data!$Q106))</f>
        <v>3</v>
      </c>
      <c r="Q106" s="64">
        <v>44630</v>
      </c>
      <c r="R106" s="39" t="s">
        <v>947</v>
      </c>
      <c r="S106" s="637">
        <v>2230</v>
      </c>
      <c r="T106" s="39"/>
      <c r="U106" s="39"/>
      <c r="V106" s="780"/>
      <c r="W106" s="64"/>
      <c r="X106" s="39" t="str">
        <f t="shared" si="8"/>
        <v>S12</v>
      </c>
      <c r="Y106" s="39">
        <f>IF(Data!$AC106="","",YEAR(Data!$AC106))</f>
        <v>2022</v>
      </c>
      <c r="Z106" s="39">
        <f>IF(Data!$AC106="","",MONTH(Data!$AC106))</f>
        <v>3</v>
      </c>
      <c r="AA106" s="64">
        <v>44644</v>
      </c>
      <c r="AB106" s="39">
        <v>5220</v>
      </c>
      <c r="AC106" s="64">
        <v>44644</v>
      </c>
      <c r="AD106" s="637">
        <v>2230</v>
      </c>
      <c r="AE106" s="64">
        <v>44645</v>
      </c>
      <c r="AF106" s="784"/>
      <c r="AH106" s="780"/>
      <c r="AI106" s="801">
        <v>4</v>
      </c>
      <c r="AJ106" s="801" t="s">
        <v>986</v>
      </c>
      <c r="AK106" s="780"/>
      <c r="AL106" s="39"/>
      <c r="AM106" s="780"/>
      <c r="AN106" s="793"/>
      <c r="AO106" s="780"/>
      <c r="AP106" s="801" t="s">
        <v>948</v>
      </c>
      <c r="AQ106" s="780"/>
      <c r="AR106" s="802"/>
      <c r="AS106" s="780"/>
      <c r="AT106" s="803"/>
      <c r="AU106" s="803"/>
      <c r="AV106" s="804"/>
      <c r="AW106" s="847"/>
    </row>
    <row r="107" spans="1:49" s="437" customFormat="1" ht="15" customHeight="1" x14ac:dyDescent="0.3">
      <c r="A107" s="799">
        <v>44627</v>
      </c>
      <c r="B107" s="780" t="str">
        <f>IFERROR(INDEX(Tabelle2[BU],MATCH(tbl_DCFC[[#This Row],[Categorie]],CAT,0)),"")</f>
        <v>SER</v>
      </c>
      <c r="C107" s="806" t="str">
        <f t="shared" si="11"/>
        <v>S10</v>
      </c>
      <c r="D107" s="799">
        <v>44627</v>
      </c>
      <c r="E107" s="793">
        <v>4749</v>
      </c>
      <c r="F107" s="793" t="s">
        <v>380</v>
      </c>
      <c r="G107" s="793" t="s">
        <v>870</v>
      </c>
      <c r="H107" s="793"/>
      <c r="I107" s="821">
        <v>460</v>
      </c>
      <c r="J107" s="793" t="s">
        <v>260</v>
      </c>
      <c r="K107" s="793" t="s">
        <v>574</v>
      </c>
      <c r="L107" s="855" t="s">
        <v>5</v>
      </c>
      <c r="M107" s="780"/>
      <c r="N107" s="437" t="str">
        <f t="shared" si="12"/>
        <v>S10</v>
      </c>
      <c r="O107" s="39">
        <f>IF(Data!$Q107="","",YEAR(Data!$Q107))</f>
        <v>2022</v>
      </c>
      <c r="P107" s="39">
        <f>IF(Data!$Q107="","",MONTH(Data!$Q107))</f>
        <v>3</v>
      </c>
      <c r="Q107" s="64">
        <v>44627</v>
      </c>
      <c r="R107" s="39" t="s">
        <v>950</v>
      </c>
      <c r="S107" s="637">
        <v>460</v>
      </c>
      <c r="T107" s="39"/>
      <c r="U107" s="39"/>
      <c r="V107" s="780"/>
      <c r="W107" s="64">
        <v>44636</v>
      </c>
      <c r="X107" s="39" t="str">
        <f t="shared" si="8"/>
        <v>S12</v>
      </c>
      <c r="Y107" s="39">
        <f>IF(Data!$AC107="","",YEAR(Data!$AC107))</f>
        <v>2022</v>
      </c>
      <c r="Z107" s="39">
        <f>IF(Data!$AC107="","",MONTH(Data!$AC107))</f>
        <v>3</v>
      </c>
      <c r="AA107" s="64">
        <v>44642</v>
      </c>
      <c r="AB107" s="39">
        <v>5217</v>
      </c>
      <c r="AC107" s="64">
        <v>44642</v>
      </c>
      <c r="AD107" s="637">
        <v>460</v>
      </c>
      <c r="AE107" s="64">
        <v>44645</v>
      </c>
      <c r="AF107" s="784"/>
      <c r="AH107" s="780"/>
      <c r="AI107" s="801">
        <v>1</v>
      </c>
      <c r="AJ107" s="801" t="s">
        <v>985</v>
      </c>
      <c r="AK107" s="780"/>
      <c r="AL107" s="39"/>
      <c r="AM107" s="780"/>
      <c r="AN107" s="793"/>
      <c r="AO107" s="780"/>
      <c r="AP107" s="801" t="s">
        <v>951</v>
      </c>
      <c r="AQ107" s="780"/>
      <c r="AR107" s="802"/>
      <c r="AS107" s="780"/>
      <c r="AT107" s="803"/>
      <c r="AU107" s="803"/>
      <c r="AV107" s="804"/>
      <c r="AW107" s="847"/>
    </row>
    <row r="108" spans="1:49" s="437" customFormat="1" ht="15" customHeight="1" x14ac:dyDescent="0.3">
      <c r="A108" s="799">
        <v>44621</v>
      </c>
      <c r="B108" s="780" t="str">
        <f>IFERROR(INDEX(Tabelle2[BU],MATCH(tbl_DCFC[[#This Row],[Categorie]],CAT,0)),"")</f>
        <v>SER</v>
      </c>
      <c r="C108" s="806" t="str">
        <f t="shared" si="11"/>
        <v>S10</v>
      </c>
      <c r="D108" s="799">
        <v>44628</v>
      </c>
      <c r="E108" s="793">
        <v>4743</v>
      </c>
      <c r="F108" s="793" t="s">
        <v>382</v>
      </c>
      <c r="G108" s="793" t="s">
        <v>397</v>
      </c>
      <c r="H108" s="793"/>
      <c r="I108" s="821">
        <v>597</v>
      </c>
      <c r="J108" s="793" t="s">
        <v>259</v>
      </c>
      <c r="K108" s="793" t="s">
        <v>574</v>
      </c>
      <c r="L108" s="855" t="s">
        <v>5</v>
      </c>
      <c r="M108" s="780"/>
      <c r="N108" s="437" t="str">
        <f t="shared" si="12"/>
        <v>S09</v>
      </c>
      <c r="O108" s="39">
        <f>IF(Data!$Q108="","",YEAR(Data!$Q108))</f>
        <v>2022</v>
      </c>
      <c r="P108" s="39">
        <f>IF(Data!$Q108="","",MONTH(Data!$Q108))</f>
        <v>3</v>
      </c>
      <c r="Q108" s="64">
        <v>44621</v>
      </c>
      <c r="R108" s="39" t="s">
        <v>941</v>
      </c>
      <c r="S108" s="637">
        <v>597</v>
      </c>
      <c r="T108" s="39"/>
      <c r="U108" s="39"/>
      <c r="V108" s="780"/>
      <c r="W108" s="64"/>
      <c r="X108" s="39" t="str">
        <f t="shared" si="8"/>
        <v>S11</v>
      </c>
      <c r="Y108" s="39">
        <f>IF(Data!$AC108="","",YEAR(Data!$AC108))</f>
        <v>2022</v>
      </c>
      <c r="Z108" s="39">
        <f>IF(Data!$AC108="","",MONTH(Data!$AC108))</f>
        <v>3</v>
      </c>
      <c r="AA108" s="64">
        <v>44636</v>
      </c>
      <c r="AB108" s="39">
        <v>5215</v>
      </c>
      <c r="AC108" s="64">
        <v>44638</v>
      </c>
      <c r="AD108" s="637">
        <v>597</v>
      </c>
      <c r="AE108" s="64">
        <v>44652</v>
      </c>
      <c r="AF108" s="784"/>
      <c r="AH108" s="780"/>
      <c r="AI108" s="801">
        <v>1</v>
      </c>
      <c r="AJ108" s="801" t="s">
        <v>962</v>
      </c>
      <c r="AK108" s="780"/>
      <c r="AL108" s="39"/>
      <c r="AM108" s="780"/>
      <c r="AN108" s="793"/>
      <c r="AO108" s="780"/>
      <c r="AP108" s="801" t="s">
        <v>942</v>
      </c>
      <c r="AQ108" s="780"/>
      <c r="AR108" s="802"/>
      <c r="AS108" s="780"/>
      <c r="AT108" s="803">
        <v>40.85</v>
      </c>
      <c r="AU108" s="803"/>
      <c r="AV108" s="804"/>
      <c r="AW108" s="847">
        <f>IFERROR(IF(tbl_DCFC[[#This Row],[F Montant HT]]="","",tbl_DCFC[[#This Row],[Marge]]/tbl_DCFC[[#This Row],[F Montant HT]]),"")</f>
        <v>0</v>
      </c>
    </row>
    <row r="109" spans="1:49" s="437" customFormat="1" ht="15" customHeight="1" x14ac:dyDescent="0.3">
      <c r="A109" s="799">
        <v>44628</v>
      </c>
      <c r="B109" s="780" t="str">
        <f>IFERROR(INDEX(Tabelle2[BU],MATCH(tbl_DCFC[[#This Row],[Categorie]],CAT,0)),"")</f>
        <v>SER</v>
      </c>
      <c r="C109" s="806" t="str">
        <f t="shared" si="11"/>
        <v>S10</v>
      </c>
      <c r="D109" s="799">
        <v>44628</v>
      </c>
      <c r="E109" s="793">
        <v>4750</v>
      </c>
      <c r="F109" s="793" t="s">
        <v>380</v>
      </c>
      <c r="G109" s="793" t="s">
        <v>930</v>
      </c>
      <c r="H109" s="793"/>
      <c r="I109" s="821">
        <v>385</v>
      </c>
      <c r="J109" s="793" t="s">
        <v>259</v>
      </c>
      <c r="K109" s="793" t="s">
        <v>569</v>
      </c>
      <c r="L109" s="855" t="s">
        <v>5</v>
      </c>
      <c r="M109" s="780"/>
      <c r="N109" s="437" t="str">
        <f t="shared" si="12"/>
        <v>S10</v>
      </c>
      <c r="O109" s="39">
        <f>IF(Data!$Q109="","",YEAR(Data!$Q109))</f>
        <v>2022</v>
      </c>
      <c r="P109" s="39">
        <f>IF(Data!$Q109="","",MONTH(Data!$Q109))</f>
        <v>3</v>
      </c>
      <c r="Q109" s="64">
        <v>44628</v>
      </c>
      <c r="R109" s="39" t="s">
        <v>965</v>
      </c>
      <c r="S109" s="637">
        <v>385</v>
      </c>
      <c r="T109" s="39"/>
      <c r="U109" s="39"/>
      <c r="V109" s="780"/>
      <c r="W109" s="64">
        <v>44636</v>
      </c>
      <c r="X109" s="39" t="str">
        <f t="shared" si="8"/>
        <v>S12</v>
      </c>
      <c r="Y109" s="39">
        <f>IF(Data!$AC109="","",YEAR(Data!$AC109))</f>
        <v>2022</v>
      </c>
      <c r="Z109" s="39">
        <f>IF(Data!$AC109="","",MONTH(Data!$AC109))</f>
        <v>3</v>
      </c>
      <c r="AA109" s="64">
        <v>44643</v>
      </c>
      <c r="AB109" s="39">
        <v>5219</v>
      </c>
      <c r="AC109" s="64">
        <v>44643</v>
      </c>
      <c r="AD109" s="637">
        <v>385</v>
      </c>
      <c r="AE109" s="64">
        <v>44645</v>
      </c>
      <c r="AF109" s="784"/>
      <c r="AH109" s="780"/>
      <c r="AI109" s="801">
        <v>1</v>
      </c>
      <c r="AJ109" s="801" t="s">
        <v>984</v>
      </c>
      <c r="AK109" s="780"/>
      <c r="AL109" s="39" t="s">
        <v>967</v>
      </c>
      <c r="AM109" s="780"/>
      <c r="AN109" s="793"/>
      <c r="AO109" s="780"/>
      <c r="AP109" s="801" t="s">
        <v>997</v>
      </c>
      <c r="AQ109" s="780"/>
      <c r="AR109" s="802"/>
      <c r="AS109" s="780"/>
      <c r="AT109" s="803"/>
      <c r="AU109" s="803"/>
      <c r="AV109" s="804"/>
      <c r="AW109" s="847"/>
    </row>
    <row r="110" spans="1:49" s="437" customFormat="1" ht="15" customHeight="1" x14ac:dyDescent="0.3">
      <c r="A110" s="799">
        <v>44628</v>
      </c>
      <c r="B110" s="780" t="str">
        <f>IFERROR(INDEX(Tabelle2[BU],MATCH(tbl_DCFC[[#This Row],[Categorie]],CAT,0)),"")</f>
        <v>SER</v>
      </c>
      <c r="C110" s="806" t="str">
        <f t="shared" si="11"/>
        <v>S10</v>
      </c>
      <c r="D110" s="799">
        <v>44628</v>
      </c>
      <c r="E110" s="793">
        <v>4751</v>
      </c>
      <c r="F110" s="793" t="s">
        <v>380</v>
      </c>
      <c r="G110" s="793" t="s">
        <v>930</v>
      </c>
      <c r="H110" s="793"/>
      <c r="I110" s="821">
        <v>385</v>
      </c>
      <c r="J110" s="793" t="s">
        <v>259</v>
      </c>
      <c r="K110" s="793" t="s">
        <v>569</v>
      </c>
      <c r="L110" s="855" t="s">
        <v>5</v>
      </c>
      <c r="M110" s="780"/>
      <c r="N110" s="437" t="str">
        <f t="shared" si="12"/>
        <v>S10</v>
      </c>
      <c r="O110" s="39">
        <f>IF(Data!$Q110="","",YEAR(Data!$Q110))</f>
        <v>2022</v>
      </c>
      <c r="P110" s="39">
        <f>IF(Data!$Q110="","",MONTH(Data!$Q110))</f>
        <v>3</v>
      </c>
      <c r="Q110" s="64">
        <v>44628</v>
      </c>
      <c r="R110" s="39" t="s">
        <v>966</v>
      </c>
      <c r="S110" s="637">
        <v>385</v>
      </c>
      <c r="T110" s="39"/>
      <c r="U110" s="39"/>
      <c r="V110" s="780"/>
      <c r="W110" s="64">
        <v>44636</v>
      </c>
      <c r="X110" s="39" t="str">
        <f t="shared" si="8"/>
        <v>S12</v>
      </c>
      <c r="Y110" s="39">
        <f>IF(Data!$AC110="","",YEAR(Data!$AC110))</f>
        <v>2022</v>
      </c>
      <c r="Z110" s="39">
        <f>IF(Data!$AC110="","",MONTH(Data!$AC110))</f>
        <v>3</v>
      </c>
      <c r="AA110" s="64">
        <v>44643</v>
      </c>
      <c r="AB110" s="39">
        <v>5218</v>
      </c>
      <c r="AC110" s="64">
        <v>44643</v>
      </c>
      <c r="AD110" s="637">
        <v>385</v>
      </c>
      <c r="AE110" s="64">
        <v>44645</v>
      </c>
      <c r="AF110" s="784"/>
      <c r="AH110" s="780"/>
      <c r="AI110" s="801">
        <v>1</v>
      </c>
      <c r="AJ110" s="801" t="s">
        <v>984</v>
      </c>
      <c r="AK110" s="780"/>
      <c r="AL110" s="39" t="s">
        <v>967</v>
      </c>
      <c r="AM110" s="780"/>
      <c r="AN110" s="793"/>
      <c r="AO110" s="780"/>
      <c r="AP110" s="801" t="s">
        <v>996</v>
      </c>
      <c r="AQ110" s="780"/>
      <c r="AR110" s="802"/>
      <c r="AS110" s="780"/>
      <c r="AT110" s="803"/>
      <c r="AU110" s="803"/>
      <c r="AV110" s="804"/>
      <c r="AW110" s="847"/>
    </row>
    <row r="111" spans="1:49" s="437" customFormat="1" ht="15" customHeight="1" x14ac:dyDescent="0.3">
      <c r="A111" s="799">
        <v>44628</v>
      </c>
      <c r="B111" s="780" t="str">
        <f>IFERROR(INDEX(Tabelle2[BU],MATCH(tbl_DCFC[[#This Row],[Categorie]],CAT,0)),"")</f>
        <v>SER</v>
      </c>
      <c r="C111" s="806" t="str">
        <f t="shared" si="11"/>
        <v>S10</v>
      </c>
      <c r="D111" s="799">
        <v>44628</v>
      </c>
      <c r="E111" s="793">
        <v>4752</v>
      </c>
      <c r="F111" s="793" t="s">
        <v>380</v>
      </c>
      <c r="G111" s="793" t="s">
        <v>114</v>
      </c>
      <c r="H111" s="793"/>
      <c r="I111" s="821">
        <v>3180</v>
      </c>
      <c r="J111" s="793" t="s">
        <v>260</v>
      </c>
      <c r="K111" s="793" t="s">
        <v>569</v>
      </c>
      <c r="L111" s="855" t="s">
        <v>5</v>
      </c>
      <c r="M111" s="780"/>
      <c r="N111" s="437" t="str">
        <f t="shared" si="12"/>
        <v>S12</v>
      </c>
      <c r="O111" s="39">
        <f>IF(Data!$Q111="","",YEAR(Data!$Q111))</f>
        <v>2022</v>
      </c>
      <c r="P111" s="39">
        <f>IF(Data!$Q111="","",MONTH(Data!$Q111))</f>
        <v>3</v>
      </c>
      <c r="Q111" s="64">
        <v>44644</v>
      </c>
      <c r="R111" s="39" t="s">
        <v>1002</v>
      </c>
      <c r="S111" s="637">
        <v>3180</v>
      </c>
      <c r="T111" s="39"/>
      <c r="U111" s="39"/>
      <c r="V111" s="780"/>
      <c r="W111" s="64">
        <v>44644</v>
      </c>
      <c r="X111" s="39" t="str">
        <f t="shared" si="8"/>
        <v/>
      </c>
      <c r="Y111" s="39" t="str">
        <f>IF(Data!$AC111="","",YEAR(Data!$AC111))</f>
        <v/>
      </c>
      <c r="Z111" s="39" t="str">
        <f>IF(Data!$AC111="","",MONTH(Data!$AC111))</f>
        <v/>
      </c>
      <c r="AA111" s="64"/>
      <c r="AB111" s="39"/>
      <c r="AC111" s="64"/>
      <c r="AD111" s="637"/>
      <c r="AE111" s="64"/>
      <c r="AF111" s="784"/>
      <c r="AH111" s="780"/>
      <c r="AI111" s="801">
        <v>6</v>
      </c>
      <c r="AJ111" s="801" t="s">
        <v>723</v>
      </c>
      <c r="AK111" s="780"/>
      <c r="AL111" s="39" t="s">
        <v>964</v>
      </c>
      <c r="AM111" s="780"/>
      <c r="AN111" s="793"/>
      <c r="AO111" s="780"/>
      <c r="AP111" s="801" t="s">
        <v>998</v>
      </c>
      <c r="AQ111" s="780"/>
      <c r="AR111" s="802"/>
      <c r="AS111" s="780"/>
      <c r="AT111" s="803"/>
      <c r="AU111" s="803"/>
      <c r="AV111" s="804"/>
      <c r="AW111" s="847"/>
    </row>
    <row r="112" spans="1:49" s="437" customFormat="1" ht="15" customHeight="1" x14ac:dyDescent="0.3">
      <c r="A112" s="799">
        <v>44628</v>
      </c>
      <c r="B112" s="780" t="str">
        <f>IFERROR(INDEX(Tabelle2[BU],MATCH(tbl_DCFC[[#This Row],[Categorie]],CAT,0)),"")</f>
        <v>SER</v>
      </c>
      <c r="C112" s="806" t="str">
        <f t="shared" si="11"/>
        <v>S10</v>
      </c>
      <c r="D112" s="799">
        <v>44628</v>
      </c>
      <c r="E112" s="793">
        <v>4753</v>
      </c>
      <c r="F112" s="793" t="s">
        <v>380</v>
      </c>
      <c r="G112" s="793" t="s">
        <v>114</v>
      </c>
      <c r="H112" s="793"/>
      <c r="I112" s="821"/>
      <c r="J112" s="793" t="s">
        <v>260</v>
      </c>
      <c r="K112" s="793" t="s">
        <v>569</v>
      </c>
      <c r="L112" s="855" t="s">
        <v>6</v>
      </c>
      <c r="M112" s="780"/>
      <c r="N112" s="437" t="str">
        <f t="shared" si="12"/>
        <v/>
      </c>
      <c r="O112" s="39" t="str">
        <f>IF(Data!$Q112="","",YEAR(Data!$Q112))</f>
        <v/>
      </c>
      <c r="P112" s="39" t="str">
        <f>IF(Data!$Q112="","",MONTH(Data!$Q112))</f>
        <v/>
      </c>
      <c r="Q112" s="64"/>
      <c r="R112" s="39"/>
      <c r="S112" s="637"/>
      <c r="T112" s="39"/>
      <c r="U112" s="39"/>
      <c r="V112" s="780"/>
      <c r="W112" s="64"/>
      <c r="X112" s="39" t="str">
        <f t="shared" si="8"/>
        <v/>
      </c>
      <c r="Y112" s="39" t="str">
        <f>IF(Data!$AC112="","",YEAR(Data!$AC112))</f>
        <v/>
      </c>
      <c r="Z112" s="39" t="str">
        <f>IF(Data!$AC112="","",MONTH(Data!$AC112))</f>
        <v/>
      </c>
      <c r="AA112" s="64"/>
      <c r="AB112" s="39"/>
      <c r="AC112" s="64"/>
      <c r="AD112" s="637"/>
      <c r="AE112" s="64"/>
      <c r="AF112" s="784"/>
      <c r="AH112" s="780"/>
      <c r="AI112" s="801">
        <v>6</v>
      </c>
      <c r="AJ112" s="801" t="s">
        <v>721</v>
      </c>
      <c r="AK112" s="780"/>
      <c r="AL112" s="39" t="s">
        <v>1003</v>
      </c>
      <c r="AM112" s="780"/>
      <c r="AN112" s="793"/>
      <c r="AO112" s="780"/>
      <c r="AP112" s="801" t="s">
        <v>999</v>
      </c>
      <c r="AQ112" s="780"/>
      <c r="AR112" s="802"/>
      <c r="AS112" s="780"/>
      <c r="AT112" s="803"/>
      <c r="AU112" s="803"/>
      <c r="AV112" s="804"/>
      <c r="AW112" s="847"/>
    </row>
    <row r="113" spans="1:49" s="437" customFormat="1" ht="15" customHeight="1" x14ac:dyDescent="0.3">
      <c r="A113" s="799">
        <v>44609</v>
      </c>
      <c r="B113" s="780" t="str">
        <f>IFERROR(INDEX(Tabelle2[BU],MATCH(tbl_DCFC[[#This Row],[Categorie]],CAT,0)),"")</f>
        <v>SER</v>
      </c>
      <c r="C113" s="806" t="str">
        <f t="shared" si="11"/>
        <v>S07</v>
      </c>
      <c r="D113" s="799">
        <v>44609</v>
      </c>
      <c r="E113" s="793">
        <v>4734</v>
      </c>
      <c r="F113" s="793" t="s">
        <v>380</v>
      </c>
      <c r="G113" s="793" t="s">
        <v>383</v>
      </c>
      <c r="H113" s="793"/>
      <c r="I113" s="821">
        <v>2393</v>
      </c>
      <c r="J113" s="793" t="s">
        <v>259</v>
      </c>
      <c r="K113" s="793" t="s">
        <v>574</v>
      </c>
      <c r="L113" s="855" t="s">
        <v>5</v>
      </c>
      <c r="M113" s="780"/>
      <c r="N113" s="437" t="str">
        <f t="shared" si="12"/>
        <v>S14</v>
      </c>
      <c r="O113" s="39">
        <f>IF(Data!$Q113="","",YEAR(Data!$Q113))</f>
        <v>2022</v>
      </c>
      <c r="P113" s="39">
        <f>IF(Data!$Q113="","",MONTH(Data!$Q113))</f>
        <v>4</v>
      </c>
      <c r="Q113" s="64">
        <v>44656</v>
      </c>
      <c r="R113" s="39" t="s">
        <v>922</v>
      </c>
      <c r="S113" s="637">
        <v>2393</v>
      </c>
      <c r="T113" s="39"/>
      <c r="U113" s="39"/>
      <c r="V113" s="780"/>
      <c r="W113" s="64"/>
      <c r="X113" s="39" t="str">
        <f t="shared" si="8"/>
        <v/>
      </c>
      <c r="Y113" s="39" t="str">
        <f>IF(Data!$AC113="","",YEAR(Data!$AC113))</f>
        <v/>
      </c>
      <c r="Z113" s="39" t="str">
        <f>IF(Data!$AC113="","",MONTH(Data!$AC113))</f>
        <v/>
      </c>
      <c r="AA113" s="64"/>
      <c r="AB113" s="39"/>
      <c r="AC113" s="64"/>
      <c r="AD113" s="637"/>
      <c r="AE113" s="64">
        <v>44694</v>
      </c>
      <c r="AF113" s="784"/>
      <c r="AH113" s="780"/>
      <c r="AI113" s="801">
        <v>1</v>
      </c>
      <c r="AJ113" s="801" t="s">
        <v>1016</v>
      </c>
      <c r="AK113" s="780"/>
      <c r="AL113" s="39"/>
      <c r="AM113" s="780"/>
      <c r="AN113" s="793"/>
      <c r="AO113" s="780"/>
      <c r="AP113" s="801" t="s">
        <v>917</v>
      </c>
      <c r="AQ113" s="780"/>
      <c r="AR113" s="802"/>
      <c r="AS113" s="780"/>
      <c r="AT113" s="803">
        <v>448</v>
      </c>
      <c r="AU113" s="803">
        <v>205</v>
      </c>
      <c r="AV113" s="804">
        <f>IF(AT113="","",S113-AT113-AU113)</f>
        <v>1740</v>
      </c>
      <c r="AW113" s="847" t="str">
        <f>IFERROR(IF(tbl_DCFC[[#This Row],[F Montant HT]]="","",tbl_DCFC[[#This Row],[Marge]]/tbl_DCFC[[#This Row],[F Montant HT]]),"")</f>
        <v/>
      </c>
    </row>
    <row r="114" spans="1:49" s="437" customFormat="1" ht="15" customHeight="1" x14ac:dyDescent="0.3">
      <c r="A114" s="799">
        <v>44621</v>
      </c>
      <c r="B114" s="780" t="str">
        <f>IFERROR(INDEX(Tabelle2[BU],MATCH(tbl_DCFC[[#This Row],[Categorie]],CAT,0)),"")</f>
        <v>SER</v>
      </c>
      <c r="C114" s="806" t="str">
        <f t="shared" si="11"/>
        <v>S11</v>
      </c>
      <c r="D114" s="799">
        <v>44634</v>
      </c>
      <c r="E114" s="793">
        <v>4754</v>
      </c>
      <c r="F114" s="793" t="s">
        <v>380</v>
      </c>
      <c r="G114" s="793" t="s">
        <v>851</v>
      </c>
      <c r="H114" s="793"/>
      <c r="I114" s="821">
        <v>1350</v>
      </c>
      <c r="J114" s="793" t="s">
        <v>259</v>
      </c>
      <c r="K114" s="793" t="s">
        <v>574</v>
      </c>
      <c r="L114" s="855" t="s">
        <v>6</v>
      </c>
      <c r="M114" s="780"/>
      <c r="N114" s="437" t="str">
        <f t="shared" si="12"/>
        <v/>
      </c>
      <c r="O114" s="39" t="str">
        <f>IF(Data!$Q114="","",YEAR(Data!$Q114))</f>
        <v/>
      </c>
      <c r="P114" s="39" t="str">
        <f>IF(Data!$Q114="","",MONTH(Data!$Q114))</f>
        <v/>
      </c>
      <c r="Q114" s="64"/>
      <c r="R114" s="39"/>
      <c r="S114" s="637"/>
      <c r="T114" s="39"/>
      <c r="U114" s="39"/>
      <c r="V114" s="780"/>
      <c r="W114" s="64"/>
      <c r="X114" s="39" t="str">
        <f t="shared" si="8"/>
        <v/>
      </c>
      <c r="Y114" s="39" t="str">
        <f>IF(Data!$AC114="","",YEAR(Data!$AC114))</f>
        <v/>
      </c>
      <c r="Z114" s="39" t="str">
        <f>IF(Data!$AC114="","",MONTH(Data!$AC114))</f>
        <v/>
      </c>
      <c r="AA114" s="64"/>
      <c r="AB114" s="39"/>
      <c r="AC114" s="64"/>
      <c r="AD114" s="637"/>
      <c r="AE114" s="64"/>
      <c r="AF114" s="784"/>
      <c r="AH114" s="780"/>
      <c r="AI114" s="801">
        <v>1</v>
      </c>
      <c r="AJ114" s="801" t="s">
        <v>983</v>
      </c>
      <c r="AK114" s="780"/>
      <c r="AL114" s="39"/>
      <c r="AM114" s="780"/>
      <c r="AN114" s="793"/>
      <c r="AO114" s="780"/>
      <c r="AP114" s="801" t="s">
        <v>975</v>
      </c>
      <c r="AQ114" s="780"/>
      <c r="AR114" s="802"/>
      <c r="AS114" s="780"/>
      <c r="AT114" s="803"/>
      <c r="AU114" s="803"/>
      <c r="AV114" s="804"/>
      <c r="AW114" s="847"/>
    </row>
    <row r="115" spans="1:49" s="437" customFormat="1" ht="15" customHeight="1" x14ac:dyDescent="0.3">
      <c r="A115" s="799">
        <v>44621</v>
      </c>
      <c r="B115" s="780" t="str">
        <f>IFERROR(INDEX(Tabelle2[BU],MATCH(tbl_DCFC[[#This Row],[Categorie]],CAT,0)),"")</f>
        <v>SER</v>
      </c>
      <c r="C115" s="806" t="str">
        <f t="shared" si="11"/>
        <v>S11</v>
      </c>
      <c r="D115" s="799">
        <v>44634</v>
      </c>
      <c r="E115" s="793">
        <v>4755</v>
      </c>
      <c r="F115" s="793" t="s">
        <v>380</v>
      </c>
      <c r="G115" s="793" t="s">
        <v>851</v>
      </c>
      <c r="H115" s="793"/>
      <c r="I115" s="821">
        <v>825</v>
      </c>
      <c r="J115" s="793" t="s">
        <v>259</v>
      </c>
      <c r="K115" s="793" t="s">
        <v>574</v>
      </c>
      <c r="L115" s="855" t="s">
        <v>6</v>
      </c>
      <c r="M115" s="780"/>
      <c r="N115" s="437" t="str">
        <f t="shared" si="12"/>
        <v/>
      </c>
      <c r="O115" s="39" t="str">
        <f>IF(Data!$Q115="","",YEAR(Data!$Q115))</f>
        <v/>
      </c>
      <c r="P115" s="39" t="str">
        <f>IF(Data!$Q115="","",MONTH(Data!$Q115))</f>
        <v/>
      </c>
      <c r="Q115" s="64"/>
      <c r="R115" s="39"/>
      <c r="S115" s="637"/>
      <c r="T115" s="39"/>
      <c r="U115" s="39"/>
      <c r="V115" s="780"/>
      <c r="W115" s="64"/>
      <c r="X115" s="39" t="str">
        <f t="shared" si="8"/>
        <v/>
      </c>
      <c r="Y115" s="39" t="str">
        <f>IF(Data!$AC115="","",YEAR(Data!$AC115))</f>
        <v/>
      </c>
      <c r="Z115" s="39" t="str">
        <f>IF(Data!$AC115="","",MONTH(Data!$AC115))</f>
        <v/>
      </c>
      <c r="AA115" s="64"/>
      <c r="AB115" s="39"/>
      <c r="AC115" s="64"/>
      <c r="AD115" s="637"/>
      <c r="AE115" s="64"/>
      <c r="AF115" s="784"/>
      <c r="AH115" s="780"/>
      <c r="AI115" s="801">
        <v>1</v>
      </c>
      <c r="AJ115" s="801" t="s">
        <v>982</v>
      </c>
      <c r="AK115" s="780"/>
      <c r="AL115" s="39"/>
      <c r="AM115" s="780"/>
      <c r="AN115" s="793"/>
      <c r="AO115" s="780"/>
      <c r="AP115" s="801" t="s">
        <v>974</v>
      </c>
      <c r="AQ115" s="780"/>
      <c r="AR115" s="802"/>
      <c r="AS115" s="780"/>
      <c r="AT115" s="803"/>
      <c r="AU115" s="803"/>
      <c r="AV115" s="804" t="str">
        <f>IF(AT115="","",S115-AT115-AU115)</f>
        <v/>
      </c>
      <c r="AW115" s="847" t="str">
        <f>IFERROR(IF(tbl_DCFC[[#This Row],[F Montant HT]]="","",tbl_DCFC[[#This Row],[Marge]]/tbl_DCFC[[#This Row],[F Montant HT]]),"")</f>
        <v/>
      </c>
    </row>
    <row r="116" spans="1:49" s="437" customFormat="1" ht="15" customHeight="1" x14ac:dyDescent="0.3">
      <c r="A116" s="799">
        <v>44621</v>
      </c>
      <c r="B116" s="780" t="str">
        <f>IFERROR(INDEX(Tabelle2[BU],MATCH(tbl_DCFC[[#This Row],[Categorie]],CAT,0)),"")</f>
        <v>SER</v>
      </c>
      <c r="C116" s="806" t="str">
        <f t="shared" si="11"/>
        <v>S11</v>
      </c>
      <c r="D116" s="799">
        <v>44634</v>
      </c>
      <c r="E116" s="793">
        <v>4756</v>
      </c>
      <c r="F116" s="793" t="s">
        <v>380</v>
      </c>
      <c r="G116" s="793" t="s">
        <v>851</v>
      </c>
      <c r="H116" s="793"/>
      <c r="I116" s="821">
        <v>1495</v>
      </c>
      <c r="J116" s="793" t="s">
        <v>259</v>
      </c>
      <c r="K116" s="793" t="s">
        <v>574</v>
      </c>
      <c r="L116" s="855" t="s">
        <v>6</v>
      </c>
      <c r="M116" s="780"/>
      <c r="N116" s="437" t="str">
        <f t="shared" si="12"/>
        <v/>
      </c>
      <c r="O116" s="39" t="str">
        <f>IF(Data!$Q116="","",YEAR(Data!$Q116))</f>
        <v/>
      </c>
      <c r="P116" s="39" t="str">
        <f>IF(Data!$Q116="","",MONTH(Data!$Q116))</f>
        <v/>
      </c>
      <c r="Q116" s="64"/>
      <c r="R116" s="39"/>
      <c r="S116" s="637"/>
      <c r="T116" s="39"/>
      <c r="U116" s="39"/>
      <c r="V116" s="780"/>
      <c r="W116" s="64"/>
      <c r="X116" s="39" t="str">
        <f t="shared" si="8"/>
        <v/>
      </c>
      <c r="Y116" s="39" t="str">
        <f>IF(Data!$AC116="","",YEAR(Data!$AC116))</f>
        <v/>
      </c>
      <c r="Z116" s="39" t="str">
        <f>IF(Data!$AC116="","",MONTH(Data!$AC116))</f>
        <v/>
      </c>
      <c r="AA116" s="64"/>
      <c r="AB116" s="39"/>
      <c r="AC116" s="64"/>
      <c r="AD116" s="637"/>
      <c r="AE116" s="64"/>
      <c r="AF116" s="784"/>
      <c r="AH116" s="780"/>
      <c r="AI116" s="801">
        <v>1</v>
      </c>
      <c r="AJ116" s="801" t="s">
        <v>981</v>
      </c>
      <c r="AK116" s="780"/>
      <c r="AL116" s="39"/>
      <c r="AM116" s="780"/>
      <c r="AN116" s="793"/>
      <c r="AO116" s="780"/>
      <c r="AP116" s="801" t="s">
        <v>973</v>
      </c>
      <c r="AQ116" s="780"/>
      <c r="AR116" s="802"/>
      <c r="AS116" s="780"/>
      <c r="AT116" s="803"/>
      <c r="AU116" s="803"/>
      <c r="AV116" s="804"/>
      <c r="AW116" s="847"/>
    </row>
    <row r="117" spans="1:49" s="437" customFormat="1" ht="15" customHeight="1" x14ac:dyDescent="0.3">
      <c r="A117" s="799">
        <v>44621</v>
      </c>
      <c r="B117" s="780" t="str">
        <f>IFERROR(INDEX(Tabelle2[BU],MATCH(tbl_DCFC[[#This Row],[Categorie]],CAT,0)),"")</f>
        <v>SER</v>
      </c>
      <c r="C117" s="806" t="str">
        <f t="shared" si="11"/>
        <v>S11</v>
      </c>
      <c r="D117" s="799">
        <v>44634</v>
      </c>
      <c r="E117" s="793">
        <v>4757</v>
      </c>
      <c r="F117" s="793" t="s">
        <v>380</v>
      </c>
      <c r="G117" s="793" t="s">
        <v>851</v>
      </c>
      <c r="H117" s="793"/>
      <c r="I117" s="821">
        <v>2750</v>
      </c>
      <c r="J117" s="793" t="s">
        <v>259</v>
      </c>
      <c r="K117" s="793" t="s">
        <v>574</v>
      </c>
      <c r="L117" s="855" t="s">
        <v>6</v>
      </c>
      <c r="M117" s="780"/>
      <c r="N117" s="437" t="str">
        <f t="shared" si="12"/>
        <v/>
      </c>
      <c r="O117" s="39" t="str">
        <f>IF(Data!$Q117="","",YEAR(Data!$Q117))</f>
        <v/>
      </c>
      <c r="P117" s="39" t="str">
        <f>IF(Data!$Q117="","",MONTH(Data!$Q117))</f>
        <v/>
      </c>
      <c r="Q117" s="64"/>
      <c r="R117" s="39"/>
      <c r="S117" s="637"/>
      <c r="T117" s="39"/>
      <c r="U117" s="39"/>
      <c r="V117" s="780"/>
      <c r="W117" s="64"/>
      <c r="X117" s="39" t="str">
        <f t="shared" si="8"/>
        <v/>
      </c>
      <c r="Y117" s="39" t="str">
        <f>IF(Data!$AC117="","",YEAR(Data!$AC117))</f>
        <v/>
      </c>
      <c r="Z117" s="39" t="str">
        <f>IF(Data!$AC117="","",MONTH(Data!$AC117))</f>
        <v/>
      </c>
      <c r="AA117" s="64"/>
      <c r="AB117" s="39"/>
      <c r="AC117" s="64"/>
      <c r="AD117" s="637"/>
      <c r="AE117" s="64"/>
      <c r="AF117" s="784"/>
      <c r="AH117" s="780"/>
      <c r="AI117" s="801">
        <v>1</v>
      </c>
      <c r="AJ117" s="801" t="s">
        <v>980</v>
      </c>
      <c r="AK117" s="780"/>
      <c r="AL117" s="39"/>
      <c r="AM117" s="780"/>
      <c r="AN117" s="793"/>
      <c r="AO117" s="780"/>
      <c r="AP117" s="801" t="s">
        <v>972</v>
      </c>
      <c r="AQ117" s="780"/>
      <c r="AR117" s="802"/>
      <c r="AS117" s="780"/>
      <c r="AT117" s="803"/>
      <c r="AU117" s="803"/>
      <c r="AV117" s="804"/>
      <c r="AW117" s="847"/>
    </row>
    <row r="118" spans="1:49" s="437" customFormat="1" ht="15" customHeight="1" x14ac:dyDescent="0.3">
      <c r="A118" s="799">
        <v>44634</v>
      </c>
      <c r="B118" s="780" t="str">
        <f>IFERROR(INDEX(Tabelle2[BU],MATCH(tbl_DCFC[[#This Row],[Categorie]],CAT,0)),"")</f>
        <v>SER</v>
      </c>
      <c r="C118" s="806" t="str">
        <f t="shared" si="11"/>
        <v>S11</v>
      </c>
      <c r="D118" s="799">
        <v>44634</v>
      </c>
      <c r="E118" s="793">
        <v>4758</v>
      </c>
      <c r="F118" s="793" t="s">
        <v>380</v>
      </c>
      <c r="G118" s="793" t="s">
        <v>397</v>
      </c>
      <c r="H118" s="793"/>
      <c r="I118" s="821">
        <v>2396</v>
      </c>
      <c r="J118" s="793" t="s">
        <v>260</v>
      </c>
      <c r="K118" s="793" t="s">
        <v>574</v>
      </c>
      <c r="L118" s="855" t="s">
        <v>5</v>
      </c>
      <c r="M118" s="780"/>
      <c r="N118" s="437" t="str">
        <f t="shared" si="12"/>
        <v>S11</v>
      </c>
      <c r="O118" s="39">
        <f>IF(Data!$Q118="","",YEAR(Data!$Q118))</f>
        <v>2022</v>
      </c>
      <c r="P118" s="39">
        <f>IF(Data!$Q118="","",MONTH(Data!$Q118))</f>
        <v>3</v>
      </c>
      <c r="Q118" s="64">
        <v>44634</v>
      </c>
      <c r="R118" s="39" t="s">
        <v>970</v>
      </c>
      <c r="S118" s="637">
        <v>2396</v>
      </c>
      <c r="T118" s="39"/>
      <c r="U118" s="39"/>
      <c r="V118" s="780"/>
      <c r="W118" s="64">
        <v>44636</v>
      </c>
      <c r="X118" s="39" t="str">
        <f t="shared" si="8"/>
        <v/>
      </c>
      <c r="Y118" s="39" t="str">
        <f>IF(Data!$AC118="","",YEAR(Data!$AC118))</f>
        <v/>
      </c>
      <c r="Z118" s="39" t="str">
        <f>IF(Data!$AC118="","",MONTH(Data!$AC118))</f>
        <v/>
      </c>
      <c r="AA118" s="64"/>
      <c r="AB118" s="39"/>
      <c r="AC118" s="64"/>
      <c r="AD118" s="637"/>
      <c r="AE118" s="64">
        <v>44673</v>
      </c>
      <c r="AF118" s="784"/>
      <c r="AH118" s="780"/>
      <c r="AI118" s="801">
        <v>1</v>
      </c>
      <c r="AJ118" s="801" t="s">
        <v>979</v>
      </c>
      <c r="AK118" s="780"/>
      <c r="AL118" s="39"/>
      <c r="AM118" s="780"/>
      <c r="AN118" s="793"/>
      <c r="AO118" s="780"/>
      <c r="AP118" s="801" t="s">
        <v>971</v>
      </c>
      <c r="AQ118" s="780"/>
      <c r="AR118" s="802"/>
      <c r="AS118" s="780"/>
      <c r="AT118" s="803"/>
      <c r="AU118" s="803"/>
      <c r="AV118" s="804" t="str">
        <f>IF(AT118="","",S118-AT118-AU118)</f>
        <v/>
      </c>
      <c r="AW118" s="847" t="str">
        <f>IFERROR(IF(tbl_DCFC[[#This Row],[F Montant HT]]="","",tbl_DCFC[[#This Row],[Marge]]/tbl_DCFC[[#This Row],[F Montant HT]]),"")</f>
        <v/>
      </c>
    </row>
    <row r="119" spans="1:49" s="437" customFormat="1" ht="15" customHeight="1" x14ac:dyDescent="0.3">
      <c r="A119" s="799">
        <v>44634</v>
      </c>
      <c r="B119" s="780" t="str">
        <f>IFERROR(INDEX(Tabelle2[BU],MATCH(tbl_DCFC[[#This Row],[Categorie]],CAT,0)),"")</f>
        <v>SER</v>
      </c>
      <c r="C119" s="806" t="str">
        <f t="shared" si="11"/>
        <v>S11</v>
      </c>
      <c r="D119" s="799">
        <v>44634</v>
      </c>
      <c r="E119" s="793">
        <v>4759</v>
      </c>
      <c r="F119" s="793" t="s">
        <v>380</v>
      </c>
      <c r="G119" s="793" t="s">
        <v>977</v>
      </c>
      <c r="H119" s="793"/>
      <c r="I119" s="821"/>
      <c r="J119" s="793" t="s">
        <v>259</v>
      </c>
      <c r="K119" s="793" t="s">
        <v>574</v>
      </c>
      <c r="L119" s="855" t="s">
        <v>6</v>
      </c>
      <c r="M119" s="780"/>
      <c r="N119" s="437" t="str">
        <f t="shared" si="12"/>
        <v/>
      </c>
      <c r="O119" s="39" t="str">
        <f>IF(Data!$Q119="","",YEAR(Data!$Q119))</f>
        <v/>
      </c>
      <c r="P119" s="39" t="str">
        <f>IF(Data!$Q119="","",MONTH(Data!$Q119))</f>
        <v/>
      </c>
      <c r="Q119" s="64"/>
      <c r="R119" s="39"/>
      <c r="S119" s="637"/>
      <c r="T119" s="39"/>
      <c r="U119" s="39"/>
      <c r="V119" s="780"/>
      <c r="W119" s="64">
        <v>44644</v>
      </c>
      <c r="X119" s="39" t="str">
        <f t="shared" si="8"/>
        <v/>
      </c>
      <c r="Y119" s="39" t="str">
        <f>IF(Data!$AC119="","",YEAR(Data!$AC119))</f>
        <v/>
      </c>
      <c r="Z119" s="39" t="str">
        <f>IF(Data!$AC119="","",MONTH(Data!$AC119))</f>
        <v/>
      </c>
      <c r="AA119" s="64"/>
      <c r="AB119" s="39"/>
      <c r="AC119" s="64"/>
      <c r="AD119" s="637"/>
      <c r="AE119" s="64"/>
      <c r="AF119" s="784"/>
      <c r="AH119" s="780"/>
      <c r="AI119" s="801">
        <v>2</v>
      </c>
      <c r="AJ119" s="801" t="s">
        <v>978</v>
      </c>
      <c r="AK119" s="780"/>
      <c r="AL119" s="39"/>
      <c r="AM119" s="780"/>
      <c r="AN119" s="793"/>
      <c r="AO119" s="780"/>
      <c r="AP119" s="801" t="s">
        <v>1000</v>
      </c>
      <c r="AQ119" s="780"/>
      <c r="AR119" s="802"/>
      <c r="AS119" s="780"/>
      <c r="AT119" s="803"/>
      <c r="AU119" s="803"/>
      <c r="AV119" s="804" t="str">
        <f>IF(AT119="","",S119-AT119-AU119)</f>
        <v/>
      </c>
      <c r="AW119" s="847" t="str">
        <f>IFERROR(IF(tbl_DCFC[[#This Row],[F Montant HT]]="","",tbl_DCFC[[#This Row],[Marge]]/tbl_DCFC[[#This Row],[F Montant HT]]),"")</f>
        <v/>
      </c>
    </row>
    <row r="120" spans="1:49" s="437" customFormat="1" ht="15" customHeight="1" x14ac:dyDescent="0.3">
      <c r="A120" s="799">
        <v>44620</v>
      </c>
      <c r="B120" s="780" t="str">
        <f>IFERROR(INDEX(Tabelle2[BU],MATCH(tbl_DCFC[[#This Row],[Categorie]],CAT,0)),"")</f>
        <v>SER</v>
      </c>
      <c r="C120" s="806" t="str">
        <f t="shared" si="11"/>
        <v>S09</v>
      </c>
      <c r="D120" s="799">
        <v>44620</v>
      </c>
      <c r="E120" s="793">
        <v>4742</v>
      </c>
      <c r="F120" s="793" t="s">
        <v>380</v>
      </c>
      <c r="G120" s="793" t="s">
        <v>930</v>
      </c>
      <c r="H120" s="793"/>
      <c r="I120" s="821">
        <v>7303</v>
      </c>
      <c r="J120" s="793" t="s">
        <v>259</v>
      </c>
      <c r="K120" s="793" t="s">
        <v>574</v>
      </c>
      <c r="L120" s="855" t="s">
        <v>5</v>
      </c>
      <c r="M120" s="780"/>
      <c r="N120" s="437" t="str">
        <f t="shared" si="12"/>
        <v>S12</v>
      </c>
      <c r="O120" s="39">
        <f>IF(Data!$Q120="","",YEAR(Data!$Q120))</f>
        <v>2022</v>
      </c>
      <c r="P120" s="39">
        <f>IF(Data!$Q120="","",MONTH(Data!$Q120))</f>
        <v>3</v>
      </c>
      <c r="Q120" s="64">
        <v>44641</v>
      </c>
      <c r="R120" s="39" t="s">
        <v>945</v>
      </c>
      <c r="S120" s="637">
        <v>7303</v>
      </c>
      <c r="T120" s="39"/>
      <c r="U120" s="39"/>
      <c r="V120" s="780"/>
      <c r="W120" s="64"/>
      <c r="X120" s="39" t="str">
        <f t="shared" si="8"/>
        <v/>
      </c>
      <c r="Y120" s="39" t="str">
        <f>IF(Data!$AC120="","",YEAR(Data!$AC120))</f>
        <v/>
      </c>
      <c r="Z120" s="39" t="str">
        <f>IF(Data!$AC120="","",MONTH(Data!$AC120))</f>
        <v/>
      </c>
      <c r="AA120" s="64"/>
      <c r="AB120" s="39"/>
      <c r="AC120" s="64"/>
      <c r="AD120" s="637"/>
      <c r="AE120" s="64">
        <v>44739</v>
      </c>
      <c r="AF120" s="784"/>
      <c r="AH120" s="780"/>
      <c r="AI120" s="801">
        <v>1</v>
      </c>
      <c r="AJ120" s="801" t="s">
        <v>995</v>
      </c>
      <c r="AK120" s="780"/>
      <c r="AL120" s="39"/>
      <c r="AM120" s="780"/>
      <c r="AN120" s="793"/>
      <c r="AO120" s="780"/>
      <c r="AP120" s="801" t="s">
        <v>939</v>
      </c>
      <c r="AQ120" s="780"/>
      <c r="AR120" s="802"/>
      <c r="AS120" s="780"/>
      <c r="AT120" s="803"/>
      <c r="AU120" s="803"/>
      <c r="AV120" s="804" t="str">
        <f>IF(AT120="","",S120-AT120-AU120)</f>
        <v/>
      </c>
      <c r="AW120" s="847" t="str">
        <f>IFERROR(IF(tbl_DCFC[[#This Row],[F Montant HT]]="","",tbl_DCFC[[#This Row],[Marge]]/tbl_DCFC[[#This Row],[F Montant HT]]),"")</f>
        <v/>
      </c>
    </row>
    <row r="121" spans="1:49" s="437" customFormat="1" ht="15" customHeight="1" x14ac:dyDescent="0.3">
      <c r="A121" s="799">
        <v>44636</v>
      </c>
      <c r="B121" s="780" t="str">
        <f>IFERROR(INDEX(Tabelle2[BU],MATCH(tbl_DCFC[[#This Row],[Categorie]],CAT,0)),"")</f>
        <v>GSE</v>
      </c>
      <c r="C121" s="806" t="str">
        <f t="shared" si="11"/>
        <v>S11</v>
      </c>
      <c r="D121" s="799">
        <v>44636</v>
      </c>
      <c r="E121" s="793">
        <v>4725</v>
      </c>
      <c r="F121" s="793" t="s">
        <v>382</v>
      </c>
      <c r="G121" s="793" t="s">
        <v>887</v>
      </c>
      <c r="H121" s="793"/>
      <c r="I121" s="821">
        <v>17920</v>
      </c>
      <c r="J121" s="793" t="s">
        <v>260</v>
      </c>
      <c r="K121" s="793" t="s">
        <v>593</v>
      </c>
      <c r="L121" s="855" t="s">
        <v>6</v>
      </c>
      <c r="M121" s="780"/>
      <c r="N121" s="437" t="str">
        <f t="shared" si="12"/>
        <v/>
      </c>
      <c r="O121" s="39" t="str">
        <f>IF(Data!$Q121="","",YEAR(Data!$Q121))</f>
        <v/>
      </c>
      <c r="P121" s="39" t="str">
        <f>IF(Data!$Q121="","",MONTH(Data!$Q121))</f>
        <v/>
      </c>
      <c r="Q121" s="64"/>
      <c r="R121" s="39"/>
      <c r="S121" s="637"/>
      <c r="T121" s="39"/>
      <c r="U121" s="39"/>
      <c r="V121" s="780"/>
      <c r="W121" s="64"/>
      <c r="X121" s="39" t="str">
        <f t="shared" si="8"/>
        <v/>
      </c>
      <c r="Y121" s="39" t="str">
        <f>IF(Data!$AC121="","",YEAR(Data!$AC121))</f>
        <v/>
      </c>
      <c r="Z121" s="39" t="str">
        <f>IF(Data!$AC121="","",MONTH(Data!$AC121))</f>
        <v/>
      </c>
      <c r="AA121" s="64"/>
      <c r="AB121" s="39"/>
      <c r="AC121" s="64"/>
      <c r="AD121" s="637"/>
      <c r="AE121" s="64"/>
      <c r="AF121" s="784"/>
      <c r="AH121" s="780"/>
      <c r="AI121" s="801">
        <v>1</v>
      </c>
      <c r="AJ121" s="801" t="s">
        <v>888</v>
      </c>
      <c r="AK121" s="780"/>
      <c r="AL121" s="39"/>
      <c r="AM121" s="780"/>
      <c r="AN121" s="793"/>
      <c r="AO121" s="780"/>
      <c r="AP121" s="801" t="s">
        <v>889</v>
      </c>
      <c r="AQ121" s="780"/>
      <c r="AR121" s="802"/>
      <c r="AS121" s="780"/>
      <c r="AT121" s="803"/>
      <c r="AU121" s="803"/>
      <c r="AV121" s="804" t="str">
        <f t="shared" ref="AV121:AV122" si="14">IF(AT121="","",S121-AT121-AU121)</f>
        <v/>
      </c>
      <c r="AW121" s="847" t="str">
        <f>IFERROR(IF(tbl_DCFC[[#This Row],[F Montant HT]]="","",tbl_DCFC[[#This Row],[Marge]]/tbl_DCFC[[#This Row],[F Montant HT]]),"")</f>
        <v/>
      </c>
    </row>
    <row r="122" spans="1:49" s="437" customFormat="1" ht="15" customHeight="1" x14ac:dyDescent="0.3">
      <c r="A122" s="799">
        <v>44642</v>
      </c>
      <c r="B122" s="780" t="str">
        <f>IFERROR(INDEX(Tabelle2[BU],MATCH(tbl_DCFC[[#This Row],[Categorie]],CAT,0)),"")</f>
        <v>SER</v>
      </c>
      <c r="C122" s="806" t="str">
        <f t="shared" si="11"/>
        <v>S12</v>
      </c>
      <c r="D122" s="799">
        <v>44642</v>
      </c>
      <c r="E122" s="793">
        <v>4744</v>
      </c>
      <c r="F122" s="793" t="s">
        <v>796</v>
      </c>
      <c r="G122" s="793" t="s">
        <v>946</v>
      </c>
      <c r="H122" s="793"/>
      <c r="I122" s="821">
        <v>707</v>
      </c>
      <c r="J122" s="793" t="s">
        <v>260</v>
      </c>
      <c r="K122" s="793" t="s">
        <v>574</v>
      </c>
      <c r="L122" s="855" t="s">
        <v>5</v>
      </c>
      <c r="M122" s="780"/>
      <c r="N122" s="437" t="str">
        <f t="shared" si="12"/>
        <v>S10</v>
      </c>
      <c r="O122" s="39">
        <f>IF(Data!$Q122="","",YEAR(Data!$Q122))</f>
        <v>2022</v>
      </c>
      <c r="P122" s="39">
        <f>IF(Data!$Q122="","",MONTH(Data!$Q122))</f>
        <v>3</v>
      </c>
      <c r="Q122" s="64">
        <v>44630</v>
      </c>
      <c r="R122" s="39" t="s">
        <v>947</v>
      </c>
      <c r="S122" s="637">
        <v>707</v>
      </c>
      <c r="T122" s="39"/>
      <c r="U122" s="39"/>
      <c r="V122" s="780"/>
      <c r="W122" s="64"/>
      <c r="X122" s="39" t="str">
        <f t="shared" si="8"/>
        <v/>
      </c>
      <c r="Y122" s="39" t="str">
        <f>IF(Data!$AC122="","",YEAR(Data!$AC122))</f>
        <v/>
      </c>
      <c r="Z122" s="39" t="str">
        <f>IF(Data!$AC122="","",MONTH(Data!$AC122))</f>
        <v/>
      </c>
      <c r="AA122" s="64"/>
      <c r="AB122" s="39"/>
      <c r="AC122" s="64"/>
      <c r="AD122" s="637"/>
      <c r="AE122" s="64"/>
      <c r="AF122" s="784"/>
      <c r="AH122" s="780"/>
      <c r="AI122" s="801">
        <v>1</v>
      </c>
      <c r="AJ122" s="801" t="s">
        <v>1001</v>
      </c>
      <c r="AK122" s="780"/>
      <c r="AL122" s="39"/>
      <c r="AM122" s="780"/>
      <c r="AN122" s="793"/>
      <c r="AO122" s="780"/>
      <c r="AP122" s="801" t="s">
        <v>948</v>
      </c>
      <c r="AQ122" s="780"/>
      <c r="AR122" s="802"/>
      <c r="AS122" s="780"/>
      <c r="AT122" s="803"/>
      <c r="AU122" s="803"/>
      <c r="AV122" s="804" t="str">
        <f t="shared" si="14"/>
        <v/>
      </c>
      <c r="AW122" s="847" t="str">
        <f>IFERROR(IF(tbl_DCFC[[#This Row],[F Montant HT]]="","",tbl_DCFC[[#This Row],[Marge]]/tbl_DCFC[[#This Row],[F Montant HT]]),"")</f>
        <v/>
      </c>
    </row>
    <row r="123" spans="1:49" s="437" customFormat="1" ht="15" customHeight="1" x14ac:dyDescent="0.3">
      <c r="A123" s="799">
        <v>44579</v>
      </c>
      <c r="B123" s="780" t="str">
        <f>IFERROR(INDEX(Tabelle2[BU],MATCH(tbl_DCFC[[#This Row],[Categorie]],CAT,0)),"")</f>
        <v>SER</v>
      </c>
      <c r="C123" s="806" t="str">
        <f t="shared" si="11"/>
        <v>S03</v>
      </c>
      <c r="D123" s="799">
        <v>44579</v>
      </c>
      <c r="E123" s="793">
        <v>4709</v>
      </c>
      <c r="F123" s="793" t="s">
        <v>380</v>
      </c>
      <c r="G123" s="793" t="s">
        <v>114</v>
      </c>
      <c r="H123" s="793"/>
      <c r="I123" s="821">
        <v>530</v>
      </c>
      <c r="J123" s="793" t="s">
        <v>260</v>
      </c>
      <c r="K123" s="793" t="s">
        <v>569</v>
      </c>
      <c r="L123" s="855" t="s">
        <v>5</v>
      </c>
      <c r="M123" s="780"/>
      <c r="N123" s="437" t="str">
        <f t="shared" si="12"/>
        <v>S06</v>
      </c>
      <c r="O123" s="39">
        <f>IF(Data!$Q123="","",YEAR(Data!$Q123))</f>
        <v>2022</v>
      </c>
      <c r="P123" s="39">
        <f>IF(Data!$Q123="","",MONTH(Data!$Q123))</f>
        <v>2</v>
      </c>
      <c r="Q123" s="64">
        <v>44601</v>
      </c>
      <c r="R123" s="39" t="s">
        <v>881</v>
      </c>
      <c r="S123" s="637">
        <v>530</v>
      </c>
      <c r="T123" s="39"/>
      <c r="U123" s="39"/>
      <c r="V123" s="780"/>
      <c r="W123" s="64"/>
      <c r="X123" s="39" t="str">
        <f t="shared" si="8"/>
        <v>S12</v>
      </c>
      <c r="Y123" s="39">
        <f>IF(Data!$AC123="","",YEAR(Data!$AC123))</f>
        <v>2022</v>
      </c>
      <c r="Z123" s="39">
        <f>IF(Data!$AC123="","",MONTH(Data!$AC123))</f>
        <v>3</v>
      </c>
      <c r="AA123" s="64">
        <v>44644</v>
      </c>
      <c r="AB123" s="39">
        <v>5221</v>
      </c>
      <c r="AC123" s="64">
        <v>44645</v>
      </c>
      <c r="AD123" s="637">
        <v>530</v>
      </c>
      <c r="AE123" s="64"/>
      <c r="AF123" s="784"/>
      <c r="AH123" s="780"/>
      <c r="AI123" s="801">
        <v>1</v>
      </c>
      <c r="AJ123" s="801" t="s">
        <v>723</v>
      </c>
      <c r="AK123" s="780"/>
      <c r="AL123" s="39" t="s">
        <v>1004</v>
      </c>
      <c r="AM123" s="780"/>
      <c r="AN123" s="793"/>
      <c r="AO123" s="780"/>
      <c r="AP123" s="801" t="s">
        <v>814</v>
      </c>
      <c r="AQ123" s="780"/>
      <c r="AR123" s="802"/>
      <c r="AS123" s="780"/>
      <c r="AT123" s="803"/>
      <c r="AU123" s="803"/>
      <c r="AV123" s="804" t="str">
        <f t="shared" ref="AV123:AV186" si="15">IF(AT123="","",S123-AT123-AU123)</f>
        <v/>
      </c>
      <c r="AW123" s="847" t="str">
        <f>IFERROR(IF(tbl_DCFC[[#This Row],[F Montant HT]]="","",tbl_DCFC[[#This Row],[Marge]]/tbl_DCFC[[#This Row],[F Montant HT]]),"")</f>
        <v/>
      </c>
    </row>
    <row r="124" spans="1:49" s="437" customFormat="1" ht="15" customHeight="1" x14ac:dyDescent="0.3">
      <c r="A124" s="799">
        <v>44608</v>
      </c>
      <c r="B124" s="780" t="str">
        <f>IFERROR(INDEX(Tabelle2[BU],MATCH(tbl_DCFC[[#This Row],[Categorie]],CAT,0)),"")</f>
        <v>SER</v>
      </c>
      <c r="C124" s="806" t="str">
        <f t="shared" si="11"/>
        <v>S07</v>
      </c>
      <c r="D124" s="799">
        <v>44608</v>
      </c>
      <c r="E124" s="793">
        <v>4729</v>
      </c>
      <c r="F124" s="793" t="s">
        <v>380</v>
      </c>
      <c r="G124" s="793" t="s">
        <v>114</v>
      </c>
      <c r="H124" s="793"/>
      <c r="I124" s="821">
        <v>1590</v>
      </c>
      <c r="J124" s="793"/>
      <c r="K124" s="793" t="s">
        <v>569</v>
      </c>
      <c r="L124" s="855" t="s">
        <v>5</v>
      </c>
      <c r="M124" s="780"/>
      <c r="N124" s="437" t="str">
        <f t="shared" si="12"/>
        <v>S10</v>
      </c>
      <c r="O124" s="39">
        <f>IF(Data!$Q124="","",YEAR(Data!$Q124))</f>
        <v>2022</v>
      </c>
      <c r="P124" s="39">
        <f>IF(Data!$Q124="","",MONTH(Data!$Q124))</f>
        <v>3</v>
      </c>
      <c r="Q124" s="64">
        <v>44627</v>
      </c>
      <c r="R124" s="39" t="s">
        <v>949</v>
      </c>
      <c r="S124" s="637">
        <v>1590</v>
      </c>
      <c r="T124" s="39"/>
      <c r="U124" s="39"/>
      <c r="V124" s="780"/>
      <c r="W124" s="64">
        <v>44622</v>
      </c>
      <c r="X124" s="39" t="str">
        <f t="shared" si="8"/>
        <v>S12</v>
      </c>
      <c r="Y124" s="39">
        <f>IF(Data!$AC124="","",YEAR(Data!$AC124))</f>
        <v>2022</v>
      </c>
      <c r="Z124" s="39">
        <f>IF(Data!$AC124="","",MONTH(Data!$AC124))</f>
        <v>3</v>
      </c>
      <c r="AA124" s="64">
        <v>44644</v>
      </c>
      <c r="AB124" s="39">
        <v>5222</v>
      </c>
      <c r="AC124" s="64">
        <v>44645</v>
      </c>
      <c r="AD124" s="637">
        <v>1590</v>
      </c>
      <c r="AE124" s="64"/>
      <c r="AF124" s="784"/>
      <c r="AH124" s="780"/>
      <c r="AI124" s="801">
        <v>3</v>
      </c>
      <c r="AJ124" s="801" t="s">
        <v>723</v>
      </c>
      <c r="AK124" s="780"/>
      <c r="AL124" s="39" t="s">
        <v>1005</v>
      </c>
      <c r="AM124" s="780"/>
      <c r="AN124" s="793"/>
      <c r="AO124" s="780"/>
      <c r="AP124" s="801" t="s">
        <v>894</v>
      </c>
      <c r="AQ124" s="780"/>
      <c r="AR124" s="802"/>
      <c r="AS124" s="780"/>
      <c r="AT124" s="803">
        <v>494.4</v>
      </c>
      <c r="AU124" s="803"/>
      <c r="AV124" s="804">
        <f t="shared" si="15"/>
        <v>1095.5999999999999</v>
      </c>
      <c r="AW124" s="847">
        <f>IFERROR(IF(tbl_DCFC[[#This Row],[F Montant HT]]="","",tbl_DCFC[[#This Row],[Marge]]/tbl_DCFC[[#This Row],[F Montant HT]]),"")</f>
        <v>0.6890566037735848</v>
      </c>
    </row>
    <row r="125" spans="1:49" s="437" customFormat="1" ht="15" customHeight="1" x14ac:dyDescent="0.3">
      <c r="A125" s="799">
        <v>44579</v>
      </c>
      <c r="B125" s="780" t="str">
        <f>IFERROR(INDEX(Tabelle2[BU],MATCH(tbl_DCFC[[#This Row],[Categorie]],CAT,0)),"")</f>
        <v>SER</v>
      </c>
      <c r="C125" s="806" t="str">
        <f t="shared" si="11"/>
        <v>S03</v>
      </c>
      <c r="D125" s="799">
        <v>44579</v>
      </c>
      <c r="E125" s="793">
        <v>4710</v>
      </c>
      <c r="F125" s="793" t="s">
        <v>380</v>
      </c>
      <c r="G125" s="793" t="s">
        <v>114</v>
      </c>
      <c r="H125" s="793"/>
      <c r="I125" s="821">
        <v>5950</v>
      </c>
      <c r="J125" s="793" t="s">
        <v>260</v>
      </c>
      <c r="K125" s="793" t="s">
        <v>569</v>
      </c>
      <c r="L125" s="855" t="s">
        <v>5</v>
      </c>
      <c r="M125" s="780"/>
      <c r="N125" s="437" t="str">
        <f t="shared" si="12"/>
        <v>S09</v>
      </c>
      <c r="O125" s="39">
        <f>IF(Data!$Q125="","",YEAR(Data!$Q125))</f>
        <v>2022</v>
      </c>
      <c r="P125" s="39">
        <f>IF(Data!$Q125="","",MONTH(Data!$Q125))</f>
        <v>3</v>
      </c>
      <c r="Q125" s="64">
        <v>44621</v>
      </c>
      <c r="R125" s="39" t="s">
        <v>940</v>
      </c>
      <c r="S125" s="637">
        <v>5950</v>
      </c>
      <c r="T125" s="39"/>
      <c r="U125" s="39"/>
      <c r="V125" s="780"/>
      <c r="W125" s="64"/>
      <c r="X125" s="39" t="str">
        <f t="shared" si="8"/>
        <v>S14</v>
      </c>
      <c r="Y125" s="39">
        <f>IF(Data!$AC125="","",YEAR(Data!$AC125))</f>
        <v>2022</v>
      </c>
      <c r="Z125" s="39">
        <f>IF(Data!$AC125="","",MONTH(Data!$AC125))</f>
        <v>4</v>
      </c>
      <c r="AA125" s="64">
        <v>44657</v>
      </c>
      <c r="AB125" s="39">
        <v>5229</v>
      </c>
      <c r="AC125" s="64">
        <v>44657</v>
      </c>
      <c r="AD125" s="637">
        <v>5950</v>
      </c>
      <c r="AE125" s="64">
        <v>44677</v>
      </c>
      <c r="AF125" s="784"/>
      <c r="AH125" s="780"/>
      <c r="AI125" s="868">
        <v>4</v>
      </c>
      <c r="AJ125" s="801" t="s">
        <v>721</v>
      </c>
      <c r="AK125" s="780"/>
      <c r="AL125" s="39" t="s">
        <v>957</v>
      </c>
      <c r="AM125" s="780"/>
      <c r="AN125" s="793"/>
      <c r="AO125" s="780"/>
      <c r="AP125" s="801" t="s">
        <v>815</v>
      </c>
      <c r="AQ125" s="780"/>
      <c r="AR125" s="802"/>
      <c r="AS125" s="780"/>
      <c r="AT125" s="803">
        <v>674</v>
      </c>
      <c r="AU125" s="803"/>
      <c r="AV125" s="804">
        <f t="shared" si="15"/>
        <v>5276</v>
      </c>
      <c r="AW125" s="847">
        <f>IFERROR(IF(tbl_DCFC[[#This Row],[F Montant HT]]="","",tbl_DCFC[[#This Row],[Marge]]/tbl_DCFC[[#This Row],[F Montant HT]]),"")</f>
        <v>0.88672268907563023</v>
      </c>
    </row>
    <row r="126" spans="1:49" s="437" customFormat="1" ht="15" customHeight="1" x14ac:dyDescent="0.3">
      <c r="A126" s="799">
        <v>44649</v>
      </c>
      <c r="B126" s="780" t="str">
        <f>IFERROR(INDEX(Tabelle2[BU],MATCH(tbl_DCFC[[#This Row],[Categorie]],CAT,0)),"")</f>
        <v>SER</v>
      </c>
      <c r="C126" s="806" t="str">
        <f t="shared" si="11"/>
        <v>S13</v>
      </c>
      <c r="D126" s="799">
        <v>44649</v>
      </c>
      <c r="E126" s="793">
        <v>4764</v>
      </c>
      <c r="F126" s="793" t="s">
        <v>380</v>
      </c>
      <c r="G126" s="793" t="s">
        <v>114</v>
      </c>
      <c r="H126" s="793"/>
      <c r="I126" s="821">
        <v>3180</v>
      </c>
      <c r="J126" s="793" t="s">
        <v>260</v>
      </c>
      <c r="K126" s="793" t="s">
        <v>569</v>
      </c>
      <c r="L126" s="855" t="s">
        <v>5</v>
      </c>
      <c r="M126" s="780"/>
      <c r="N126" s="437" t="str">
        <f t="shared" si="12"/>
        <v>S14</v>
      </c>
      <c r="O126" s="39">
        <f>IF(Data!$Q126="","",YEAR(Data!$Q126))</f>
        <v>2022</v>
      </c>
      <c r="P126" s="39">
        <f>IF(Data!$Q126="","",MONTH(Data!$Q126))</f>
        <v>4</v>
      </c>
      <c r="Q126" s="64">
        <v>44659</v>
      </c>
      <c r="R126" s="39" t="s">
        <v>1023</v>
      </c>
      <c r="S126" s="637">
        <v>3180</v>
      </c>
      <c r="T126" s="39"/>
      <c r="U126" s="39"/>
      <c r="V126" s="780"/>
      <c r="W126" s="64"/>
      <c r="X126" s="39" t="str">
        <f t="shared" si="8"/>
        <v/>
      </c>
      <c r="Y126" s="39" t="str">
        <f>IF(Data!$AC126="","",YEAR(Data!$AC126))</f>
        <v/>
      </c>
      <c r="Z126" s="39" t="str">
        <f>IF(Data!$AC126="","",MONTH(Data!$AC126))</f>
        <v/>
      </c>
      <c r="AA126" s="64"/>
      <c r="AB126" s="39"/>
      <c r="AC126" s="64"/>
      <c r="AD126" s="637"/>
      <c r="AE126" s="64">
        <v>44727</v>
      </c>
      <c r="AF126" s="784"/>
      <c r="AH126" s="780"/>
      <c r="AI126" s="801">
        <v>6</v>
      </c>
      <c r="AJ126" s="801" t="s">
        <v>723</v>
      </c>
      <c r="AK126" s="780"/>
      <c r="AL126" s="39" t="s">
        <v>1024</v>
      </c>
      <c r="AM126" s="780"/>
      <c r="AN126" s="793"/>
      <c r="AO126" s="780"/>
      <c r="AP126" s="801" t="s">
        <v>1008</v>
      </c>
      <c r="AQ126" s="780"/>
      <c r="AR126" s="802"/>
      <c r="AS126" s="780"/>
      <c r="AT126" s="803"/>
      <c r="AU126" s="803"/>
      <c r="AV126" s="804" t="str">
        <f t="shared" si="15"/>
        <v/>
      </c>
      <c r="AW126" s="847" t="str">
        <f>IFERROR(IF(tbl_DCFC[[#This Row],[F Montant HT]]="","",tbl_DCFC[[#This Row],[Marge]]/tbl_DCFC[[#This Row],[F Montant HT]]),"")</f>
        <v/>
      </c>
    </row>
    <row r="127" spans="1:49" s="437" customFormat="1" ht="15" customHeight="1" x14ac:dyDescent="0.3">
      <c r="A127" s="799">
        <v>44649</v>
      </c>
      <c r="B127" s="780" t="str">
        <f>IFERROR(INDEX(Tabelle2[BU],MATCH(tbl_DCFC[[#This Row],[Categorie]],CAT,0)),"")</f>
        <v>SER</v>
      </c>
      <c r="C127" s="806" t="str">
        <f t="shared" si="11"/>
        <v>S13</v>
      </c>
      <c r="D127" s="799">
        <v>44649</v>
      </c>
      <c r="E127" s="793">
        <v>4765</v>
      </c>
      <c r="F127" s="793" t="s">
        <v>380</v>
      </c>
      <c r="G127" s="793" t="s">
        <v>114</v>
      </c>
      <c r="H127" s="793"/>
      <c r="I127" s="821"/>
      <c r="J127" s="793" t="s">
        <v>260</v>
      </c>
      <c r="K127" s="793" t="s">
        <v>569</v>
      </c>
      <c r="L127" s="855" t="s">
        <v>253</v>
      </c>
      <c r="M127" s="780"/>
      <c r="N127" s="437" t="str">
        <f t="shared" si="12"/>
        <v/>
      </c>
      <c r="O127" s="39" t="str">
        <f>IF(Data!$Q127="","",YEAR(Data!$Q127))</f>
        <v/>
      </c>
      <c r="P127" s="39" t="str">
        <f>IF(Data!$Q127="","",MONTH(Data!$Q127))</f>
        <v/>
      </c>
      <c r="Q127" s="64"/>
      <c r="R127" s="39"/>
      <c r="S127" s="637"/>
      <c r="T127" s="39"/>
      <c r="U127" s="39"/>
      <c r="V127" s="780"/>
      <c r="W127" s="64"/>
      <c r="X127" s="39" t="str">
        <f t="shared" si="8"/>
        <v/>
      </c>
      <c r="Y127" s="39" t="str">
        <f>IF(Data!$AC127="","",YEAR(Data!$AC127))</f>
        <v/>
      </c>
      <c r="Z127" s="39" t="str">
        <f>IF(Data!$AC127="","",MONTH(Data!$AC127))</f>
        <v/>
      </c>
      <c r="AA127" s="64"/>
      <c r="AB127" s="39"/>
      <c r="AC127" s="64"/>
      <c r="AD127" s="637"/>
      <c r="AE127" s="64"/>
      <c r="AF127" s="784"/>
      <c r="AH127" s="780"/>
      <c r="AI127" s="801">
        <v>6</v>
      </c>
      <c r="AJ127" s="801" t="s">
        <v>721</v>
      </c>
      <c r="AK127" s="780"/>
      <c r="AL127" s="39" t="s">
        <v>1025</v>
      </c>
      <c r="AM127" s="780"/>
      <c r="AN127" s="793"/>
      <c r="AO127" s="780"/>
      <c r="AP127" s="801" t="s">
        <v>1009</v>
      </c>
      <c r="AQ127" s="780"/>
      <c r="AR127" s="802"/>
      <c r="AS127" s="780"/>
      <c r="AT127" s="803"/>
      <c r="AU127" s="803"/>
      <c r="AV127" s="804" t="str">
        <f t="shared" si="15"/>
        <v/>
      </c>
      <c r="AW127" s="847" t="str">
        <f>IFERROR(IF(tbl_DCFC[[#This Row],[F Montant HT]]="","",tbl_DCFC[[#This Row],[Marge]]/tbl_DCFC[[#This Row],[F Montant HT]]),"")</f>
        <v/>
      </c>
    </row>
    <row r="128" spans="1:49" s="437" customFormat="1" ht="15" customHeight="1" x14ac:dyDescent="0.3">
      <c r="A128" s="799">
        <v>44650</v>
      </c>
      <c r="B128" s="780" t="str">
        <f>IFERROR(INDEX(Tabelle2[BU],MATCH(tbl_DCFC[[#This Row],[Categorie]],CAT,0)),"")</f>
        <v/>
      </c>
      <c r="C128" s="806" t="str">
        <f t="shared" si="11"/>
        <v>S13</v>
      </c>
      <c r="D128" s="799">
        <v>44650</v>
      </c>
      <c r="E128" s="793"/>
      <c r="F128" s="793"/>
      <c r="G128" s="793" t="s">
        <v>841</v>
      </c>
      <c r="H128" s="793"/>
      <c r="I128" s="821"/>
      <c r="J128" s="793" t="s">
        <v>842</v>
      </c>
      <c r="K128" s="793"/>
      <c r="L128" s="855"/>
      <c r="M128" s="780"/>
      <c r="N128" s="437" t="str">
        <f t="shared" si="12"/>
        <v/>
      </c>
      <c r="O128" s="39" t="str">
        <f>IF(Data!$Q128="","",YEAR(Data!$Q128))</f>
        <v/>
      </c>
      <c r="P128" s="39" t="str">
        <f>IF(Data!$Q128="","",MONTH(Data!$Q128))</f>
        <v/>
      </c>
      <c r="Q128" s="64"/>
      <c r="R128" s="39" t="s">
        <v>1012</v>
      </c>
      <c r="S128" s="637"/>
      <c r="T128" s="39"/>
      <c r="U128" s="39"/>
      <c r="V128" s="780"/>
      <c r="W128" s="64"/>
      <c r="X128" s="39" t="str">
        <f t="shared" si="8"/>
        <v>S13</v>
      </c>
      <c r="Y128" s="39">
        <f>IF(Data!$AC128="","",YEAR(Data!$AC128))</f>
        <v>2022</v>
      </c>
      <c r="Z128" s="39">
        <f>IF(Data!$AC128="","",MONTH(Data!$AC128))</f>
        <v>3</v>
      </c>
      <c r="AA128" s="64"/>
      <c r="AB128" s="39">
        <v>5226</v>
      </c>
      <c r="AC128" s="64">
        <v>44650</v>
      </c>
      <c r="AD128" s="637">
        <v>1380</v>
      </c>
      <c r="AE128" s="64"/>
      <c r="AF128" s="784"/>
      <c r="AH128" s="780"/>
      <c r="AI128" s="801">
        <v>1</v>
      </c>
      <c r="AJ128" s="801" t="s">
        <v>1013</v>
      </c>
      <c r="AK128" s="780"/>
      <c r="AL128" s="39"/>
      <c r="AM128" s="780"/>
      <c r="AN128" s="793"/>
      <c r="AO128" s="780"/>
      <c r="AP128" s="801"/>
      <c r="AQ128" s="780"/>
      <c r="AR128" s="802"/>
      <c r="AS128" s="780"/>
      <c r="AT128" s="803"/>
      <c r="AU128" s="803"/>
      <c r="AV128" s="804" t="str">
        <f t="shared" si="15"/>
        <v/>
      </c>
      <c r="AW128" s="847" t="str">
        <f>IFERROR(IF(tbl_DCFC[[#This Row],[F Montant HT]]="","",tbl_DCFC[[#This Row],[Marge]]/tbl_DCFC[[#This Row],[F Montant HT]]),"")</f>
        <v/>
      </c>
    </row>
    <row r="129" spans="1:49" s="437" customFormat="1" ht="15" customHeight="1" x14ac:dyDescent="0.3">
      <c r="A129" s="799">
        <v>44650</v>
      </c>
      <c r="B129" s="780" t="str">
        <f>IFERROR(INDEX(Tabelle2[BU],MATCH(tbl_DCFC[[#This Row],[Categorie]],CAT,0)),"")</f>
        <v/>
      </c>
      <c r="C129" s="806" t="str">
        <f t="shared" si="11"/>
        <v>S13</v>
      </c>
      <c r="D129" s="799">
        <v>44650</v>
      </c>
      <c r="E129" s="793"/>
      <c r="F129" s="793"/>
      <c r="G129" s="793" t="s">
        <v>841</v>
      </c>
      <c r="H129" s="793"/>
      <c r="I129" s="821"/>
      <c r="J129" s="793" t="s">
        <v>842</v>
      </c>
      <c r="K129" s="793"/>
      <c r="L129" s="855"/>
      <c r="M129" s="780"/>
      <c r="N129" s="437" t="str">
        <f t="shared" si="12"/>
        <v/>
      </c>
      <c r="O129" s="39" t="str">
        <f>IF(Data!$Q129="","",YEAR(Data!$Q129))</f>
        <v/>
      </c>
      <c r="P129" s="39" t="str">
        <f>IF(Data!$Q129="","",MONTH(Data!$Q129))</f>
        <v/>
      </c>
      <c r="Q129" s="64"/>
      <c r="R129" s="39" t="s">
        <v>1014</v>
      </c>
      <c r="S129" s="637"/>
      <c r="T129" s="39"/>
      <c r="U129" s="39"/>
      <c r="V129" s="780"/>
      <c r="W129" s="64"/>
      <c r="X129" s="39" t="str">
        <f t="shared" si="8"/>
        <v>S13</v>
      </c>
      <c r="Y129" s="39">
        <f>IF(Data!$AC129="","",YEAR(Data!$AC129))</f>
        <v>2022</v>
      </c>
      <c r="Z129" s="39">
        <f>IF(Data!$AC129="","",MONTH(Data!$AC129))</f>
        <v>3</v>
      </c>
      <c r="AA129" s="64"/>
      <c r="AB129" s="39">
        <v>5225</v>
      </c>
      <c r="AC129" s="64">
        <v>44650</v>
      </c>
      <c r="AD129" s="637">
        <v>1380</v>
      </c>
      <c r="AE129" s="64"/>
      <c r="AF129" s="784"/>
      <c r="AH129" s="780"/>
      <c r="AI129" s="801">
        <v>1</v>
      </c>
      <c r="AJ129" s="801" t="s">
        <v>1013</v>
      </c>
      <c r="AK129" s="780"/>
      <c r="AL129" s="39"/>
      <c r="AM129" s="780"/>
      <c r="AN129" s="793"/>
      <c r="AO129" s="780"/>
      <c r="AP129" s="801"/>
      <c r="AQ129" s="780"/>
      <c r="AR129" s="802"/>
      <c r="AS129" s="780"/>
      <c r="AT129" s="803"/>
      <c r="AU129" s="803"/>
      <c r="AV129" s="804" t="str">
        <f t="shared" si="15"/>
        <v/>
      </c>
      <c r="AW129" s="847" t="str">
        <f>IFERROR(IF(tbl_DCFC[[#This Row],[F Montant HT]]="","",tbl_DCFC[[#This Row],[Marge]]/tbl_DCFC[[#This Row],[F Montant HT]]),"")</f>
        <v/>
      </c>
    </row>
    <row r="130" spans="1:49" s="437" customFormat="1" ht="15" customHeight="1" x14ac:dyDescent="0.3">
      <c r="A130" s="799">
        <v>44650</v>
      </c>
      <c r="B130" s="780" t="str">
        <f>IFERROR(INDEX(Tabelle2[BU],MATCH(tbl_DCFC[[#This Row],[Categorie]],CAT,0)),"")</f>
        <v/>
      </c>
      <c r="C130" s="806" t="str">
        <f t="shared" si="11"/>
        <v>S13</v>
      </c>
      <c r="D130" s="799">
        <v>44650</v>
      </c>
      <c r="E130" s="793"/>
      <c r="F130" s="793"/>
      <c r="G130" s="793" t="s">
        <v>841</v>
      </c>
      <c r="H130" s="793"/>
      <c r="I130" s="821"/>
      <c r="J130" s="793" t="s">
        <v>842</v>
      </c>
      <c r="K130" s="793"/>
      <c r="L130" s="855"/>
      <c r="M130" s="780"/>
      <c r="N130" s="437" t="str">
        <f t="shared" si="12"/>
        <v/>
      </c>
      <c r="O130" s="39" t="str">
        <f>IF(Data!$Q130="","",YEAR(Data!$Q130))</f>
        <v/>
      </c>
      <c r="P130" s="39" t="str">
        <f>IF(Data!$Q130="","",MONTH(Data!$Q130))</f>
        <v/>
      </c>
      <c r="Q130" s="64"/>
      <c r="R130" s="39" t="s">
        <v>1011</v>
      </c>
      <c r="S130" s="637"/>
      <c r="T130" s="39"/>
      <c r="U130" s="39"/>
      <c r="V130" s="780"/>
      <c r="W130" s="64"/>
      <c r="X130" s="39" t="str">
        <f t="shared" si="8"/>
        <v>S13</v>
      </c>
      <c r="Y130" s="39">
        <f>IF(Data!$AC130="","",YEAR(Data!$AC130))</f>
        <v>2022</v>
      </c>
      <c r="Z130" s="39">
        <f>IF(Data!$AC130="","",MONTH(Data!$AC130))</f>
        <v>3</v>
      </c>
      <c r="AA130" s="64"/>
      <c r="AB130" s="39">
        <v>5224</v>
      </c>
      <c r="AC130" s="64">
        <v>44650</v>
      </c>
      <c r="AD130" s="637">
        <v>1380</v>
      </c>
      <c r="AE130" s="64"/>
      <c r="AF130" s="784"/>
      <c r="AH130" s="780"/>
      <c r="AI130" s="801">
        <v>1</v>
      </c>
      <c r="AJ130" s="801" t="s">
        <v>1013</v>
      </c>
      <c r="AK130" s="780"/>
      <c r="AL130" s="39"/>
      <c r="AM130" s="780"/>
      <c r="AN130" s="793"/>
      <c r="AO130" s="780"/>
      <c r="AP130" s="801"/>
      <c r="AQ130" s="780"/>
      <c r="AR130" s="802"/>
      <c r="AS130" s="780"/>
      <c r="AT130" s="803"/>
      <c r="AU130" s="803"/>
      <c r="AV130" s="804" t="str">
        <f t="shared" si="15"/>
        <v/>
      </c>
      <c r="AW130" s="847" t="str">
        <f>IFERROR(IF(tbl_DCFC[[#This Row],[F Montant HT]]="","",tbl_DCFC[[#This Row],[Marge]]/tbl_DCFC[[#This Row],[F Montant HT]]),"")</f>
        <v/>
      </c>
    </row>
    <row r="131" spans="1:49" s="437" customFormat="1" ht="15" customHeight="1" x14ac:dyDescent="0.3">
      <c r="A131" s="799">
        <v>44655</v>
      </c>
      <c r="B131" s="780" t="str">
        <f>IFERROR(INDEX(Tabelle2[BU],MATCH(tbl_DCFC[[#This Row],[Categorie]],CAT,0)),"")</f>
        <v>SER</v>
      </c>
      <c r="C131" s="806" t="str">
        <f t="shared" si="11"/>
        <v>S14</v>
      </c>
      <c r="D131" s="799">
        <v>44655</v>
      </c>
      <c r="E131" s="793">
        <v>4690</v>
      </c>
      <c r="F131" s="793" t="s">
        <v>382</v>
      </c>
      <c r="G131" s="793" t="s">
        <v>658</v>
      </c>
      <c r="H131" s="793"/>
      <c r="I131" s="821">
        <v>9360</v>
      </c>
      <c r="J131" s="793" t="s">
        <v>260</v>
      </c>
      <c r="K131" s="793" t="s">
        <v>574</v>
      </c>
      <c r="L131" s="855" t="s">
        <v>9</v>
      </c>
      <c r="M131" s="780"/>
      <c r="N131" s="437" t="str">
        <f t="shared" si="12"/>
        <v/>
      </c>
      <c r="O131" s="39" t="str">
        <f>IF(Data!$Q131="","",YEAR(Data!$Q131))</f>
        <v/>
      </c>
      <c r="P131" s="39" t="str">
        <f>IF(Data!$Q131="","",MONTH(Data!$Q131))</f>
        <v/>
      </c>
      <c r="Q131" s="64"/>
      <c r="R131" s="39"/>
      <c r="S131" s="637"/>
      <c r="T131" s="39"/>
      <c r="U131" s="39"/>
      <c r="V131" s="780"/>
      <c r="W131" s="64"/>
      <c r="X131" s="39" t="str">
        <f t="shared" ref="X131:X194" si="16">IF(AC131&lt;&gt;"","S"&amp;TEXT(WEEKNUM(AC131,21),"00"),"")</f>
        <v/>
      </c>
      <c r="Y131" s="39" t="str">
        <f>IF(Data!$AC131="","",YEAR(Data!$AC131))</f>
        <v/>
      </c>
      <c r="Z131" s="39" t="str">
        <f>IF(Data!$AC131="","",MONTH(Data!$AC131))</f>
        <v/>
      </c>
      <c r="AA131" s="64"/>
      <c r="AB131" s="39"/>
      <c r="AC131" s="64"/>
      <c r="AD131" s="637"/>
      <c r="AE131" s="64"/>
      <c r="AF131" s="784"/>
      <c r="AH131" s="780"/>
      <c r="AI131" s="801">
        <v>1</v>
      </c>
      <c r="AJ131" s="801" t="s">
        <v>738</v>
      </c>
      <c r="AK131" s="780"/>
      <c r="AL131" s="39" t="s">
        <v>1015</v>
      </c>
      <c r="AM131" s="780"/>
      <c r="AN131" s="793"/>
      <c r="AO131" s="780"/>
      <c r="AP131" s="801" t="s">
        <v>737</v>
      </c>
      <c r="AQ131" s="780"/>
      <c r="AR131" s="802"/>
      <c r="AS131" s="780"/>
      <c r="AT131" s="803"/>
      <c r="AU131" s="803"/>
      <c r="AV131" s="804" t="str">
        <f t="shared" si="15"/>
        <v/>
      </c>
      <c r="AW131" s="847" t="str">
        <f>IFERROR(IF(tbl_DCFC[[#This Row],[F Montant HT]]="","",tbl_DCFC[[#This Row],[Marge]]/tbl_DCFC[[#This Row],[F Montant HT]]),"")</f>
        <v/>
      </c>
    </row>
    <row r="132" spans="1:49" s="437" customFormat="1" ht="15" customHeight="1" x14ac:dyDescent="0.3">
      <c r="A132" s="799">
        <v>44609</v>
      </c>
      <c r="B132" s="780" t="str">
        <f>IFERROR(INDEX(Tabelle2[BU],MATCH(tbl_DCFC[[#This Row],[Categorie]],CAT,0)),"")</f>
        <v>SER</v>
      </c>
      <c r="C132" s="806" t="str">
        <f t="shared" si="11"/>
        <v>S07</v>
      </c>
      <c r="D132" s="799">
        <v>44609</v>
      </c>
      <c r="E132" s="793">
        <v>4734</v>
      </c>
      <c r="F132" s="793" t="s">
        <v>380</v>
      </c>
      <c r="G132" s="793" t="s">
        <v>383</v>
      </c>
      <c r="H132" s="793"/>
      <c r="I132" s="821">
        <v>385</v>
      </c>
      <c r="J132" s="793" t="s">
        <v>259</v>
      </c>
      <c r="K132" s="793" t="s">
        <v>574</v>
      </c>
      <c r="L132" s="855" t="s">
        <v>5</v>
      </c>
      <c r="M132" s="780"/>
      <c r="N132" s="437" t="str">
        <f t="shared" si="12"/>
        <v>S14</v>
      </c>
      <c r="O132" s="39">
        <f>IF(Data!$Q132="","",YEAR(Data!$Q132))</f>
        <v>2022</v>
      </c>
      <c r="P132" s="39">
        <f>IF(Data!$Q132="","",MONTH(Data!$Q132))</f>
        <v>4</v>
      </c>
      <c r="Q132" s="64">
        <v>44656</v>
      </c>
      <c r="R132" s="39" t="s">
        <v>922</v>
      </c>
      <c r="S132" s="637">
        <v>385</v>
      </c>
      <c r="T132" s="39"/>
      <c r="U132" s="39"/>
      <c r="V132" s="780"/>
      <c r="W132" s="64"/>
      <c r="X132" s="39" t="str">
        <f t="shared" si="16"/>
        <v>S15</v>
      </c>
      <c r="Y132" s="39">
        <f>IF(Data!$AC132="","",YEAR(Data!$AC132))</f>
        <v>2022</v>
      </c>
      <c r="Z132" s="39">
        <f>IF(Data!$AC132="","",MONTH(Data!$AC132))</f>
        <v>4</v>
      </c>
      <c r="AA132" s="64">
        <v>44657</v>
      </c>
      <c r="AB132" s="39">
        <v>5232</v>
      </c>
      <c r="AC132" s="64">
        <v>44662</v>
      </c>
      <c r="AD132" s="637">
        <v>385</v>
      </c>
      <c r="AE132" s="64">
        <v>44659</v>
      </c>
      <c r="AF132" s="784"/>
      <c r="AH132" s="780"/>
      <c r="AI132" s="801">
        <v>1</v>
      </c>
      <c r="AJ132" s="801" t="s">
        <v>1017</v>
      </c>
      <c r="AK132" s="780"/>
      <c r="AL132" s="39"/>
      <c r="AM132" s="780"/>
      <c r="AN132" s="793"/>
      <c r="AO132" s="780"/>
      <c r="AP132" s="801" t="s">
        <v>917</v>
      </c>
      <c r="AQ132" s="780"/>
      <c r="AR132" s="802"/>
      <c r="AS132" s="780"/>
      <c r="AT132" s="803">
        <v>72</v>
      </c>
      <c r="AU132" s="803">
        <v>35</v>
      </c>
      <c r="AV132" s="804">
        <f t="shared" si="15"/>
        <v>278</v>
      </c>
      <c r="AW132" s="847">
        <f>IFERROR(IF(tbl_DCFC[[#This Row],[F Montant HT]]="","",tbl_DCFC[[#This Row],[Marge]]/tbl_DCFC[[#This Row],[F Montant HT]]),"")</f>
        <v>0.7220779220779221</v>
      </c>
    </row>
    <row r="133" spans="1:49" s="437" customFormat="1" ht="15" customHeight="1" x14ac:dyDescent="0.3">
      <c r="A133" s="799">
        <v>44656</v>
      </c>
      <c r="B133" s="780" t="str">
        <f>IFERROR(INDEX(Tabelle2[BU],MATCH(tbl_DCFC[[#This Row],[Categorie]],CAT,0)),"")</f>
        <v>SER</v>
      </c>
      <c r="C133" s="806" t="str">
        <f t="shared" si="11"/>
        <v>S14</v>
      </c>
      <c r="D133" s="799">
        <v>44656</v>
      </c>
      <c r="E133" s="793">
        <v>4690</v>
      </c>
      <c r="F133" s="793" t="s">
        <v>796</v>
      </c>
      <c r="G133" s="793" t="s">
        <v>658</v>
      </c>
      <c r="H133" s="793"/>
      <c r="I133" s="821">
        <v>9173</v>
      </c>
      <c r="J133" s="793" t="s">
        <v>260</v>
      </c>
      <c r="K133" s="793" t="s">
        <v>574</v>
      </c>
      <c r="L133" s="855" t="s">
        <v>5</v>
      </c>
      <c r="M133" s="780"/>
      <c r="N133" s="437" t="str">
        <f t="shared" si="12"/>
        <v>S14</v>
      </c>
      <c r="O133" s="437">
        <f>IF(Data!$Q133="","",YEAR(Data!$Q133))</f>
        <v>2022</v>
      </c>
      <c r="P133" s="437">
        <f>IF(Data!$Q133="","",MONTH(Data!$Q133))</f>
        <v>4</v>
      </c>
      <c r="Q133" s="390">
        <v>44656</v>
      </c>
      <c r="R133" s="437" t="s">
        <v>1018</v>
      </c>
      <c r="S133" s="438">
        <v>9173</v>
      </c>
      <c r="V133" s="780"/>
      <c r="W133" s="390"/>
      <c r="X133" s="437" t="str">
        <f t="shared" si="16"/>
        <v>S14</v>
      </c>
      <c r="Y133" s="437">
        <f>IF(Data!$AC133="","",YEAR(Data!$AC133))</f>
        <v>2022</v>
      </c>
      <c r="Z133" s="437">
        <f>IF(Data!$AC133="","",MONTH(Data!$AC133))</f>
        <v>4</v>
      </c>
      <c r="AA133" s="390"/>
      <c r="AB133" s="437">
        <v>5228</v>
      </c>
      <c r="AC133" s="390">
        <v>44657</v>
      </c>
      <c r="AD133" s="438">
        <v>9173</v>
      </c>
      <c r="AE133" s="390">
        <v>44722</v>
      </c>
      <c r="AF133" s="784"/>
      <c r="AH133" s="780"/>
      <c r="AI133" s="801">
        <v>1</v>
      </c>
      <c r="AJ133" s="801" t="s">
        <v>738</v>
      </c>
      <c r="AK133" s="780"/>
      <c r="AL133" s="39" t="s">
        <v>1019</v>
      </c>
      <c r="AM133" s="780"/>
      <c r="AN133" s="793"/>
      <c r="AO133" s="780"/>
      <c r="AP133" s="801" t="s">
        <v>737</v>
      </c>
      <c r="AQ133" s="780"/>
      <c r="AR133" s="802"/>
      <c r="AS133" s="780"/>
      <c r="AT133" s="803"/>
      <c r="AU133" s="803"/>
      <c r="AV133" s="804" t="str">
        <f t="shared" si="15"/>
        <v/>
      </c>
      <c r="AW133" s="847" t="str">
        <f>IFERROR(IF(tbl_DCFC[[#This Row],[F Montant HT]]="","",tbl_DCFC[[#This Row],[Marge]]/tbl_DCFC[[#This Row],[F Montant HT]]),"")</f>
        <v/>
      </c>
    </row>
    <row r="134" spans="1:49" s="437" customFormat="1" ht="15" customHeight="1" x14ac:dyDescent="0.3">
      <c r="A134" s="799"/>
      <c r="B134" s="780"/>
      <c r="C134" s="806"/>
      <c r="D134" s="799"/>
      <c r="E134" s="793"/>
      <c r="F134" s="793"/>
      <c r="G134" s="793"/>
      <c r="H134" s="793"/>
      <c r="I134" s="821"/>
      <c r="J134" s="793"/>
      <c r="K134" s="793"/>
      <c r="L134" s="855"/>
      <c r="M134" s="780"/>
      <c r="Q134" s="390"/>
      <c r="S134" s="438"/>
      <c r="V134" s="780"/>
      <c r="W134" s="390"/>
      <c r="AA134" s="390"/>
      <c r="AC134" s="390"/>
      <c r="AD134" s="438"/>
      <c r="AE134" s="390"/>
      <c r="AF134" s="784"/>
      <c r="AH134" s="780"/>
      <c r="AI134" s="801"/>
      <c r="AJ134" s="801"/>
      <c r="AK134" s="780"/>
      <c r="AL134" s="39"/>
      <c r="AM134" s="780"/>
      <c r="AN134" s="793"/>
      <c r="AO134" s="780"/>
      <c r="AP134" s="801"/>
      <c r="AQ134" s="780"/>
      <c r="AR134" s="802"/>
      <c r="AS134" s="780"/>
      <c r="AT134" s="803"/>
      <c r="AU134" s="803"/>
      <c r="AV134" s="804"/>
      <c r="AW134" s="847"/>
    </row>
    <row r="135" spans="1:49" s="437" customFormat="1" ht="15" customHeight="1" x14ac:dyDescent="0.3">
      <c r="A135" s="799"/>
      <c r="B135" s="780"/>
      <c r="C135" s="806"/>
      <c r="D135" s="799"/>
      <c r="E135" s="793"/>
      <c r="F135" s="793"/>
      <c r="G135" s="793"/>
      <c r="H135" s="793"/>
      <c r="I135" s="821"/>
      <c r="J135" s="793"/>
      <c r="K135" s="793"/>
      <c r="L135" s="855"/>
      <c r="M135" s="780"/>
      <c r="Q135" s="390"/>
      <c r="S135" s="438"/>
      <c r="V135" s="780"/>
      <c r="W135" s="390"/>
      <c r="AA135" s="390"/>
      <c r="AC135" s="390"/>
      <c r="AD135" s="438"/>
      <c r="AE135" s="390"/>
      <c r="AF135" s="784"/>
      <c r="AH135" s="780"/>
      <c r="AI135" s="801"/>
      <c r="AJ135" s="801"/>
      <c r="AK135" s="780"/>
      <c r="AL135" s="39"/>
      <c r="AM135" s="780"/>
      <c r="AN135" s="793"/>
      <c r="AO135" s="780"/>
      <c r="AP135" s="801"/>
      <c r="AQ135" s="780"/>
      <c r="AR135" s="802"/>
      <c r="AS135" s="780"/>
      <c r="AT135" s="803"/>
      <c r="AU135" s="803"/>
      <c r="AV135" s="804"/>
      <c r="AW135" s="847"/>
    </row>
    <row r="136" spans="1:49" s="437" customFormat="1" ht="15" customHeight="1" x14ac:dyDescent="0.3">
      <c r="A136" s="799"/>
      <c r="B136" s="780"/>
      <c r="C136" s="806"/>
      <c r="D136" s="799"/>
      <c r="E136" s="793"/>
      <c r="F136" s="793"/>
      <c r="G136" s="793"/>
      <c r="H136" s="793"/>
      <c r="I136" s="821"/>
      <c r="J136" s="793"/>
      <c r="K136" s="793"/>
      <c r="L136" s="855"/>
      <c r="M136" s="780"/>
      <c r="Q136" s="390"/>
      <c r="S136" s="438"/>
      <c r="V136" s="780"/>
      <c r="W136" s="390"/>
      <c r="AA136" s="390"/>
      <c r="AC136" s="390"/>
      <c r="AD136" s="438"/>
      <c r="AE136" s="390"/>
      <c r="AF136" s="784"/>
      <c r="AH136" s="780"/>
      <c r="AI136" s="801"/>
      <c r="AJ136" s="801"/>
      <c r="AK136" s="780"/>
      <c r="AL136" s="39"/>
      <c r="AM136" s="780"/>
      <c r="AN136" s="793"/>
      <c r="AO136" s="780"/>
      <c r="AP136" s="801"/>
      <c r="AQ136" s="780"/>
      <c r="AR136" s="802"/>
      <c r="AS136" s="780"/>
      <c r="AT136" s="803"/>
      <c r="AU136" s="803"/>
      <c r="AV136" s="804"/>
      <c r="AW136" s="847"/>
    </row>
    <row r="137" spans="1:49" s="437" customFormat="1" ht="15" customHeight="1" x14ac:dyDescent="0.3">
      <c r="A137" s="799"/>
      <c r="B137" s="780"/>
      <c r="C137" s="806"/>
      <c r="D137" s="799"/>
      <c r="E137" s="793"/>
      <c r="F137" s="793"/>
      <c r="G137" s="793"/>
      <c r="H137" s="793"/>
      <c r="I137" s="821"/>
      <c r="J137" s="793"/>
      <c r="K137" s="793"/>
      <c r="L137" s="855"/>
      <c r="M137" s="780"/>
      <c r="Q137" s="390"/>
      <c r="S137" s="438"/>
      <c r="V137" s="780"/>
      <c r="W137" s="390"/>
      <c r="AA137" s="390"/>
      <c r="AC137" s="390"/>
      <c r="AD137" s="438"/>
      <c r="AE137" s="390"/>
      <c r="AF137" s="784"/>
      <c r="AH137" s="780"/>
      <c r="AI137" s="801"/>
      <c r="AJ137" s="801"/>
      <c r="AK137" s="780"/>
      <c r="AL137" s="39"/>
      <c r="AM137" s="780"/>
      <c r="AN137" s="793"/>
      <c r="AO137" s="780"/>
      <c r="AP137" s="801"/>
      <c r="AQ137" s="780"/>
      <c r="AR137" s="802"/>
      <c r="AS137" s="780"/>
      <c r="AT137" s="803"/>
      <c r="AU137" s="803"/>
      <c r="AV137" s="804"/>
      <c r="AW137" s="847"/>
    </row>
    <row r="138" spans="1:49" s="437" customFormat="1" ht="15" customHeight="1" x14ac:dyDescent="0.3">
      <c r="A138" s="799"/>
      <c r="B138" s="780"/>
      <c r="C138" s="806"/>
      <c r="D138" s="799"/>
      <c r="E138" s="793"/>
      <c r="F138" s="793"/>
      <c r="G138" s="793"/>
      <c r="H138" s="793"/>
      <c r="I138" s="821"/>
      <c r="J138" s="793"/>
      <c r="K138" s="793"/>
      <c r="L138" s="855"/>
      <c r="M138" s="780"/>
      <c r="Q138" s="390"/>
      <c r="S138" s="438"/>
      <c r="V138" s="780"/>
      <c r="W138" s="390"/>
      <c r="AA138" s="390"/>
      <c r="AC138" s="390"/>
      <c r="AD138" s="438"/>
      <c r="AE138" s="390"/>
      <c r="AF138" s="784"/>
      <c r="AH138" s="780"/>
      <c r="AI138" s="801"/>
      <c r="AJ138" s="801"/>
      <c r="AK138" s="780"/>
      <c r="AL138" s="39"/>
      <c r="AM138" s="780"/>
      <c r="AN138" s="793"/>
      <c r="AO138" s="780"/>
      <c r="AP138" s="801"/>
      <c r="AQ138" s="780"/>
      <c r="AR138" s="802"/>
      <c r="AS138" s="780"/>
      <c r="AT138" s="803"/>
      <c r="AU138" s="803"/>
      <c r="AV138" s="804"/>
      <c r="AW138" s="847"/>
    </row>
    <row r="139" spans="1:49" s="437" customFormat="1" ht="15" customHeight="1" x14ac:dyDescent="0.3">
      <c r="A139" s="799"/>
      <c r="B139" s="780"/>
      <c r="C139" s="806"/>
      <c r="D139" s="799"/>
      <c r="E139" s="793"/>
      <c r="F139" s="793"/>
      <c r="G139" s="793"/>
      <c r="H139" s="793"/>
      <c r="I139" s="821"/>
      <c r="J139" s="793"/>
      <c r="K139" s="793"/>
      <c r="L139" s="855"/>
      <c r="M139" s="780"/>
      <c r="Q139" s="390"/>
      <c r="S139" s="438"/>
      <c r="V139" s="780"/>
      <c r="W139" s="390"/>
      <c r="AA139" s="390"/>
      <c r="AC139" s="390"/>
      <c r="AD139" s="438"/>
      <c r="AE139" s="390"/>
      <c r="AF139" s="784"/>
      <c r="AH139" s="780"/>
      <c r="AI139" s="801"/>
      <c r="AJ139" s="801"/>
      <c r="AK139" s="780"/>
      <c r="AL139" s="39"/>
      <c r="AM139" s="780"/>
      <c r="AN139" s="793"/>
      <c r="AO139" s="780"/>
      <c r="AP139" s="801"/>
      <c r="AQ139" s="780"/>
      <c r="AR139" s="802"/>
      <c r="AS139" s="780"/>
      <c r="AT139" s="803"/>
      <c r="AU139" s="803"/>
      <c r="AV139" s="804"/>
      <c r="AW139" s="847"/>
    </row>
    <row r="140" spans="1:49" s="437" customFormat="1" ht="15" customHeight="1" x14ac:dyDescent="0.3">
      <c r="A140" s="799"/>
      <c r="B140" s="780"/>
      <c r="C140" s="806"/>
      <c r="D140" s="799"/>
      <c r="E140" s="793"/>
      <c r="F140" s="793"/>
      <c r="G140" s="793"/>
      <c r="H140" s="793"/>
      <c r="I140" s="821"/>
      <c r="J140" s="793"/>
      <c r="K140" s="793"/>
      <c r="L140" s="855"/>
      <c r="M140" s="780"/>
      <c r="Q140" s="390"/>
      <c r="S140" s="438"/>
      <c r="V140" s="780"/>
      <c r="W140" s="390"/>
      <c r="AA140" s="390"/>
      <c r="AC140" s="390"/>
      <c r="AD140" s="438"/>
      <c r="AE140" s="390"/>
      <c r="AF140" s="784"/>
      <c r="AH140" s="780"/>
      <c r="AI140" s="801"/>
      <c r="AJ140" s="801"/>
      <c r="AK140" s="780"/>
      <c r="AL140" s="39"/>
      <c r="AM140" s="780"/>
      <c r="AN140" s="793"/>
      <c r="AO140" s="780"/>
      <c r="AP140" s="801"/>
      <c r="AQ140" s="780"/>
      <c r="AR140" s="802"/>
      <c r="AS140" s="780"/>
      <c r="AT140" s="803"/>
      <c r="AU140" s="803"/>
      <c r="AV140" s="804"/>
      <c r="AW140" s="847"/>
    </row>
    <row r="141" spans="1:49" s="437" customFormat="1" ht="15" customHeight="1" x14ac:dyDescent="0.3">
      <c r="A141" s="799"/>
      <c r="B141" s="780"/>
      <c r="C141" s="806"/>
      <c r="D141" s="799"/>
      <c r="E141" s="793"/>
      <c r="F141" s="793"/>
      <c r="G141" s="793"/>
      <c r="H141" s="793"/>
      <c r="I141" s="821"/>
      <c r="J141" s="793"/>
      <c r="K141" s="793"/>
      <c r="L141" s="855"/>
      <c r="M141" s="780"/>
      <c r="Q141" s="390"/>
      <c r="S141" s="438"/>
      <c r="V141" s="780"/>
      <c r="W141" s="390"/>
      <c r="AA141" s="390"/>
      <c r="AC141" s="390"/>
      <c r="AD141" s="438"/>
      <c r="AE141" s="390"/>
      <c r="AF141" s="784"/>
      <c r="AH141" s="780"/>
      <c r="AI141" s="801"/>
      <c r="AJ141" s="801"/>
      <c r="AK141" s="780"/>
      <c r="AL141" s="39"/>
      <c r="AM141" s="780"/>
      <c r="AN141" s="793"/>
      <c r="AO141" s="780"/>
      <c r="AP141" s="801"/>
      <c r="AQ141" s="780"/>
      <c r="AR141" s="802"/>
      <c r="AS141" s="780"/>
      <c r="AT141" s="803"/>
      <c r="AU141" s="803"/>
      <c r="AV141" s="804"/>
      <c r="AW141" s="847"/>
    </row>
    <row r="142" spans="1:49" s="437" customFormat="1" ht="15" customHeight="1" x14ac:dyDescent="0.3">
      <c r="A142" s="799"/>
      <c r="B142" s="780"/>
      <c r="C142" s="806"/>
      <c r="D142" s="799"/>
      <c r="E142" s="793"/>
      <c r="F142" s="793"/>
      <c r="G142" s="793"/>
      <c r="H142" s="793"/>
      <c r="I142" s="821"/>
      <c r="J142" s="793"/>
      <c r="K142" s="793"/>
      <c r="L142" s="855"/>
      <c r="M142" s="780"/>
      <c r="Q142" s="390"/>
      <c r="S142" s="438"/>
      <c r="V142" s="780"/>
      <c r="W142" s="390"/>
      <c r="AA142" s="390"/>
      <c r="AC142" s="390"/>
      <c r="AD142" s="438"/>
      <c r="AE142" s="390"/>
      <c r="AF142" s="784"/>
      <c r="AH142" s="780"/>
      <c r="AI142" s="801"/>
      <c r="AJ142" s="801"/>
      <c r="AK142" s="780"/>
      <c r="AL142" s="39"/>
      <c r="AM142" s="780"/>
      <c r="AN142" s="793"/>
      <c r="AO142" s="780"/>
      <c r="AP142" s="801"/>
      <c r="AQ142" s="780"/>
      <c r="AR142" s="802"/>
      <c r="AS142" s="780"/>
      <c r="AT142" s="803"/>
      <c r="AU142" s="803"/>
      <c r="AV142" s="804"/>
      <c r="AW142" s="847"/>
    </row>
    <row r="143" spans="1:49" s="437" customFormat="1" ht="15" customHeight="1" x14ac:dyDescent="0.3">
      <c r="A143" s="799"/>
      <c r="B143" s="780"/>
      <c r="C143" s="806"/>
      <c r="D143" s="799"/>
      <c r="E143" s="793"/>
      <c r="F143" s="793"/>
      <c r="G143" s="793"/>
      <c r="H143" s="793"/>
      <c r="I143" s="821"/>
      <c r="J143" s="793"/>
      <c r="K143" s="793"/>
      <c r="L143" s="855"/>
      <c r="M143" s="780"/>
      <c r="Q143" s="390"/>
      <c r="S143" s="438"/>
      <c r="V143" s="780"/>
      <c r="W143" s="390"/>
      <c r="AA143" s="390"/>
      <c r="AC143" s="390"/>
      <c r="AD143" s="438"/>
      <c r="AE143" s="390"/>
      <c r="AF143" s="784"/>
      <c r="AH143" s="780"/>
      <c r="AI143" s="801"/>
      <c r="AJ143" s="801"/>
      <c r="AK143" s="780"/>
      <c r="AL143" s="39"/>
      <c r="AM143" s="780"/>
      <c r="AN143" s="793"/>
      <c r="AO143" s="780"/>
      <c r="AP143" s="801"/>
      <c r="AQ143" s="780"/>
      <c r="AR143" s="802"/>
      <c r="AS143" s="780"/>
      <c r="AT143" s="803"/>
      <c r="AU143" s="803"/>
      <c r="AV143" s="804"/>
      <c r="AW143" s="847"/>
    </row>
    <row r="144" spans="1:49" s="437" customFormat="1" ht="15" customHeight="1" x14ac:dyDescent="0.3">
      <c r="A144" s="799"/>
      <c r="B144" s="780"/>
      <c r="C144" s="806"/>
      <c r="D144" s="799"/>
      <c r="E144" s="793"/>
      <c r="F144" s="793"/>
      <c r="G144" s="793"/>
      <c r="H144" s="793"/>
      <c r="I144" s="821"/>
      <c r="J144" s="793"/>
      <c r="K144" s="793"/>
      <c r="L144" s="855"/>
      <c r="M144" s="780"/>
      <c r="Q144" s="390"/>
      <c r="S144" s="438"/>
      <c r="V144" s="780"/>
      <c r="W144" s="390"/>
      <c r="AA144" s="390"/>
      <c r="AC144" s="390"/>
      <c r="AD144" s="438"/>
      <c r="AE144" s="390"/>
      <c r="AF144" s="784"/>
      <c r="AH144" s="780"/>
      <c r="AI144" s="801"/>
      <c r="AJ144" s="801"/>
      <c r="AK144" s="780"/>
      <c r="AL144" s="39"/>
      <c r="AM144" s="780"/>
      <c r="AN144" s="793"/>
      <c r="AO144" s="780"/>
      <c r="AP144" s="801"/>
      <c r="AQ144" s="780"/>
      <c r="AR144" s="802"/>
      <c r="AS144" s="780"/>
      <c r="AT144" s="803"/>
      <c r="AU144" s="803"/>
      <c r="AV144" s="804"/>
      <c r="AW144" s="847"/>
    </row>
    <row r="145" spans="1:49" s="437" customFormat="1" ht="15" customHeight="1" x14ac:dyDescent="0.3">
      <c r="A145" s="799"/>
      <c r="B145" s="780"/>
      <c r="C145" s="806"/>
      <c r="D145" s="799"/>
      <c r="E145" s="793"/>
      <c r="F145" s="793"/>
      <c r="G145" s="793"/>
      <c r="H145" s="793"/>
      <c r="I145" s="821"/>
      <c r="J145" s="793"/>
      <c r="K145" s="793"/>
      <c r="L145" s="855"/>
      <c r="M145" s="780"/>
      <c r="Q145" s="390"/>
      <c r="S145" s="438"/>
      <c r="V145" s="780"/>
      <c r="W145" s="390"/>
      <c r="AA145" s="390"/>
      <c r="AC145" s="390"/>
      <c r="AD145" s="438"/>
      <c r="AE145" s="390"/>
      <c r="AF145" s="784"/>
      <c r="AH145" s="780"/>
      <c r="AI145" s="801"/>
      <c r="AJ145" s="801"/>
      <c r="AK145" s="780"/>
      <c r="AL145" s="39"/>
      <c r="AM145" s="780"/>
      <c r="AN145" s="793"/>
      <c r="AO145" s="780"/>
      <c r="AP145" s="801"/>
      <c r="AQ145" s="780"/>
      <c r="AR145" s="802"/>
      <c r="AS145" s="780"/>
      <c r="AT145" s="803"/>
      <c r="AU145" s="803"/>
      <c r="AV145" s="804"/>
      <c r="AW145" s="847"/>
    </row>
    <row r="146" spans="1:49" s="437" customFormat="1" ht="15" customHeight="1" x14ac:dyDescent="0.3">
      <c r="A146" s="799"/>
      <c r="B146" s="780"/>
      <c r="C146" s="806"/>
      <c r="D146" s="799"/>
      <c r="E146" s="793"/>
      <c r="F146" s="793"/>
      <c r="G146" s="793"/>
      <c r="H146" s="793"/>
      <c r="I146" s="821"/>
      <c r="J146" s="793"/>
      <c r="K146" s="793"/>
      <c r="L146" s="855"/>
      <c r="M146" s="780"/>
      <c r="Q146" s="390"/>
      <c r="S146" s="438"/>
      <c r="V146" s="780"/>
      <c r="W146" s="390"/>
      <c r="AA146" s="390"/>
      <c r="AC146" s="390"/>
      <c r="AD146" s="438"/>
      <c r="AE146" s="390"/>
      <c r="AF146" s="784"/>
      <c r="AH146" s="780"/>
      <c r="AI146" s="801"/>
      <c r="AJ146" s="801"/>
      <c r="AK146" s="780"/>
      <c r="AL146" s="39"/>
      <c r="AM146" s="780"/>
      <c r="AN146" s="793"/>
      <c r="AO146" s="780"/>
      <c r="AP146" s="801"/>
      <c r="AQ146" s="780"/>
      <c r="AR146" s="802"/>
      <c r="AS146" s="780"/>
      <c r="AT146" s="803"/>
      <c r="AU146" s="803"/>
      <c r="AV146" s="804"/>
      <c r="AW146" s="847"/>
    </row>
    <row r="147" spans="1:49" s="437" customFormat="1" ht="15" customHeight="1" x14ac:dyDescent="0.3">
      <c r="A147" s="799"/>
      <c r="B147" s="780"/>
      <c r="C147" s="806"/>
      <c r="D147" s="799"/>
      <c r="E147" s="793"/>
      <c r="F147" s="793"/>
      <c r="G147" s="793"/>
      <c r="H147" s="793"/>
      <c r="I147" s="821"/>
      <c r="J147" s="793"/>
      <c r="K147" s="793"/>
      <c r="L147" s="855"/>
      <c r="M147" s="780"/>
      <c r="Q147" s="390"/>
      <c r="S147" s="438"/>
      <c r="V147" s="780"/>
      <c r="W147" s="390"/>
      <c r="AA147" s="390"/>
      <c r="AC147" s="390"/>
      <c r="AD147" s="438"/>
      <c r="AE147" s="390"/>
      <c r="AF147" s="784"/>
      <c r="AH147" s="780"/>
      <c r="AI147" s="801"/>
      <c r="AJ147" s="801"/>
      <c r="AK147" s="780"/>
      <c r="AL147" s="39"/>
      <c r="AM147" s="780"/>
      <c r="AN147" s="793"/>
      <c r="AO147" s="780"/>
      <c r="AP147" s="801"/>
      <c r="AQ147" s="780"/>
      <c r="AR147" s="802"/>
      <c r="AS147" s="780"/>
      <c r="AT147" s="803"/>
      <c r="AU147" s="803"/>
      <c r="AV147" s="804"/>
      <c r="AW147" s="847"/>
    </row>
    <row r="148" spans="1:49" s="437" customFormat="1" ht="15" customHeight="1" x14ac:dyDescent="0.3">
      <c r="A148" s="799"/>
      <c r="B148" s="780"/>
      <c r="C148" s="806"/>
      <c r="D148" s="799"/>
      <c r="E148" s="793"/>
      <c r="F148" s="793"/>
      <c r="G148" s="793"/>
      <c r="H148" s="793"/>
      <c r="I148" s="821"/>
      <c r="J148" s="793"/>
      <c r="K148" s="793"/>
      <c r="L148" s="855"/>
      <c r="M148" s="780"/>
      <c r="Q148" s="390"/>
      <c r="S148" s="438"/>
      <c r="V148" s="780"/>
      <c r="W148" s="390"/>
      <c r="AA148" s="390"/>
      <c r="AC148" s="390"/>
      <c r="AD148" s="438"/>
      <c r="AE148" s="390"/>
      <c r="AF148" s="784"/>
      <c r="AH148" s="780"/>
      <c r="AI148" s="801"/>
      <c r="AJ148" s="801"/>
      <c r="AK148" s="780"/>
      <c r="AL148" s="39"/>
      <c r="AM148" s="780"/>
      <c r="AN148" s="793"/>
      <c r="AO148" s="780"/>
      <c r="AP148" s="801"/>
      <c r="AQ148" s="780"/>
      <c r="AR148" s="802"/>
      <c r="AS148" s="780"/>
      <c r="AT148" s="803"/>
      <c r="AU148" s="803"/>
      <c r="AV148" s="804"/>
      <c r="AW148" s="847"/>
    </row>
    <row r="149" spans="1:49" s="437" customFormat="1" ht="15" customHeight="1" x14ac:dyDescent="0.3">
      <c r="A149" s="799"/>
      <c r="B149" s="780"/>
      <c r="C149" s="806"/>
      <c r="D149" s="799"/>
      <c r="E149" s="793"/>
      <c r="F149" s="793"/>
      <c r="G149" s="793"/>
      <c r="H149" s="793"/>
      <c r="I149" s="821"/>
      <c r="J149" s="793"/>
      <c r="K149" s="793"/>
      <c r="L149" s="855"/>
      <c r="M149" s="780"/>
      <c r="Q149" s="390"/>
      <c r="S149" s="438"/>
      <c r="V149" s="780"/>
      <c r="W149" s="390"/>
      <c r="AA149" s="390"/>
      <c r="AC149" s="390"/>
      <c r="AD149" s="438"/>
      <c r="AE149" s="390"/>
      <c r="AF149" s="784"/>
      <c r="AH149" s="780"/>
      <c r="AI149" s="801"/>
      <c r="AJ149" s="801"/>
      <c r="AK149" s="780"/>
      <c r="AL149" s="39"/>
      <c r="AM149" s="780"/>
      <c r="AN149" s="793"/>
      <c r="AO149" s="780"/>
      <c r="AP149" s="801"/>
      <c r="AQ149" s="780"/>
      <c r="AR149" s="802"/>
      <c r="AS149" s="780"/>
      <c r="AT149" s="803"/>
      <c r="AU149" s="803"/>
      <c r="AV149" s="804"/>
      <c r="AW149" s="847"/>
    </row>
    <row r="150" spans="1:49" s="437" customFormat="1" ht="15" customHeight="1" x14ac:dyDescent="0.3">
      <c r="A150" s="799"/>
      <c r="B150" s="780"/>
      <c r="C150" s="806"/>
      <c r="D150" s="799"/>
      <c r="E150" s="793"/>
      <c r="F150" s="793"/>
      <c r="G150" s="793"/>
      <c r="H150" s="793"/>
      <c r="I150" s="821"/>
      <c r="J150" s="793"/>
      <c r="K150" s="793"/>
      <c r="L150" s="855"/>
      <c r="M150" s="780"/>
      <c r="Q150" s="390"/>
      <c r="S150" s="438"/>
      <c r="V150" s="780"/>
      <c r="W150" s="390"/>
      <c r="AA150" s="390"/>
      <c r="AC150" s="390"/>
      <c r="AD150" s="438"/>
      <c r="AE150" s="390"/>
      <c r="AF150" s="784"/>
      <c r="AH150" s="780"/>
      <c r="AI150" s="801"/>
      <c r="AJ150" s="801"/>
      <c r="AK150" s="780"/>
      <c r="AL150" s="39"/>
      <c r="AM150" s="780"/>
      <c r="AN150" s="793"/>
      <c r="AO150" s="780"/>
      <c r="AP150" s="801"/>
      <c r="AQ150" s="780"/>
      <c r="AR150" s="802"/>
      <c r="AS150" s="780"/>
      <c r="AT150" s="803"/>
      <c r="AU150" s="803"/>
      <c r="AV150" s="804"/>
      <c r="AW150" s="847"/>
    </row>
    <row r="151" spans="1:49" s="437" customFormat="1" ht="15" customHeight="1" x14ac:dyDescent="0.3">
      <c r="A151" s="799"/>
      <c r="B151" s="780"/>
      <c r="C151" s="806"/>
      <c r="D151" s="799"/>
      <c r="E151" s="793"/>
      <c r="F151" s="793"/>
      <c r="G151" s="793"/>
      <c r="H151" s="793"/>
      <c r="I151" s="821"/>
      <c r="J151" s="793"/>
      <c r="K151" s="793"/>
      <c r="L151" s="855"/>
      <c r="M151" s="780"/>
      <c r="Q151" s="390"/>
      <c r="S151" s="438"/>
      <c r="V151" s="780"/>
      <c r="W151" s="390"/>
      <c r="AA151" s="390"/>
      <c r="AC151" s="390"/>
      <c r="AD151" s="438"/>
      <c r="AE151" s="390"/>
      <c r="AF151" s="784"/>
      <c r="AH151" s="780"/>
      <c r="AI151" s="801"/>
      <c r="AJ151" s="801"/>
      <c r="AK151" s="780"/>
      <c r="AL151" s="39"/>
      <c r="AM151" s="780"/>
      <c r="AN151" s="793"/>
      <c r="AO151" s="780"/>
      <c r="AP151" s="801"/>
      <c r="AQ151" s="780"/>
      <c r="AR151" s="802"/>
      <c r="AS151" s="780"/>
      <c r="AT151" s="803"/>
      <c r="AU151" s="803"/>
      <c r="AV151" s="804"/>
      <c r="AW151" s="847"/>
    </row>
    <row r="152" spans="1:49" s="437" customFormat="1" ht="15" customHeight="1" x14ac:dyDescent="0.3">
      <c r="A152" s="799"/>
      <c r="B152" s="780"/>
      <c r="C152" s="806"/>
      <c r="D152" s="799"/>
      <c r="E152" s="793"/>
      <c r="F152" s="793"/>
      <c r="G152" s="793"/>
      <c r="H152" s="793"/>
      <c r="I152" s="821"/>
      <c r="J152" s="793"/>
      <c r="K152" s="793"/>
      <c r="L152" s="855"/>
      <c r="M152" s="780"/>
      <c r="Q152" s="390"/>
      <c r="S152" s="438"/>
      <c r="V152" s="780"/>
      <c r="W152" s="390"/>
      <c r="AA152" s="390"/>
      <c r="AC152" s="390"/>
      <c r="AD152" s="438"/>
      <c r="AE152" s="390"/>
      <c r="AF152" s="784"/>
      <c r="AH152" s="780"/>
      <c r="AI152" s="801"/>
      <c r="AJ152" s="801"/>
      <c r="AK152" s="780"/>
      <c r="AL152" s="39"/>
      <c r="AM152" s="780"/>
      <c r="AN152" s="793"/>
      <c r="AO152" s="780"/>
      <c r="AP152" s="801"/>
      <c r="AQ152" s="780"/>
      <c r="AR152" s="802"/>
      <c r="AS152" s="780"/>
      <c r="AT152" s="803"/>
      <c r="AU152" s="803"/>
      <c r="AV152" s="804"/>
      <c r="AW152" s="847"/>
    </row>
    <row r="153" spans="1:49" s="437" customFormat="1" ht="15" customHeight="1" x14ac:dyDescent="0.3">
      <c r="A153" s="799"/>
      <c r="B153" s="780"/>
      <c r="C153" s="806"/>
      <c r="D153" s="799"/>
      <c r="E153" s="793"/>
      <c r="F153" s="793"/>
      <c r="G153" s="793"/>
      <c r="H153" s="793"/>
      <c r="I153" s="821"/>
      <c r="J153" s="793"/>
      <c r="K153" s="793"/>
      <c r="L153" s="855"/>
      <c r="M153" s="780"/>
      <c r="Q153" s="390"/>
      <c r="S153" s="438"/>
      <c r="V153" s="780"/>
      <c r="W153" s="390"/>
      <c r="AA153" s="390"/>
      <c r="AC153" s="390"/>
      <c r="AD153" s="438"/>
      <c r="AE153" s="390"/>
      <c r="AF153" s="784"/>
      <c r="AH153" s="780"/>
      <c r="AI153" s="801"/>
      <c r="AJ153" s="801"/>
      <c r="AK153" s="780"/>
      <c r="AL153" s="39"/>
      <c r="AM153" s="780"/>
      <c r="AN153" s="793"/>
      <c r="AO153" s="780"/>
      <c r="AP153" s="801"/>
      <c r="AQ153" s="780"/>
      <c r="AR153" s="802"/>
      <c r="AS153" s="780"/>
      <c r="AT153" s="803"/>
      <c r="AU153" s="803"/>
      <c r="AV153" s="804"/>
      <c r="AW153" s="847"/>
    </row>
    <row r="154" spans="1:49" s="437" customFormat="1" ht="15" customHeight="1" x14ac:dyDescent="0.3">
      <c r="A154" s="799"/>
      <c r="B154" s="780"/>
      <c r="C154" s="806"/>
      <c r="D154" s="799"/>
      <c r="E154" s="793"/>
      <c r="F154" s="793"/>
      <c r="G154" s="793"/>
      <c r="H154" s="793"/>
      <c r="I154" s="821"/>
      <c r="J154" s="793"/>
      <c r="K154" s="793"/>
      <c r="L154" s="855"/>
      <c r="M154" s="780"/>
      <c r="Q154" s="390"/>
      <c r="S154" s="438"/>
      <c r="V154" s="780"/>
      <c r="W154" s="390"/>
      <c r="AA154" s="390"/>
      <c r="AC154" s="390"/>
      <c r="AD154" s="438"/>
      <c r="AE154" s="390"/>
      <c r="AF154" s="784"/>
      <c r="AH154" s="780"/>
      <c r="AI154" s="801"/>
      <c r="AJ154" s="801"/>
      <c r="AK154" s="780"/>
      <c r="AL154" s="39"/>
      <c r="AM154" s="780"/>
      <c r="AN154" s="793"/>
      <c r="AO154" s="780"/>
      <c r="AP154" s="801"/>
      <c r="AQ154" s="780"/>
      <c r="AR154" s="802"/>
      <c r="AS154" s="780"/>
      <c r="AT154" s="803"/>
      <c r="AU154" s="803"/>
      <c r="AV154" s="804"/>
      <c r="AW154" s="847"/>
    </row>
    <row r="155" spans="1:49" s="437" customFormat="1" ht="15" customHeight="1" x14ac:dyDescent="0.3">
      <c r="A155" s="799"/>
      <c r="B155" s="780"/>
      <c r="C155" s="806"/>
      <c r="D155" s="799"/>
      <c r="E155" s="793"/>
      <c r="F155" s="793"/>
      <c r="G155" s="793"/>
      <c r="H155" s="793"/>
      <c r="I155" s="821"/>
      <c r="J155" s="793"/>
      <c r="K155" s="793"/>
      <c r="L155" s="855"/>
      <c r="M155" s="780"/>
      <c r="Q155" s="390"/>
      <c r="S155" s="438"/>
      <c r="V155" s="780"/>
      <c r="W155" s="390"/>
      <c r="AA155" s="390"/>
      <c r="AC155" s="390"/>
      <c r="AD155" s="438"/>
      <c r="AE155" s="390"/>
      <c r="AF155" s="784"/>
      <c r="AH155" s="780"/>
      <c r="AI155" s="801"/>
      <c r="AJ155" s="801"/>
      <c r="AK155" s="780"/>
      <c r="AL155" s="39"/>
      <c r="AM155" s="780"/>
      <c r="AN155" s="793"/>
      <c r="AO155" s="780"/>
      <c r="AP155" s="801"/>
      <c r="AQ155" s="780"/>
      <c r="AR155" s="802"/>
      <c r="AS155" s="780"/>
      <c r="AT155" s="803"/>
      <c r="AU155" s="803"/>
      <c r="AV155" s="804"/>
      <c r="AW155" s="847"/>
    </row>
    <row r="156" spans="1:49" s="437" customFormat="1" ht="15" customHeight="1" x14ac:dyDescent="0.3">
      <c r="A156" s="799"/>
      <c r="B156" s="780"/>
      <c r="C156" s="806"/>
      <c r="D156" s="799"/>
      <c r="E156" s="793"/>
      <c r="F156" s="793"/>
      <c r="G156" s="793"/>
      <c r="H156" s="793"/>
      <c r="I156" s="821"/>
      <c r="J156" s="793"/>
      <c r="K156" s="793"/>
      <c r="L156" s="855"/>
      <c r="M156" s="780"/>
      <c r="Q156" s="390"/>
      <c r="S156" s="438"/>
      <c r="V156" s="780"/>
      <c r="W156" s="390"/>
      <c r="AA156" s="390"/>
      <c r="AC156" s="390"/>
      <c r="AD156" s="438"/>
      <c r="AE156" s="390"/>
      <c r="AF156" s="784"/>
      <c r="AH156" s="780"/>
      <c r="AI156" s="801"/>
      <c r="AJ156" s="801"/>
      <c r="AK156" s="780"/>
      <c r="AL156" s="39"/>
      <c r="AM156" s="780"/>
      <c r="AN156" s="793"/>
      <c r="AO156" s="780"/>
      <c r="AP156" s="801"/>
      <c r="AQ156" s="780"/>
      <c r="AR156" s="802"/>
      <c r="AS156" s="780"/>
      <c r="AT156" s="803"/>
      <c r="AU156" s="803"/>
      <c r="AV156" s="804"/>
      <c r="AW156" s="847"/>
    </row>
    <row r="157" spans="1:49" s="437" customFormat="1" ht="15" customHeight="1" x14ac:dyDescent="0.3">
      <c r="A157" s="799"/>
      <c r="B157" s="780"/>
      <c r="C157" s="806"/>
      <c r="D157" s="799"/>
      <c r="E157" s="793"/>
      <c r="F157" s="793"/>
      <c r="G157" s="793"/>
      <c r="H157" s="793"/>
      <c r="I157" s="821"/>
      <c r="J157" s="793"/>
      <c r="K157" s="793"/>
      <c r="L157" s="855"/>
      <c r="M157" s="780"/>
      <c r="Q157" s="390"/>
      <c r="S157" s="438"/>
      <c r="V157" s="780"/>
      <c r="W157" s="390"/>
      <c r="AA157" s="390"/>
      <c r="AC157" s="390"/>
      <c r="AD157" s="438"/>
      <c r="AE157" s="390"/>
      <c r="AF157" s="784"/>
      <c r="AH157" s="780"/>
      <c r="AI157" s="801"/>
      <c r="AJ157" s="801"/>
      <c r="AK157" s="780"/>
      <c r="AL157" s="39"/>
      <c r="AM157" s="780"/>
      <c r="AN157" s="793"/>
      <c r="AO157" s="780"/>
      <c r="AP157" s="801"/>
      <c r="AQ157" s="780"/>
      <c r="AR157" s="802"/>
      <c r="AS157" s="780"/>
      <c r="AT157" s="803"/>
      <c r="AU157" s="803"/>
      <c r="AV157" s="804"/>
      <c r="AW157" s="847"/>
    </row>
    <row r="158" spans="1:49" s="437" customFormat="1" ht="15" customHeight="1" x14ac:dyDescent="0.3">
      <c r="A158" s="799"/>
      <c r="B158" s="780"/>
      <c r="C158" s="806"/>
      <c r="D158" s="799"/>
      <c r="E158" s="793"/>
      <c r="F158" s="793"/>
      <c r="G158" s="793"/>
      <c r="H158" s="793"/>
      <c r="I158" s="821"/>
      <c r="J158" s="793"/>
      <c r="K158" s="793"/>
      <c r="L158" s="855"/>
      <c r="M158" s="780"/>
      <c r="Q158" s="390"/>
      <c r="S158" s="438"/>
      <c r="V158" s="780"/>
      <c r="W158" s="390"/>
      <c r="AA158" s="390"/>
      <c r="AC158" s="390"/>
      <c r="AD158" s="438"/>
      <c r="AE158" s="390"/>
      <c r="AF158" s="784"/>
      <c r="AH158" s="780"/>
      <c r="AI158" s="801"/>
      <c r="AJ158" s="801"/>
      <c r="AK158" s="780"/>
      <c r="AL158" s="39"/>
      <c r="AM158" s="780"/>
      <c r="AN158" s="793"/>
      <c r="AO158" s="780"/>
      <c r="AP158" s="801"/>
      <c r="AQ158" s="780"/>
      <c r="AR158" s="802"/>
      <c r="AS158" s="780"/>
      <c r="AT158" s="803"/>
      <c r="AU158" s="803"/>
      <c r="AV158" s="804"/>
      <c r="AW158" s="847"/>
    </row>
    <row r="159" spans="1:49" s="437" customFormat="1" ht="15" customHeight="1" x14ac:dyDescent="0.3">
      <c r="A159" s="799"/>
      <c r="B159" s="780"/>
      <c r="C159" s="806"/>
      <c r="D159" s="799"/>
      <c r="E159" s="793"/>
      <c r="F159" s="793"/>
      <c r="G159" s="793"/>
      <c r="H159" s="793"/>
      <c r="I159" s="821"/>
      <c r="J159" s="793"/>
      <c r="K159" s="793"/>
      <c r="L159" s="855"/>
      <c r="M159" s="780"/>
      <c r="Q159" s="390"/>
      <c r="S159" s="438"/>
      <c r="V159" s="780"/>
      <c r="W159" s="390"/>
      <c r="AA159" s="390"/>
      <c r="AC159" s="390"/>
      <c r="AD159" s="438"/>
      <c r="AE159" s="390"/>
      <c r="AF159" s="784"/>
      <c r="AH159" s="780"/>
      <c r="AI159" s="801"/>
      <c r="AJ159" s="801"/>
      <c r="AK159" s="780"/>
      <c r="AL159" s="39"/>
      <c r="AM159" s="780"/>
      <c r="AN159" s="793"/>
      <c r="AO159" s="780"/>
      <c r="AP159" s="801"/>
      <c r="AQ159" s="780"/>
      <c r="AR159" s="802"/>
      <c r="AS159" s="780"/>
      <c r="AT159" s="803"/>
      <c r="AU159" s="803"/>
      <c r="AV159" s="804"/>
      <c r="AW159" s="847"/>
    </row>
    <row r="160" spans="1:49" s="437" customFormat="1" ht="15" customHeight="1" x14ac:dyDescent="0.3">
      <c r="A160" s="799"/>
      <c r="B160" s="780"/>
      <c r="C160" s="806"/>
      <c r="D160" s="799"/>
      <c r="E160" s="793"/>
      <c r="F160" s="793"/>
      <c r="G160" s="793"/>
      <c r="H160" s="793"/>
      <c r="I160" s="821"/>
      <c r="J160" s="793"/>
      <c r="K160" s="793"/>
      <c r="L160" s="855"/>
      <c r="M160" s="780"/>
      <c r="Q160" s="390"/>
      <c r="S160" s="438"/>
      <c r="V160" s="780"/>
      <c r="W160" s="390"/>
      <c r="AA160" s="390"/>
      <c r="AC160" s="390"/>
      <c r="AD160" s="438"/>
      <c r="AE160" s="390"/>
      <c r="AF160" s="784"/>
      <c r="AH160" s="780"/>
      <c r="AI160" s="801"/>
      <c r="AJ160" s="801"/>
      <c r="AK160" s="780"/>
      <c r="AL160" s="39"/>
      <c r="AM160" s="780"/>
      <c r="AN160" s="793"/>
      <c r="AO160" s="780"/>
      <c r="AP160" s="801"/>
      <c r="AQ160" s="780"/>
      <c r="AR160" s="802"/>
      <c r="AS160" s="780"/>
      <c r="AT160" s="803"/>
      <c r="AU160" s="803"/>
      <c r="AV160" s="804"/>
      <c r="AW160" s="847"/>
    </row>
    <row r="161" spans="1:49" s="437" customFormat="1" ht="15" customHeight="1" x14ac:dyDescent="0.3">
      <c r="A161" s="799"/>
      <c r="B161" s="780"/>
      <c r="C161" s="806"/>
      <c r="D161" s="799"/>
      <c r="E161" s="793"/>
      <c r="F161" s="793"/>
      <c r="G161" s="793"/>
      <c r="H161" s="793"/>
      <c r="I161" s="821"/>
      <c r="J161" s="793"/>
      <c r="K161" s="793"/>
      <c r="L161" s="855"/>
      <c r="M161" s="780"/>
      <c r="Q161" s="390"/>
      <c r="S161" s="438"/>
      <c r="V161" s="780"/>
      <c r="W161" s="390"/>
      <c r="AA161" s="390"/>
      <c r="AC161" s="390"/>
      <c r="AD161" s="438"/>
      <c r="AE161" s="390"/>
      <c r="AF161" s="784"/>
      <c r="AH161" s="780"/>
      <c r="AI161" s="801"/>
      <c r="AJ161" s="801"/>
      <c r="AK161" s="780"/>
      <c r="AL161" s="39"/>
      <c r="AM161" s="780"/>
      <c r="AN161" s="793"/>
      <c r="AO161" s="780"/>
      <c r="AP161" s="801"/>
      <c r="AQ161" s="780"/>
      <c r="AR161" s="802"/>
      <c r="AS161" s="780"/>
      <c r="AT161" s="803"/>
      <c r="AU161" s="803"/>
      <c r="AV161" s="804"/>
      <c r="AW161" s="847"/>
    </row>
    <row r="162" spans="1:49" s="437" customFormat="1" ht="15" customHeight="1" x14ac:dyDescent="0.3">
      <c r="A162" s="799"/>
      <c r="B162" s="780"/>
      <c r="C162" s="806"/>
      <c r="D162" s="799"/>
      <c r="E162" s="793"/>
      <c r="F162" s="793"/>
      <c r="G162" s="793"/>
      <c r="H162" s="793"/>
      <c r="I162" s="821"/>
      <c r="J162" s="793"/>
      <c r="K162" s="793"/>
      <c r="L162" s="855"/>
      <c r="M162" s="780"/>
      <c r="Q162" s="390"/>
      <c r="S162" s="438"/>
      <c r="V162" s="780"/>
      <c r="W162" s="390"/>
      <c r="AA162" s="390"/>
      <c r="AC162" s="390"/>
      <c r="AD162" s="438"/>
      <c r="AE162" s="390"/>
      <c r="AF162" s="784"/>
      <c r="AH162" s="780"/>
      <c r="AI162" s="801"/>
      <c r="AJ162" s="801"/>
      <c r="AK162" s="780"/>
      <c r="AL162" s="39"/>
      <c r="AM162" s="780"/>
      <c r="AN162" s="793"/>
      <c r="AO162" s="780"/>
      <c r="AP162" s="801"/>
      <c r="AQ162" s="780"/>
      <c r="AR162" s="802"/>
      <c r="AS162" s="780"/>
      <c r="AT162" s="803"/>
      <c r="AU162" s="803"/>
      <c r="AV162" s="804"/>
      <c r="AW162" s="847"/>
    </row>
    <row r="163" spans="1:49" s="437" customFormat="1" ht="15" customHeight="1" x14ac:dyDescent="0.3">
      <c r="A163" s="799"/>
      <c r="B163" s="780"/>
      <c r="C163" s="806"/>
      <c r="D163" s="799"/>
      <c r="E163" s="793"/>
      <c r="F163" s="793"/>
      <c r="G163" s="793"/>
      <c r="H163" s="793"/>
      <c r="I163" s="821"/>
      <c r="J163" s="793"/>
      <c r="K163" s="793"/>
      <c r="L163" s="855"/>
      <c r="M163" s="780"/>
      <c r="Q163" s="390"/>
      <c r="S163" s="438"/>
      <c r="V163" s="780"/>
      <c r="W163" s="390"/>
      <c r="AA163" s="390"/>
      <c r="AC163" s="390"/>
      <c r="AD163" s="438"/>
      <c r="AE163" s="390"/>
      <c r="AF163" s="784"/>
      <c r="AH163" s="780"/>
      <c r="AI163" s="801"/>
      <c r="AJ163" s="801"/>
      <c r="AK163" s="780"/>
      <c r="AL163" s="39"/>
      <c r="AM163" s="780"/>
      <c r="AN163" s="793"/>
      <c r="AO163" s="780"/>
      <c r="AP163" s="801"/>
      <c r="AQ163" s="780"/>
      <c r="AR163" s="802"/>
      <c r="AS163" s="780"/>
      <c r="AT163" s="803"/>
      <c r="AU163" s="803"/>
      <c r="AV163" s="804"/>
      <c r="AW163" s="847"/>
    </row>
    <row r="164" spans="1:49" s="437" customFormat="1" ht="15" customHeight="1" x14ac:dyDescent="0.3">
      <c r="A164" s="799"/>
      <c r="B164" s="780"/>
      <c r="C164" s="806"/>
      <c r="D164" s="799"/>
      <c r="E164" s="793"/>
      <c r="F164" s="793"/>
      <c r="G164" s="793"/>
      <c r="H164" s="793"/>
      <c r="I164" s="821"/>
      <c r="J164" s="793"/>
      <c r="K164" s="793"/>
      <c r="L164" s="855"/>
      <c r="M164" s="780"/>
      <c r="Q164" s="390"/>
      <c r="S164" s="438"/>
      <c r="V164" s="780"/>
      <c r="W164" s="390"/>
      <c r="AA164" s="390"/>
      <c r="AC164" s="390"/>
      <c r="AD164" s="438"/>
      <c r="AE164" s="390"/>
      <c r="AF164" s="784"/>
      <c r="AH164" s="780"/>
      <c r="AI164" s="801"/>
      <c r="AJ164" s="801"/>
      <c r="AK164" s="780"/>
      <c r="AL164" s="39"/>
      <c r="AM164" s="780"/>
      <c r="AN164" s="793"/>
      <c r="AO164" s="780"/>
      <c r="AP164" s="801"/>
      <c r="AQ164" s="780"/>
      <c r="AR164" s="802"/>
      <c r="AS164" s="780"/>
      <c r="AT164" s="803"/>
      <c r="AU164" s="803"/>
      <c r="AV164" s="804"/>
      <c r="AW164" s="847"/>
    </row>
    <row r="165" spans="1:49" s="437" customFormat="1" ht="15" customHeight="1" x14ac:dyDescent="0.3">
      <c r="A165" s="799"/>
      <c r="B165" s="780"/>
      <c r="C165" s="806"/>
      <c r="D165" s="799"/>
      <c r="E165" s="793"/>
      <c r="F165" s="793"/>
      <c r="G165" s="793"/>
      <c r="H165" s="793"/>
      <c r="I165" s="821"/>
      <c r="J165" s="793"/>
      <c r="K165" s="793"/>
      <c r="L165" s="855"/>
      <c r="M165" s="780"/>
      <c r="Q165" s="390"/>
      <c r="S165" s="438"/>
      <c r="V165" s="780"/>
      <c r="W165" s="390"/>
      <c r="AA165" s="390"/>
      <c r="AC165" s="390"/>
      <c r="AD165" s="438"/>
      <c r="AE165" s="390"/>
      <c r="AF165" s="784"/>
      <c r="AH165" s="780"/>
      <c r="AI165" s="801"/>
      <c r="AJ165" s="801"/>
      <c r="AK165" s="780"/>
      <c r="AL165" s="39"/>
      <c r="AM165" s="780"/>
      <c r="AN165" s="793"/>
      <c r="AO165" s="780"/>
      <c r="AP165" s="801"/>
      <c r="AQ165" s="780"/>
      <c r="AR165" s="802"/>
      <c r="AS165" s="780"/>
      <c r="AT165" s="803"/>
      <c r="AU165" s="803"/>
      <c r="AV165" s="804"/>
      <c r="AW165" s="847"/>
    </row>
    <row r="166" spans="1:49" s="437" customFormat="1" ht="15" customHeight="1" x14ac:dyDescent="0.3">
      <c r="A166" s="799"/>
      <c r="B166" s="780"/>
      <c r="C166" s="806"/>
      <c r="D166" s="799"/>
      <c r="E166" s="793"/>
      <c r="F166" s="793"/>
      <c r="G166" s="793"/>
      <c r="H166" s="793"/>
      <c r="I166" s="821"/>
      <c r="J166" s="793"/>
      <c r="K166" s="793"/>
      <c r="L166" s="855"/>
      <c r="M166" s="780"/>
      <c r="Q166" s="390"/>
      <c r="S166" s="438"/>
      <c r="V166" s="780"/>
      <c r="W166" s="390"/>
      <c r="AA166" s="390"/>
      <c r="AC166" s="390"/>
      <c r="AD166" s="438"/>
      <c r="AE166" s="390"/>
      <c r="AF166" s="784"/>
      <c r="AH166" s="780"/>
      <c r="AI166" s="801"/>
      <c r="AJ166" s="801"/>
      <c r="AK166" s="780"/>
      <c r="AL166" s="39"/>
      <c r="AM166" s="780"/>
      <c r="AN166" s="793"/>
      <c r="AO166" s="780"/>
      <c r="AP166" s="801"/>
      <c r="AQ166" s="780"/>
      <c r="AR166" s="802"/>
      <c r="AS166" s="780"/>
      <c r="AT166" s="803"/>
      <c r="AU166" s="803"/>
      <c r="AV166" s="804"/>
      <c r="AW166" s="847"/>
    </row>
    <row r="167" spans="1:49" s="437" customFormat="1" ht="15" customHeight="1" x14ac:dyDescent="0.3">
      <c r="A167" s="799"/>
      <c r="B167" s="780"/>
      <c r="C167" s="806"/>
      <c r="D167" s="799"/>
      <c r="E167" s="793"/>
      <c r="F167" s="793"/>
      <c r="G167" s="793"/>
      <c r="H167" s="793"/>
      <c r="I167" s="821"/>
      <c r="J167" s="793"/>
      <c r="K167" s="793"/>
      <c r="L167" s="855"/>
      <c r="M167" s="780"/>
      <c r="Q167" s="390"/>
      <c r="S167" s="438"/>
      <c r="V167" s="780"/>
      <c r="W167" s="390"/>
      <c r="AA167" s="390"/>
      <c r="AC167" s="390"/>
      <c r="AD167" s="438"/>
      <c r="AE167" s="390"/>
      <c r="AF167" s="784"/>
      <c r="AH167" s="780"/>
      <c r="AI167" s="801"/>
      <c r="AJ167" s="801"/>
      <c r="AK167" s="780"/>
      <c r="AL167" s="39"/>
      <c r="AM167" s="780"/>
      <c r="AN167" s="793"/>
      <c r="AO167" s="780"/>
      <c r="AP167" s="801"/>
      <c r="AQ167" s="780"/>
      <c r="AR167" s="802"/>
      <c r="AS167" s="780"/>
      <c r="AT167" s="803"/>
      <c r="AU167" s="803"/>
      <c r="AV167" s="804"/>
      <c r="AW167" s="847"/>
    </row>
    <row r="168" spans="1:49" s="437" customFormat="1" ht="15" customHeight="1" x14ac:dyDescent="0.3">
      <c r="A168" s="799"/>
      <c r="B168" s="780"/>
      <c r="C168" s="806"/>
      <c r="D168" s="799"/>
      <c r="E168" s="793"/>
      <c r="F168" s="793"/>
      <c r="G168" s="793"/>
      <c r="H168" s="793"/>
      <c r="I168" s="821"/>
      <c r="J168" s="793"/>
      <c r="K168" s="793"/>
      <c r="L168" s="855"/>
      <c r="M168" s="780"/>
      <c r="Q168" s="390"/>
      <c r="S168" s="438"/>
      <c r="V168" s="780"/>
      <c r="W168" s="390"/>
      <c r="AA168" s="390"/>
      <c r="AC168" s="390"/>
      <c r="AD168" s="438"/>
      <c r="AE168" s="390"/>
      <c r="AF168" s="784"/>
      <c r="AH168" s="780"/>
      <c r="AI168" s="801"/>
      <c r="AJ168" s="801"/>
      <c r="AK168" s="780"/>
      <c r="AL168" s="39"/>
      <c r="AM168" s="780"/>
      <c r="AN168" s="793"/>
      <c r="AO168" s="780"/>
      <c r="AP168" s="801"/>
      <c r="AQ168" s="780"/>
      <c r="AR168" s="802"/>
      <c r="AS168" s="780"/>
      <c r="AT168" s="803"/>
      <c r="AU168" s="803"/>
      <c r="AV168" s="804"/>
      <c r="AW168" s="847"/>
    </row>
    <row r="169" spans="1:49" s="437" customFormat="1" ht="15" customHeight="1" x14ac:dyDescent="0.3">
      <c r="A169" s="799"/>
      <c r="B169" s="780"/>
      <c r="C169" s="806"/>
      <c r="D169" s="799"/>
      <c r="E169" s="793"/>
      <c r="F169" s="793"/>
      <c r="G169" s="793"/>
      <c r="H169" s="793"/>
      <c r="I169" s="821"/>
      <c r="J169" s="793"/>
      <c r="K169" s="793"/>
      <c r="L169" s="855"/>
      <c r="M169" s="780"/>
      <c r="Q169" s="390"/>
      <c r="S169" s="438"/>
      <c r="V169" s="780"/>
      <c r="W169" s="390"/>
      <c r="AA169" s="390"/>
      <c r="AC169" s="390"/>
      <c r="AD169" s="438"/>
      <c r="AE169" s="390"/>
      <c r="AF169" s="784"/>
      <c r="AH169" s="780"/>
      <c r="AI169" s="801"/>
      <c r="AJ169" s="801"/>
      <c r="AK169" s="780"/>
      <c r="AL169" s="39"/>
      <c r="AM169" s="780"/>
      <c r="AN169" s="793"/>
      <c r="AO169" s="780"/>
      <c r="AP169" s="801"/>
      <c r="AQ169" s="780"/>
      <c r="AR169" s="802"/>
      <c r="AS169" s="780"/>
      <c r="AT169" s="803"/>
      <c r="AU169" s="803"/>
      <c r="AV169" s="804"/>
      <c r="AW169" s="847"/>
    </row>
    <row r="170" spans="1:49" s="437" customFormat="1" ht="15" customHeight="1" x14ac:dyDescent="0.3">
      <c r="A170" s="799"/>
      <c r="B170" s="780"/>
      <c r="C170" s="806"/>
      <c r="D170" s="799"/>
      <c r="E170" s="793"/>
      <c r="F170" s="793"/>
      <c r="G170" s="793"/>
      <c r="H170" s="793"/>
      <c r="I170" s="821"/>
      <c r="J170" s="793"/>
      <c r="K170" s="793"/>
      <c r="L170" s="855"/>
      <c r="M170" s="780"/>
      <c r="Q170" s="390"/>
      <c r="S170" s="438"/>
      <c r="V170" s="780"/>
      <c r="W170" s="390"/>
      <c r="AA170" s="390"/>
      <c r="AC170" s="390"/>
      <c r="AD170" s="438"/>
      <c r="AE170" s="390"/>
      <c r="AF170" s="784"/>
      <c r="AH170" s="780"/>
      <c r="AI170" s="801"/>
      <c r="AJ170" s="801"/>
      <c r="AK170" s="780"/>
      <c r="AL170" s="39"/>
      <c r="AM170" s="780"/>
      <c r="AN170" s="793"/>
      <c r="AO170" s="780"/>
      <c r="AP170" s="801"/>
      <c r="AQ170" s="780"/>
      <c r="AR170" s="802"/>
      <c r="AS170" s="780"/>
      <c r="AT170" s="803"/>
      <c r="AU170" s="803"/>
      <c r="AV170" s="804"/>
      <c r="AW170" s="847"/>
    </row>
    <row r="171" spans="1:49" s="437" customFormat="1" ht="15" customHeight="1" x14ac:dyDescent="0.3">
      <c r="A171" s="799"/>
      <c r="B171" s="780"/>
      <c r="C171" s="806"/>
      <c r="D171" s="799"/>
      <c r="E171" s="793"/>
      <c r="F171" s="793"/>
      <c r="G171" s="793"/>
      <c r="H171" s="793"/>
      <c r="I171" s="821"/>
      <c r="J171" s="793"/>
      <c r="K171" s="793"/>
      <c r="L171" s="855"/>
      <c r="M171" s="780"/>
      <c r="Q171" s="390"/>
      <c r="S171" s="438"/>
      <c r="V171" s="780"/>
      <c r="W171" s="390"/>
      <c r="AA171" s="390"/>
      <c r="AC171" s="390"/>
      <c r="AD171" s="438"/>
      <c r="AE171" s="390"/>
      <c r="AF171" s="784"/>
      <c r="AH171" s="780"/>
      <c r="AI171" s="801"/>
      <c r="AJ171" s="801"/>
      <c r="AK171" s="780"/>
      <c r="AL171" s="39"/>
      <c r="AM171" s="780"/>
      <c r="AN171" s="793"/>
      <c r="AO171" s="780"/>
      <c r="AP171" s="801"/>
      <c r="AQ171" s="780"/>
      <c r="AR171" s="802"/>
      <c r="AS171" s="780"/>
      <c r="AT171" s="803"/>
      <c r="AU171" s="803"/>
      <c r="AV171" s="804"/>
      <c r="AW171" s="847"/>
    </row>
    <row r="172" spans="1:49" s="437" customFormat="1" ht="15" customHeight="1" x14ac:dyDescent="0.3">
      <c r="A172" s="799"/>
      <c r="B172" s="780"/>
      <c r="C172" s="806"/>
      <c r="D172" s="799"/>
      <c r="E172" s="793"/>
      <c r="F172" s="793"/>
      <c r="G172" s="793"/>
      <c r="H172" s="793"/>
      <c r="I172" s="821"/>
      <c r="J172" s="793"/>
      <c r="K172" s="793"/>
      <c r="L172" s="855"/>
      <c r="M172" s="780"/>
      <c r="Q172" s="390"/>
      <c r="S172" s="438"/>
      <c r="V172" s="780"/>
      <c r="W172" s="390"/>
      <c r="AA172" s="390"/>
      <c r="AC172" s="390"/>
      <c r="AD172" s="438"/>
      <c r="AE172" s="390"/>
      <c r="AF172" s="784"/>
      <c r="AH172" s="780"/>
      <c r="AI172" s="801"/>
      <c r="AJ172" s="801"/>
      <c r="AK172" s="780"/>
      <c r="AL172" s="39"/>
      <c r="AM172" s="780"/>
      <c r="AN172" s="793"/>
      <c r="AO172" s="780"/>
      <c r="AP172" s="801"/>
      <c r="AQ172" s="780"/>
      <c r="AR172" s="802"/>
      <c r="AS172" s="780"/>
      <c r="AT172" s="803"/>
      <c r="AU172" s="803"/>
      <c r="AV172" s="804"/>
      <c r="AW172" s="847"/>
    </row>
    <row r="173" spans="1:49" s="437" customFormat="1" ht="15" customHeight="1" x14ac:dyDescent="0.3">
      <c r="A173" s="799"/>
      <c r="B173" s="780"/>
      <c r="C173" s="806"/>
      <c r="D173" s="799"/>
      <c r="E173" s="793"/>
      <c r="F173" s="793"/>
      <c r="G173" s="793"/>
      <c r="H173" s="793"/>
      <c r="I173" s="821"/>
      <c r="J173" s="793"/>
      <c r="K173" s="793"/>
      <c r="L173" s="855"/>
      <c r="M173" s="780"/>
      <c r="Q173" s="390"/>
      <c r="S173" s="438"/>
      <c r="V173" s="780"/>
      <c r="W173" s="390"/>
      <c r="AA173" s="390"/>
      <c r="AC173" s="390"/>
      <c r="AD173" s="438"/>
      <c r="AE173" s="390"/>
      <c r="AF173" s="784"/>
      <c r="AH173" s="780"/>
      <c r="AI173" s="801"/>
      <c r="AJ173" s="801"/>
      <c r="AK173" s="780"/>
      <c r="AL173" s="39"/>
      <c r="AM173" s="780"/>
      <c r="AN173" s="793"/>
      <c r="AO173" s="780"/>
      <c r="AP173" s="801"/>
      <c r="AQ173" s="780"/>
      <c r="AR173" s="802"/>
      <c r="AS173" s="780"/>
      <c r="AT173" s="803"/>
      <c r="AU173" s="803"/>
      <c r="AV173" s="804"/>
      <c r="AW173" s="847"/>
    </row>
    <row r="174" spans="1:49" s="437" customFormat="1" ht="15" customHeight="1" x14ac:dyDescent="0.3">
      <c r="A174" s="799"/>
      <c r="B174" s="780"/>
      <c r="C174" s="806"/>
      <c r="D174" s="799"/>
      <c r="E174" s="793"/>
      <c r="F174" s="793"/>
      <c r="G174" s="793"/>
      <c r="H174" s="793"/>
      <c r="I174" s="821"/>
      <c r="J174" s="793"/>
      <c r="K174" s="793"/>
      <c r="L174" s="855"/>
      <c r="M174" s="780"/>
      <c r="Q174" s="390"/>
      <c r="S174" s="438"/>
      <c r="V174" s="780"/>
      <c r="W174" s="390"/>
      <c r="AA174" s="390"/>
      <c r="AC174" s="390"/>
      <c r="AD174" s="438"/>
      <c r="AE174" s="390"/>
      <c r="AF174" s="784"/>
      <c r="AH174" s="780"/>
      <c r="AI174" s="801"/>
      <c r="AJ174" s="801"/>
      <c r="AK174" s="780"/>
      <c r="AL174" s="39"/>
      <c r="AM174" s="780"/>
      <c r="AN174" s="793"/>
      <c r="AO174" s="780"/>
      <c r="AP174" s="801"/>
      <c r="AQ174" s="780"/>
      <c r="AR174" s="802"/>
      <c r="AS174" s="780"/>
      <c r="AT174" s="803"/>
      <c r="AU174" s="803"/>
      <c r="AV174" s="804"/>
      <c r="AW174" s="847"/>
    </row>
    <row r="175" spans="1:49" s="437" customFormat="1" ht="15" customHeight="1" x14ac:dyDescent="0.3">
      <c r="A175" s="799"/>
      <c r="B175" s="780"/>
      <c r="C175" s="806"/>
      <c r="D175" s="799"/>
      <c r="E175" s="793"/>
      <c r="F175" s="793"/>
      <c r="G175" s="793"/>
      <c r="H175" s="793"/>
      <c r="I175" s="821"/>
      <c r="J175" s="793"/>
      <c r="K175" s="793"/>
      <c r="L175" s="855"/>
      <c r="M175" s="780"/>
      <c r="Q175" s="390"/>
      <c r="S175" s="438"/>
      <c r="V175" s="780"/>
      <c r="W175" s="390"/>
      <c r="AA175" s="390"/>
      <c r="AC175" s="390"/>
      <c r="AD175" s="438"/>
      <c r="AE175" s="390"/>
      <c r="AF175" s="784"/>
      <c r="AH175" s="780"/>
      <c r="AI175" s="801"/>
      <c r="AJ175" s="801"/>
      <c r="AK175" s="780"/>
      <c r="AL175" s="39"/>
      <c r="AM175" s="780"/>
      <c r="AN175" s="793"/>
      <c r="AO175" s="780"/>
      <c r="AP175" s="801"/>
      <c r="AQ175" s="780"/>
      <c r="AR175" s="802"/>
      <c r="AS175" s="780"/>
      <c r="AT175" s="803"/>
      <c r="AU175" s="803"/>
      <c r="AV175" s="804"/>
      <c r="AW175" s="847"/>
    </row>
    <row r="176" spans="1:49" s="437" customFormat="1" ht="15" customHeight="1" x14ac:dyDescent="0.3">
      <c r="A176" s="799"/>
      <c r="B176" s="780"/>
      <c r="C176" s="806"/>
      <c r="D176" s="799"/>
      <c r="E176" s="793"/>
      <c r="F176" s="793"/>
      <c r="G176" s="793"/>
      <c r="H176" s="793"/>
      <c r="I176" s="821"/>
      <c r="J176" s="793"/>
      <c r="K176" s="793"/>
      <c r="L176" s="855"/>
      <c r="M176" s="780"/>
      <c r="Q176" s="390"/>
      <c r="S176" s="438"/>
      <c r="V176" s="780"/>
      <c r="W176" s="390"/>
      <c r="AA176" s="390"/>
      <c r="AC176" s="390"/>
      <c r="AD176" s="438"/>
      <c r="AE176" s="390"/>
      <c r="AF176" s="784"/>
      <c r="AH176" s="780"/>
      <c r="AI176" s="801"/>
      <c r="AJ176" s="801"/>
      <c r="AK176" s="780"/>
      <c r="AL176" s="39"/>
      <c r="AM176" s="780"/>
      <c r="AN176" s="793"/>
      <c r="AO176" s="780"/>
      <c r="AP176" s="801"/>
      <c r="AQ176" s="780"/>
      <c r="AR176" s="802"/>
      <c r="AS176" s="780"/>
      <c r="AT176" s="803"/>
      <c r="AU176" s="803"/>
      <c r="AV176" s="804"/>
      <c r="AW176" s="847"/>
    </row>
    <row r="177" spans="1:49" s="437" customFormat="1" ht="15" customHeight="1" x14ac:dyDescent="0.3">
      <c r="A177" s="799"/>
      <c r="B177" s="780"/>
      <c r="C177" s="806"/>
      <c r="D177" s="799"/>
      <c r="E177" s="793"/>
      <c r="F177" s="793"/>
      <c r="G177" s="793"/>
      <c r="H177" s="793"/>
      <c r="I177" s="821"/>
      <c r="J177" s="793"/>
      <c r="K177" s="793"/>
      <c r="L177" s="855"/>
      <c r="M177" s="780"/>
      <c r="Q177" s="390"/>
      <c r="S177" s="438"/>
      <c r="V177" s="780"/>
      <c r="W177" s="390"/>
      <c r="AA177" s="390"/>
      <c r="AC177" s="390"/>
      <c r="AD177" s="438"/>
      <c r="AE177" s="390"/>
      <c r="AF177" s="784"/>
      <c r="AH177" s="780"/>
      <c r="AI177" s="801"/>
      <c r="AJ177" s="801"/>
      <c r="AK177" s="780"/>
      <c r="AL177" s="39"/>
      <c r="AM177" s="780"/>
      <c r="AN177" s="793"/>
      <c r="AO177" s="780"/>
      <c r="AP177" s="801"/>
      <c r="AQ177" s="780"/>
      <c r="AR177" s="802"/>
      <c r="AS177" s="780"/>
      <c r="AT177" s="803"/>
      <c r="AU177" s="803"/>
      <c r="AV177" s="804"/>
      <c r="AW177" s="847"/>
    </row>
    <row r="178" spans="1:49" s="437" customFormat="1" ht="15" customHeight="1" x14ac:dyDescent="0.3">
      <c r="A178" s="799"/>
      <c r="B178" s="780"/>
      <c r="C178" s="806"/>
      <c r="D178" s="799"/>
      <c r="E178" s="793"/>
      <c r="F178" s="793"/>
      <c r="G178" s="793"/>
      <c r="H178" s="793"/>
      <c r="I178" s="821"/>
      <c r="J178" s="793"/>
      <c r="K178" s="793"/>
      <c r="L178" s="855"/>
      <c r="M178" s="780"/>
      <c r="Q178" s="390"/>
      <c r="S178" s="438"/>
      <c r="V178" s="780"/>
      <c r="W178" s="390"/>
      <c r="AA178" s="390"/>
      <c r="AC178" s="390"/>
      <c r="AD178" s="438"/>
      <c r="AE178" s="390"/>
      <c r="AF178" s="784"/>
      <c r="AH178" s="780"/>
      <c r="AI178" s="801"/>
      <c r="AJ178" s="801"/>
      <c r="AK178" s="780"/>
      <c r="AL178" s="39"/>
      <c r="AM178" s="780"/>
      <c r="AN178" s="793"/>
      <c r="AO178" s="780"/>
      <c r="AP178" s="801"/>
      <c r="AQ178" s="780"/>
      <c r="AR178" s="802"/>
      <c r="AS178" s="780"/>
      <c r="AT178" s="803"/>
      <c r="AU178" s="803"/>
      <c r="AV178" s="804"/>
      <c r="AW178" s="847"/>
    </row>
    <row r="179" spans="1:49" s="437" customFormat="1" ht="15" customHeight="1" x14ac:dyDescent="0.3">
      <c r="A179" s="799"/>
      <c r="B179" s="780"/>
      <c r="C179" s="806"/>
      <c r="D179" s="799"/>
      <c r="E179" s="793"/>
      <c r="F179" s="793"/>
      <c r="G179" s="793"/>
      <c r="H179" s="793"/>
      <c r="I179" s="821"/>
      <c r="J179" s="793"/>
      <c r="K179" s="793"/>
      <c r="L179" s="855"/>
      <c r="M179" s="780"/>
      <c r="Q179" s="390"/>
      <c r="S179" s="438"/>
      <c r="V179" s="780"/>
      <c r="W179" s="390"/>
      <c r="AA179" s="390"/>
      <c r="AC179" s="390"/>
      <c r="AD179" s="438"/>
      <c r="AE179" s="390"/>
      <c r="AF179" s="784"/>
      <c r="AH179" s="780"/>
      <c r="AI179" s="801"/>
      <c r="AJ179" s="801"/>
      <c r="AK179" s="780"/>
      <c r="AL179" s="39"/>
      <c r="AM179" s="780"/>
      <c r="AN179" s="793"/>
      <c r="AO179" s="780"/>
      <c r="AP179" s="801"/>
      <c r="AQ179" s="780"/>
      <c r="AR179" s="802"/>
      <c r="AS179" s="780"/>
      <c r="AT179" s="803"/>
      <c r="AU179" s="803"/>
      <c r="AV179" s="804"/>
      <c r="AW179" s="847"/>
    </row>
    <row r="180" spans="1:49" s="437" customFormat="1" ht="15" customHeight="1" x14ac:dyDescent="0.3">
      <c r="A180" s="799"/>
      <c r="B180" s="780"/>
      <c r="C180" s="806"/>
      <c r="D180" s="799"/>
      <c r="E180" s="793"/>
      <c r="F180" s="793"/>
      <c r="G180" s="793"/>
      <c r="H180" s="793"/>
      <c r="I180" s="821"/>
      <c r="J180" s="793"/>
      <c r="K180" s="793"/>
      <c r="L180" s="855"/>
      <c r="M180" s="780"/>
      <c r="Q180" s="390"/>
      <c r="S180" s="438"/>
      <c r="V180" s="780"/>
      <c r="W180" s="390"/>
      <c r="AA180" s="390"/>
      <c r="AC180" s="390"/>
      <c r="AD180" s="438"/>
      <c r="AE180" s="390"/>
      <c r="AF180" s="784"/>
      <c r="AH180" s="780"/>
      <c r="AI180" s="801"/>
      <c r="AJ180" s="801"/>
      <c r="AK180" s="780"/>
      <c r="AL180" s="39"/>
      <c r="AM180" s="780"/>
      <c r="AN180" s="793"/>
      <c r="AO180" s="780"/>
      <c r="AP180" s="801"/>
      <c r="AQ180" s="780"/>
      <c r="AR180" s="802"/>
      <c r="AS180" s="780"/>
      <c r="AT180" s="803"/>
      <c r="AU180" s="803"/>
      <c r="AV180" s="804"/>
      <c r="AW180" s="847"/>
    </row>
    <row r="181" spans="1:49" s="437" customFormat="1" ht="15" customHeight="1" x14ac:dyDescent="0.3">
      <c r="A181" s="799"/>
      <c r="B181" s="780"/>
      <c r="C181" s="806"/>
      <c r="D181" s="799"/>
      <c r="E181" s="793"/>
      <c r="F181" s="793"/>
      <c r="G181" s="793"/>
      <c r="H181" s="793"/>
      <c r="I181" s="821"/>
      <c r="J181" s="793"/>
      <c r="K181" s="793"/>
      <c r="L181" s="855"/>
      <c r="M181" s="780"/>
      <c r="Q181" s="390"/>
      <c r="S181" s="438"/>
      <c r="V181" s="780"/>
      <c r="W181" s="390"/>
      <c r="AA181" s="390"/>
      <c r="AC181" s="390"/>
      <c r="AD181" s="438"/>
      <c r="AE181" s="390"/>
      <c r="AF181" s="784"/>
      <c r="AH181" s="780"/>
      <c r="AI181" s="801"/>
      <c r="AJ181" s="801"/>
      <c r="AK181" s="780"/>
      <c r="AL181" s="39"/>
      <c r="AM181" s="780"/>
      <c r="AN181" s="793"/>
      <c r="AO181" s="780"/>
      <c r="AP181" s="801"/>
      <c r="AQ181" s="780"/>
      <c r="AR181" s="802"/>
      <c r="AS181" s="780"/>
      <c r="AT181" s="803"/>
      <c r="AU181" s="803"/>
      <c r="AV181" s="804"/>
      <c r="AW181" s="847"/>
    </row>
    <row r="182" spans="1:49" s="437" customFormat="1" ht="15" customHeight="1" x14ac:dyDescent="0.3">
      <c r="A182" s="799"/>
      <c r="B182" s="780"/>
      <c r="C182" s="806"/>
      <c r="D182" s="799"/>
      <c r="E182" s="793"/>
      <c r="F182" s="793"/>
      <c r="G182" s="793"/>
      <c r="H182" s="793"/>
      <c r="I182" s="821"/>
      <c r="J182" s="793"/>
      <c r="K182" s="793"/>
      <c r="L182" s="855"/>
      <c r="M182" s="780"/>
      <c r="Q182" s="390"/>
      <c r="S182" s="438"/>
      <c r="V182" s="780"/>
      <c r="W182" s="390"/>
      <c r="AA182" s="390"/>
      <c r="AC182" s="390"/>
      <c r="AD182" s="438"/>
      <c r="AE182" s="390"/>
      <c r="AF182" s="784"/>
      <c r="AH182" s="780"/>
      <c r="AI182" s="801"/>
      <c r="AJ182" s="801"/>
      <c r="AK182" s="780"/>
      <c r="AL182" s="39"/>
      <c r="AM182" s="780"/>
      <c r="AN182" s="793"/>
      <c r="AO182" s="780"/>
      <c r="AP182" s="801"/>
      <c r="AQ182" s="780"/>
      <c r="AR182" s="802"/>
      <c r="AS182" s="780"/>
      <c r="AT182" s="803"/>
      <c r="AU182" s="803"/>
      <c r="AV182" s="804"/>
      <c r="AW182" s="847"/>
    </row>
    <row r="183" spans="1:49" s="437" customFormat="1" ht="15" customHeight="1" x14ac:dyDescent="0.3">
      <c r="A183" s="799"/>
      <c r="B183" s="780"/>
      <c r="C183" s="806"/>
      <c r="D183" s="799"/>
      <c r="E183" s="793"/>
      <c r="F183" s="793"/>
      <c r="G183" s="793"/>
      <c r="H183" s="793"/>
      <c r="I183" s="821"/>
      <c r="J183" s="793"/>
      <c r="K183" s="793"/>
      <c r="L183" s="855"/>
      <c r="M183" s="780"/>
      <c r="Q183" s="390"/>
      <c r="S183" s="438"/>
      <c r="V183" s="780"/>
      <c r="W183" s="390"/>
      <c r="AA183" s="390"/>
      <c r="AC183" s="390"/>
      <c r="AD183" s="438"/>
      <c r="AE183" s="390"/>
      <c r="AF183" s="784"/>
      <c r="AH183" s="780"/>
      <c r="AI183" s="801"/>
      <c r="AJ183" s="801"/>
      <c r="AK183" s="780"/>
      <c r="AL183" s="39"/>
      <c r="AM183" s="780"/>
      <c r="AN183" s="793"/>
      <c r="AO183" s="780"/>
      <c r="AP183" s="801"/>
      <c r="AQ183" s="780"/>
      <c r="AR183" s="802"/>
      <c r="AS183" s="780"/>
      <c r="AT183" s="803"/>
      <c r="AU183" s="803"/>
      <c r="AV183" s="804"/>
      <c r="AW183" s="847"/>
    </row>
    <row r="184" spans="1:49" s="437" customFormat="1" ht="15" customHeight="1" x14ac:dyDescent="0.3">
      <c r="A184" s="799"/>
      <c r="B184" s="780"/>
      <c r="C184" s="806"/>
      <c r="D184" s="799"/>
      <c r="E184" s="793"/>
      <c r="F184" s="793"/>
      <c r="G184" s="793"/>
      <c r="H184" s="793"/>
      <c r="I184" s="821"/>
      <c r="J184" s="793"/>
      <c r="K184" s="793"/>
      <c r="L184" s="855"/>
      <c r="M184" s="780"/>
      <c r="Q184" s="390"/>
      <c r="S184" s="438"/>
      <c r="V184" s="780"/>
      <c r="W184" s="390"/>
      <c r="AA184" s="390"/>
      <c r="AC184" s="390"/>
      <c r="AD184" s="438"/>
      <c r="AE184" s="390"/>
      <c r="AF184" s="784"/>
      <c r="AH184" s="780"/>
      <c r="AI184" s="801"/>
      <c r="AJ184" s="801"/>
      <c r="AK184" s="780"/>
      <c r="AL184" s="39"/>
      <c r="AM184" s="780"/>
      <c r="AN184" s="793"/>
      <c r="AO184" s="780"/>
      <c r="AP184" s="801"/>
      <c r="AQ184" s="780"/>
      <c r="AR184" s="802"/>
      <c r="AS184" s="780"/>
      <c r="AT184" s="803"/>
      <c r="AU184" s="803"/>
      <c r="AV184" s="804"/>
      <c r="AW184" s="847"/>
    </row>
    <row r="185" spans="1:49" s="437" customFormat="1" ht="15" customHeight="1" x14ac:dyDescent="0.3">
      <c r="A185" s="799"/>
      <c r="B185" s="780"/>
      <c r="C185" s="806"/>
      <c r="D185" s="799"/>
      <c r="E185" s="793"/>
      <c r="F185" s="793"/>
      <c r="G185" s="793"/>
      <c r="H185" s="793"/>
      <c r="I185" s="821"/>
      <c r="J185" s="793"/>
      <c r="K185" s="793"/>
      <c r="L185" s="855"/>
      <c r="M185" s="780"/>
      <c r="Q185" s="390"/>
      <c r="S185" s="438"/>
      <c r="V185" s="780"/>
      <c r="W185" s="390"/>
      <c r="AA185" s="390"/>
      <c r="AC185" s="390"/>
      <c r="AD185" s="438"/>
      <c r="AE185" s="390"/>
      <c r="AF185" s="784"/>
      <c r="AH185" s="780"/>
      <c r="AI185" s="801"/>
      <c r="AJ185" s="801"/>
      <c r="AK185" s="780"/>
      <c r="AL185" s="39"/>
      <c r="AM185" s="780"/>
      <c r="AN185" s="793"/>
      <c r="AO185" s="780"/>
      <c r="AP185" s="801"/>
      <c r="AQ185" s="780"/>
      <c r="AR185" s="802"/>
      <c r="AS185" s="780"/>
      <c r="AT185" s="803"/>
      <c r="AU185" s="803"/>
      <c r="AV185" s="804"/>
      <c r="AW185" s="847"/>
    </row>
    <row r="186" spans="1:49" s="437" customFormat="1" ht="15" customHeight="1" x14ac:dyDescent="0.3">
      <c r="A186" s="799"/>
      <c r="B186" s="780"/>
      <c r="C186" s="806"/>
      <c r="D186" s="799"/>
      <c r="E186" s="793"/>
      <c r="F186" s="793"/>
      <c r="G186" s="793"/>
      <c r="H186" s="793"/>
      <c r="I186" s="821"/>
      <c r="J186" s="793"/>
      <c r="K186" s="793"/>
      <c r="L186" s="855"/>
      <c r="M186" s="780"/>
      <c r="Q186" s="390"/>
      <c r="S186" s="438"/>
      <c r="V186" s="780"/>
      <c r="W186" s="390"/>
      <c r="AA186" s="390"/>
      <c r="AC186" s="390"/>
      <c r="AD186" s="438"/>
      <c r="AE186" s="390"/>
      <c r="AF186" s="784"/>
      <c r="AH186" s="780"/>
      <c r="AI186" s="801"/>
      <c r="AJ186" s="801"/>
      <c r="AK186" s="780"/>
      <c r="AL186" s="39"/>
      <c r="AM186" s="780"/>
      <c r="AN186" s="793"/>
      <c r="AO186" s="780"/>
      <c r="AP186" s="801"/>
      <c r="AQ186" s="780"/>
      <c r="AR186" s="802"/>
      <c r="AS186" s="780"/>
      <c r="AT186" s="803"/>
      <c r="AU186" s="803"/>
      <c r="AV186" s="804"/>
      <c r="AW186" s="847"/>
    </row>
    <row r="187" spans="1:49" s="437" customFormat="1" ht="15" customHeight="1" x14ac:dyDescent="0.3">
      <c r="A187" s="799"/>
      <c r="B187" s="780"/>
      <c r="C187" s="806"/>
      <c r="D187" s="799"/>
      <c r="E187" s="793"/>
      <c r="F187" s="793"/>
      <c r="G187" s="793"/>
      <c r="H187" s="793"/>
      <c r="I187" s="821"/>
      <c r="J187" s="793"/>
      <c r="K187" s="793"/>
      <c r="L187" s="855"/>
      <c r="M187" s="780"/>
      <c r="Q187" s="390"/>
      <c r="S187" s="438"/>
      <c r="V187" s="780"/>
      <c r="W187" s="390"/>
      <c r="AA187" s="390"/>
      <c r="AC187" s="390"/>
      <c r="AD187" s="438"/>
      <c r="AE187" s="390"/>
      <c r="AF187" s="784"/>
      <c r="AH187" s="780"/>
      <c r="AI187" s="801"/>
      <c r="AJ187" s="801"/>
      <c r="AK187" s="780"/>
      <c r="AL187" s="39"/>
      <c r="AM187" s="780"/>
      <c r="AN187" s="793"/>
      <c r="AO187" s="780"/>
      <c r="AP187" s="801"/>
      <c r="AQ187" s="780"/>
      <c r="AR187" s="802"/>
      <c r="AS187" s="780"/>
      <c r="AT187" s="803"/>
      <c r="AU187" s="803"/>
      <c r="AV187" s="804"/>
      <c r="AW187" s="847"/>
    </row>
    <row r="188" spans="1:49" s="437" customFormat="1" ht="15" customHeight="1" x14ac:dyDescent="0.3">
      <c r="A188" s="799"/>
      <c r="B188" s="780"/>
      <c r="C188" s="806"/>
      <c r="D188" s="799"/>
      <c r="E188" s="793"/>
      <c r="F188" s="793"/>
      <c r="G188" s="793"/>
      <c r="H188" s="793"/>
      <c r="I188" s="821"/>
      <c r="J188" s="793"/>
      <c r="K188" s="793"/>
      <c r="L188" s="855"/>
      <c r="M188" s="780"/>
      <c r="Q188" s="390"/>
      <c r="S188" s="438"/>
      <c r="V188" s="780"/>
      <c r="W188" s="390"/>
      <c r="AA188" s="390"/>
      <c r="AC188" s="390"/>
      <c r="AD188" s="438"/>
      <c r="AE188" s="390"/>
      <c r="AF188" s="784"/>
      <c r="AH188" s="780"/>
      <c r="AI188" s="801"/>
      <c r="AJ188" s="801"/>
      <c r="AK188" s="780"/>
      <c r="AL188" s="39"/>
      <c r="AM188" s="780"/>
      <c r="AN188" s="793"/>
      <c r="AO188" s="780"/>
      <c r="AP188" s="801"/>
      <c r="AQ188" s="780"/>
      <c r="AR188" s="802"/>
      <c r="AS188" s="780"/>
      <c r="AT188" s="803"/>
      <c r="AU188" s="803"/>
      <c r="AV188" s="804"/>
      <c r="AW188" s="847"/>
    </row>
    <row r="189" spans="1:49" s="437" customFormat="1" ht="15" customHeight="1" x14ac:dyDescent="0.3">
      <c r="A189" s="799"/>
      <c r="B189" s="780"/>
      <c r="C189" s="806"/>
      <c r="D189" s="799"/>
      <c r="E189" s="793"/>
      <c r="F189" s="793"/>
      <c r="G189" s="793"/>
      <c r="H189" s="793"/>
      <c r="I189" s="821"/>
      <c r="J189" s="793"/>
      <c r="K189" s="793"/>
      <c r="L189" s="855"/>
      <c r="M189" s="780"/>
      <c r="Q189" s="390"/>
      <c r="S189" s="438"/>
      <c r="V189" s="780"/>
      <c r="W189" s="390"/>
      <c r="AA189" s="390"/>
      <c r="AC189" s="390"/>
      <c r="AD189" s="438"/>
      <c r="AE189" s="390"/>
      <c r="AF189" s="784"/>
      <c r="AH189" s="780"/>
      <c r="AI189" s="801"/>
      <c r="AJ189" s="801"/>
      <c r="AK189" s="780"/>
      <c r="AL189" s="39"/>
      <c r="AM189" s="780"/>
      <c r="AN189" s="793"/>
      <c r="AO189" s="780"/>
      <c r="AP189" s="801"/>
      <c r="AQ189" s="780"/>
      <c r="AR189" s="802"/>
      <c r="AS189" s="780"/>
      <c r="AT189" s="803"/>
      <c r="AU189" s="803"/>
      <c r="AV189" s="804"/>
      <c r="AW189" s="847"/>
    </row>
    <row r="190" spans="1:49" s="437" customFormat="1" ht="15" customHeight="1" x14ac:dyDescent="0.3">
      <c r="A190" s="799"/>
      <c r="B190" s="780"/>
      <c r="C190" s="806"/>
      <c r="D190" s="799"/>
      <c r="E190" s="793"/>
      <c r="F190" s="793"/>
      <c r="G190" s="793"/>
      <c r="H190" s="793"/>
      <c r="I190" s="821"/>
      <c r="J190" s="793"/>
      <c r="K190" s="793"/>
      <c r="L190" s="855"/>
      <c r="M190" s="780"/>
      <c r="Q190" s="390"/>
      <c r="S190" s="438"/>
      <c r="V190" s="780"/>
      <c r="W190" s="390"/>
      <c r="AA190" s="390"/>
      <c r="AC190" s="390"/>
      <c r="AD190" s="438"/>
      <c r="AE190" s="390"/>
      <c r="AF190" s="784"/>
      <c r="AH190" s="780"/>
      <c r="AI190" s="801"/>
      <c r="AJ190" s="801"/>
      <c r="AK190" s="780"/>
      <c r="AL190" s="39"/>
      <c r="AM190" s="780"/>
      <c r="AN190" s="793"/>
      <c r="AO190" s="780"/>
      <c r="AP190" s="801"/>
      <c r="AQ190" s="780"/>
      <c r="AR190" s="802"/>
      <c r="AS190" s="780"/>
      <c r="AT190" s="803"/>
      <c r="AU190" s="803"/>
      <c r="AV190" s="804"/>
      <c r="AW190" s="847"/>
    </row>
    <row r="191" spans="1:49" s="437" customFormat="1" ht="15" customHeight="1" x14ac:dyDescent="0.3">
      <c r="A191" s="799"/>
      <c r="B191" s="780"/>
      <c r="C191" s="806"/>
      <c r="D191" s="799"/>
      <c r="E191" s="793"/>
      <c r="F191" s="793"/>
      <c r="G191" s="793"/>
      <c r="H191" s="793"/>
      <c r="I191" s="821"/>
      <c r="J191" s="793"/>
      <c r="K191" s="793"/>
      <c r="L191" s="855"/>
      <c r="M191" s="780"/>
      <c r="Q191" s="390"/>
      <c r="S191" s="438"/>
      <c r="V191" s="780"/>
      <c r="W191" s="390"/>
      <c r="AA191" s="390"/>
      <c r="AC191" s="390"/>
      <c r="AD191" s="438"/>
      <c r="AE191" s="390"/>
      <c r="AF191" s="784"/>
      <c r="AH191" s="780"/>
      <c r="AI191" s="801"/>
      <c r="AJ191" s="801"/>
      <c r="AK191" s="780"/>
      <c r="AL191" s="39"/>
      <c r="AM191" s="780"/>
      <c r="AN191" s="793"/>
      <c r="AO191" s="780"/>
      <c r="AP191" s="801"/>
      <c r="AQ191" s="780"/>
      <c r="AR191" s="802"/>
      <c r="AS191" s="780"/>
      <c r="AT191" s="803"/>
      <c r="AU191" s="803"/>
      <c r="AV191" s="804"/>
      <c r="AW191" s="847"/>
    </row>
    <row r="192" spans="1:49" s="437" customFormat="1" ht="15" customHeight="1" x14ac:dyDescent="0.3">
      <c r="A192" s="799"/>
      <c r="B192" s="780"/>
      <c r="C192" s="806"/>
      <c r="D192" s="799"/>
      <c r="E192" s="793"/>
      <c r="F192" s="793"/>
      <c r="G192" s="793"/>
      <c r="H192" s="793"/>
      <c r="I192" s="821"/>
      <c r="J192" s="793"/>
      <c r="K192" s="793"/>
      <c r="L192" s="855"/>
      <c r="M192" s="780"/>
      <c r="Q192" s="390"/>
      <c r="S192" s="438"/>
      <c r="V192" s="780"/>
      <c r="W192" s="390"/>
      <c r="AA192" s="390"/>
      <c r="AC192" s="390"/>
      <c r="AD192" s="438"/>
      <c r="AE192" s="390"/>
      <c r="AF192" s="784"/>
      <c r="AH192" s="780"/>
      <c r="AI192" s="801"/>
      <c r="AJ192" s="801"/>
      <c r="AK192" s="780"/>
      <c r="AL192" s="39"/>
      <c r="AM192" s="780"/>
      <c r="AN192" s="793"/>
      <c r="AO192" s="780"/>
      <c r="AP192" s="801"/>
      <c r="AQ192" s="780"/>
      <c r="AR192" s="802"/>
      <c r="AS192" s="780"/>
      <c r="AT192" s="803"/>
      <c r="AU192" s="803"/>
      <c r="AV192" s="804"/>
      <c r="AW192" s="847"/>
    </row>
    <row r="193" spans="1:49" s="437" customFormat="1" ht="15" customHeight="1" x14ac:dyDescent="0.3">
      <c r="A193" s="799"/>
      <c r="B193" s="780"/>
      <c r="C193" s="806"/>
      <c r="D193" s="799"/>
      <c r="E193" s="793"/>
      <c r="F193" s="793"/>
      <c r="G193" s="793"/>
      <c r="H193" s="793"/>
      <c r="I193" s="821"/>
      <c r="J193" s="793"/>
      <c r="K193" s="793"/>
      <c r="L193" s="855"/>
      <c r="M193" s="780"/>
      <c r="Q193" s="390"/>
      <c r="S193" s="438"/>
      <c r="V193" s="780"/>
      <c r="W193" s="390"/>
      <c r="AA193" s="390"/>
      <c r="AC193" s="390"/>
      <c r="AD193" s="438"/>
      <c r="AE193" s="390"/>
      <c r="AF193" s="784"/>
      <c r="AH193" s="780"/>
      <c r="AI193" s="801"/>
      <c r="AJ193" s="801"/>
      <c r="AK193" s="780"/>
      <c r="AL193" s="39"/>
      <c r="AM193" s="780"/>
      <c r="AN193" s="793"/>
      <c r="AO193" s="780"/>
      <c r="AP193" s="801"/>
      <c r="AQ193" s="780"/>
      <c r="AR193" s="802"/>
      <c r="AS193" s="780"/>
      <c r="AT193" s="803"/>
      <c r="AU193" s="803"/>
      <c r="AV193" s="804"/>
      <c r="AW193" s="847"/>
    </row>
    <row r="194" spans="1:49" s="437" customFormat="1" ht="15" customHeight="1" x14ac:dyDescent="0.3">
      <c r="A194" s="799"/>
      <c r="B194" s="780"/>
      <c r="C194" s="806"/>
      <c r="D194" s="799"/>
      <c r="E194" s="793"/>
      <c r="F194" s="793"/>
      <c r="G194" s="793"/>
      <c r="H194" s="793"/>
      <c r="I194" s="821"/>
      <c r="J194" s="793"/>
      <c r="K194" s="793"/>
      <c r="L194" s="855"/>
      <c r="M194" s="780"/>
      <c r="Q194" s="390"/>
      <c r="S194" s="438"/>
      <c r="V194" s="780"/>
      <c r="W194" s="390"/>
      <c r="AA194" s="390"/>
      <c r="AC194" s="390"/>
      <c r="AD194" s="438"/>
      <c r="AE194" s="390"/>
      <c r="AF194" s="784"/>
      <c r="AH194" s="780"/>
      <c r="AI194" s="801"/>
      <c r="AJ194" s="801"/>
      <c r="AK194" s="780"/>
      <c r="AL194" s="39"/>
      <c r="AM194" s="780"/>
      <c r="AN194" s="793"/>
      <c r="AO194" s="780"/>
      <c r="AP194" s="801"/>
      <c r="AQ194" s="780"/>
      <c r="AR194" s="802"/>
      <c r="AS194" s="780"/>
      <c r="AT194" s="803"/>
      <c r="AU194" s="803"/>
      <c r="AV194" s="804"/>
      <c r="AW194" s="847"/>
    </row>
    <row r="195" spans="1:49" s="437" customFormat="1" ht="15" customHeight="1" x14ac:dyDescent="0.3">
      <c r="A195" s="799"/>
      <c r="B195" s="780"/>
      <c r="C195" s="806"/>
      <c r="D195" s="799"/>
      <c r="E195" s="793"/>
      <c r="F195" s="793"/>
      <c r="G195" s="793"/>
      <c r="H195" s="793"/>
      <c r="I195" s="821"/>
      <c r="J195" s="793"/>
      <c r="K195" s="793"/>
      <c r="L195" s="855"/>
      <c r="M195" s="780"/>
      <c r="Q195" s="390"/>
      <c r="S195" s="438"/>
      <c r="V195" s="780"/>
      <c r="W195" s="390"/>
      <c r="AA195" s="390"/>
      <c r="AC195" s="390"/>
      <c r="AD195" s="438"/>
      <c r="AE195" s="390"/>
      <c r="AF195" s="784"/>
      <c r="AH195" s="780"/>
      <c r="AI195" s="801"/>
      <c r="AJ195" s="801"/>
      <c r="AK195" s="780"/>
      <c r="AL195" s="39"/>
      <c r="AM195" s="780"/>
      <c r="AN195" s="793"/>
      <c r="AO195" s="780"/>
      <c r="AP195" s="801"/>
      <c r="AQ195" s="780"/>
      <c r="AR195" s="802"/>
      <c r="AS195" s="780"/>
      <c r="AT195" s="803"/>
      <c r="AU195" s="803"/>
      <c r="AV195" s="804"/>
      <c r="AW195" s="847"/>
    </row>
    <row r="196" spans="1:49" s="437" customFormat="1" ht="15" customHeight="1" x14ac:dyDescent="0.3">
      <c r="A196" s="799"/>
      <c r="B196" s="780"/>
      <c r="C196" s="806"/>
      <c r="D196" s="799"/>
      <c r="E196" s="793"/>
      <c r="F196" s="793"/>
      <c r="G196" s="793"/>
      <c r="H196" s="793"/>
      <c r="I196" s="821"/>
      <c r="J196" s="793"/>
      <c r="K196" s="793"/>
      <c r="L196" s="855"/>
      <c r="M196" s="780"/>
      <c r="Q196" s="390"/>
      <c r="S196" s="438"/>
      <c r="V196" s="780"/>
      <c r="W196" s="390"/>
      <c r="AA196" s="390"/>
      <c r="AC196" s="390"/>
      <c r="AD196" s="438"/>
      <c r="AE196" s="390"/>
      <c r="AF196" s="784"/>
      <c r="AH196" s="780"/>
      <c r="AI196" s="801"/>
      <c r="AJ196" s="801"/>
      <c r="AK196" s="780"/>
      <c r="AL196" s="39"/>
      <c r="AM196" s="780"/>
      <c r="AN196" s="793"/>
      <c r="AO196" s="780"/>
      <c r="AP196" s="801"/>
      <c r="AQ196" s="780"/>
      <c r="AR196" s="802"/>
      <c r="AS196" s="780"/>
      <c r="AT196" s="803"/>
      <c r="AU196" s="803"/>
      <c r="AV196" s="804"/>
      <c r="AW196" s="847"/>
    </row>
    <row r="197" spans="1:49" s="437" customFormat="1" ht="15" customHeight="1" x14ac:dyDescent="0.3">
      <c r="A197" s="799"/>
      <c r="B197" s="780"/>
      <c r="C197" s="806"/>
      <c r="D197" s="799"/>
      <c r="E197" s="793"/>
      <c r="F197" s="793"/>
      <c r="G197" s="793"/>
      <c r="H197" s="793"/>
      <c r="I197" s="821"/>
      <c r="J197" s="793"/>
      <c r="K197" s="793"/>
      <c r="L197" s="855"/>
      <c r="M197" s="780"/>
      <c r="Q197" s="390"/>
      <c r="S197" s="438"/>
      <c r="V197" s="780"/>
      <c r="W197" s="390"/>
      <c r="AA197" s="390"/>
      <c r="AC197" s="390"/>
      <c r="AD197" s="438"/>
      <c r="AE197" s="390"/>
      <c r="AF197" s="784"/>
      <c r="AH197" s="780"/>
      <c r="AI197" s="801"/>
      <c r="AJ197" s="801"/>
      <c r="AK197" s="780"/>
      <c r="AL197" s="39"/>
      <c r="AM197" s="780"/>
      <c r="AN197" s="793"/>
      <c r="AO197" s="780"/>
      <c r="AP197" s="801"/>
      <c r="AQ197" s="780"/>
      <c r="AR197" s="802"/>
      <c r="AS197" s="780"/>
      <c r="AT197" s="803"/>
      <c r="AU197" s="803"/>
      <c r="AV197" s="804"/>
      <c r="AW197" s="847"/>
    </row>
    <row r="198" spans="1:49" s="437" customFormat="1" ht="15" customHeight="1" x14ac:dyDescent="0.3">
      <c r="A198" s="799"/>
      <c r="B198" s="780"/>
      <c r="C198" s="806"/>
      <c r="D198" s="799"/>
      <c r="E198" s="793"/>
      <c r="F198" s="793"/>
      <c r="G198" s="793"/>
      <c r="H198" s="793"/>
      <c r="I198" s="821"/>
      <c r="J198" s="793"/>
      <c r="K198" s="793"/>
      <c r="L198" s="855"/>
      <c r="M198" s="780"/>
      <c r="Q198" s="390"/>
      <c r="S198" s="438"/>
      <c r="V198" s="780"/>
      <c r="W198" s="390"/>
      <c r="AA198" s="390"/>
      <c r="AC198" s="390"/>
      <c r="AD198" s="438"/>
      <c r="AE198" s="390"/>
      <c r="AF198" s="784"/>
      <c r="AH198" s="780"/>
      <c r="AI198" s="801"/>
      <c r="AJ198" s="801"/>
      <c r="AK198" s="780"/>
      <c r="AL198" s="39"/>
      <c r="AM198" s="780"/>
      <c r="AN198" s="793"/>
      <c r="AO198" s="780"/>
      <c r="AP198" s="801"/>
      <c r="AQ198" s="780"/>
      <c r="AR198" s="802"/>
      <c r="AS198" s="780"/>
      <c r="AT198" s="803"/>
      <c r="AU198" s="803"/>
      <c r="AV198" s="804"/>
      <c r="AW198" s="847"/>
    </row>
    <row r="199" spans="1:49" s="437" customFormat="1" ht="15" customHeight="1" x14ac:dyDescent="0.3">
      <c r="A199" s="799"/>
      <c r="B199" s="780"/>
      <c r="C199" s="806"/>
      <c r="D199" s="799"/>
      <c r="E199" s="793"/>
      <c r="F199" s="793"/>
      <c r="G199" s="793"/>
      <c r="H199" s="793"/>
      <c r="I199" s="821"/>
      <c r="J199" s="793"/>
      <c r="K199" s="793"/>
      <c r="L199" s="855"/>
      <c r="M199" s="780"/>
      <c r="Q199" s="390"/>
      <c r="S199" s="438"/>
      <c r="V199" s="780"/>
      <c r="W199" s="390"/>
      <c r="AA199" s="390"/>
      <c r="AC199" s="390"/>
      <c r="AD199" s="438"/>
      <c r="AE199" s="390"/>
      <c r="AF199" s="784"/>
      <c r="AH199" s="780"/>
      <c r="AI199" s="801"/>
      <c r="AJ199" s="801"/>
      <c r="AK199" s="780"/>
      <c r="AL199" s="39"/>
      <c r="AM199" s="780"/>
      <c r="AN199" s="793"/>
      <c r="AO199" s="780"/>
      <c r="AP199" s="801"/>
      <c r="AQ199" s="780"/>
      <c r="AR199" s="802"/>
      <c r="AS199" s="780"/>
      <c r="AT199" s="803"/>
      <c r="AU199" s="803"/>
      <c r="AV199" s="804"/>
      <c r="AW199" s="847"/>
    </row>
    <row r="200" spans="1:49" s="437" customFormat="1" ht="15" customHeight="1" x14ac:dyDescent="0.3">
      <c r="A200" s="799"/>
      <c r="B200" s="780"/>
      <c r="C200" s="806"/>
      <c r="D200" s="799"/>
      <c r="E200" s="793"/>
      <c r="F200" s="793"/>
      <c r="G200" s="793"/>
      <c r="H200" s="793"/>
      <c r="I200" s="821"/>
      <c r="J200" s="793"/>
      <c r="K200" s="793"/>
      <c r="L200" s="855"/>
      <c r="M200" s="780"/>
      <c r="Q200" s="390"/>
      <c r="S200" s="438"/>
      <c r="V200" s="780"/>
      <c r="W200" s="390"/>
      <c r="AA200" s="390"/>
      <c r="AC200" s="390"/>
      <c r="AD200" s="438"/>
      <c r="AE200" s="390"/>
      <c r="AF200" s="784"/>
      <c r="AH200" s="780"/>
      <c r="AI200" s="801"/>
      <c r="AJ200" s="801"/>
      <c r="AK200" s="780"/>
      <c r="AL200" s="39"/>
      <c r="AM200" s="780"/>
      <c r="AN200" s="793"/>
      <c r="AO200" s="780"/>
      <c r="AP200" s="801"/>
      <c r="AQ200" s="780"/>
      <c r="AR200" s="802"/>
      <c r="AS200" s="780"/>
      <c r="AT200" s="803"/>
      <c r="AU200" s="803"/>
      <c r="AV200" s="804"/>
      <c r="AW200" s="847"/>
    </row>
    <row r="201" spans="1:49" s="437" customFormat="1" ht="15" customHeight="1" x14ac:dyDescent="0.3">
      <c r="A201" s="799"/>
      <c r="B201" s="780"/>
      <c r="C201" s="806"/>
      <c r="D201" s="799"/>
      <c r="E201" s="793"/>
      <c r="F201" s="793"/>
      <c r="G201" s="793"/>
      <c r="H201" s="793"/>
      <c r="I201" s="821"/>
      <c r="J201" s="793"/>
      <c r="K201" s="793"/>
      <c r="L201" s="855"/>
      <c r="M201" s="780"/>
      <c r="Q201" s="390"/>
      <c r="S201" s="438"/>
      <c r="V201" s="780"/>
      <c r="W201" s="390"/>
      <c r="AA201" s="390"/>
      <c r="AC201" s="390"/>
      <c r="AD201" s="438"/>
      <c r="AE201" s="390"/>
      <c r="AF201" s="784"/>
      <c r="AH201" s="780"/>
      <c r="AI201" s="801"/>
      <c r="AJ201" s="801"/>
      <c r="AK201" s="780"/>
      <c r="AL201" s="39"/>
      <c r="AM201" s="780"/>
      <c r="AN201" s="793"/>
      <c r="AO201" s="780"/>
      <c r="AP201" s="801"/>
      <c r="AQ201" s="780"/>
      <c r="AR201" s="802"/>
      <c r="AS201" s="780"/>
      <c r="AT201" s="803"/>
      <c r="AU201" s="803"/>
      <c r="AV201" s="804"/>
      <c r="AW201" s="847"/>
    </row>
    <row r="202" spans="1:49" s="437" customFormat="1" ht="15" customHeight="1" x14ac:dyDescent="0.3">
      <c r="A202" s="799"/>
      <c r="B202" s="780"/>
      <c r="C202" s="806"/>
      <c r="D202" s="799"/>
      <c r="E202" s="793"/>
      <c r="F202" s="793"/>
      <c r="G202" s="793"/>
      <c r="H202" s="793"/>
      <c r="I202" s="821"/>
      <c r="J202" s="793"/>
      <c r="K202" s="793"/>
      <c r="L202" s="855"/>
      <c r="M202" s="780"/>
      <c r="Q202" s="390"/>
      <c r="S202" s="438"/>
      <c r="V202" s="780"/>
      <c r="W202" s="390"/>
      <c r="AA202" s="390"/>
      <c r="AC202" s="390"/>
      <c r="AD202" s="438"/>
      <c r="AE202" s="390"/>
      <c r="AF202" s="784"/>
      <c r="AH202" s="780"/>
      <c r="AI202" s="801"/>
      <c r="AJ202" s="801"/>
      <c r="AK202" s="780"/>
      <c r="AL202" s="39"/>
      <c r="AM202" s="780"/>
      <c r="AN202" s="793"/>
      <c r="AO202" s="780"/>
      <c r="AP202" s="801"/>
      <c r="AQ202" s="780"/>
      <c r="AR202" s="802"/>
      <c r="AS202" s="780"/>
      <c r="AT202" s="803"/>
      <c r="AU202" s="803"/>
      <c r="AV202" s="804"/>
      <c r="AW202" s="847"/>
    </row>
    <row r="203" spans="1:49" s="437" customFormat="1" ht="15" customHeight="1" x14ac:dyDescent="0.3">
      <c r="A203" s="799"/>
      <c r="B203" s="780"/>
      <c r="C203" s="806"/>
      <c r="D203" s="799"/>
      <c r="E203" s="793"/>
      <c r="F203" s="793"/>
      <c r="G203" s="793"/>
      <c r="H203" s="793"/>
      <c r="I203" s="821"/>
      <c r="J203" s="793"/>
      <c r="K203" s="793"/>
      <c r="L203" s="855"/>
      <c r="M203" s="780"/>
      <c r="Q203" s="390"/>
      <c r="S203" s="438"/>
      <c r="V203" s="780"/>
      <c r="W203" s="390"/>
      <c r="AA203" s="390"/>
      <c r="AC203" s="390"/>
      <c r="AD203" s="438"/>
      <c r="AE203" s="390"/>
      <c r="AF203" s="784"/>
      <c r="AH203" s="780"/>
      <c r="AI203" s="801"/>
      <c r="AJ203" s="801"/>
      <c r="AK203" s="780"/>
      <c r="AL203" s="39"/>
      <c r="AM203" s="780"/>
      <c r="AN203" s="793"/>
      <c r="AO203" s="780"/>
      <c r="AP203" s="801"/>
      <c r="AQ203" s="780"/>
      <c r="AR203" s="802"/>
      <c r="AS203" s="780"/>
      <c r="AT203" s="803"/>
      <c r="AU203" s="803"/>
      <c r="AV203" s="804"/>
      <c r="AW203" s="847"/>
    </row>
    <row r="204" spans="1:49" s="437" customFormat="1" ht="15" customHeight="1" x14ac:dyDescent="0.3">
      <c r="A204" s="799"/>
      <c r="B204" s="780"/>
      <c r="C204" s="806"/>
      <c r="D204" s="799"/>
      <c r="E204" s="793"/>
      <c r="F204" s="793"/>
      <c r="G204" s="793"/>
      <c r="H204" s="793"/>
      <c r="I204" s="821"/>
      <c r="J204" s="793"/>
      <c r="K204" s="793"/>
      <c r="L204" s="855"/>
      <c r="M204" s="780"/>
      <c r="Q204" s="390"/>
      <c r="S204" s="438"/>
      <c r="V204" s="780"/>
      <c r="W204" s="390"/>
      <c r="AA204" s="390"/>
      <c r="AC204" s="390"/>
      <c r="AD204" s="438"/>
      <c r="AE204" s="390"/>
      <c r="AF204" s="784"/>
      <c r="AH204" s="780"/>
      <c r="AI204" s="801"/>
      <c r="AJ204" s="801"/>
      <c r="AK204" s="780"/>
      <c r="AL204" s="39"/>
      <c r="AM204" s="780"/>
      <c r="AN204" s="793"/>
      <c r="AO204" s="780"/>
      <c r="AP204" s="801"/>
      <c r="AQ204" s="780"/>
      <c r="AR204" s="802"/>
      <c r="AS204" s="780"/>
      <c r="AT204" s="803"/>
      <c r="AU204" s="803"/>
      <c r="AV204" s="804"/>
      <c r="AW204" s="847"/>
    </row>
    <row r="205" spans="1:49" s="437" customFormat="1" ht="15" customHeight="1" x14ac:dyDescent="0.3">
      <c r="A205" s="799"/>
      <c r="B205" s="780"/>
      <c r="C205" s="806"/>
      <c r="D205" s="799"/>
      <c r="E205" s="793"/>
      <c r="F205" s="793"/>
      <c r="G205" s="793"/>
      <c r="H205" s="793"/>
      <c r="I205" s="821"/>
      <c r="J205" s="793"/>
      <c r="K205" s="793"/>
      <c r="L205" s="855"/>
      <c r="M205" s="780"/>
      <c r="Q205" s="390"/>
      <c r="S205" s="438"/>
      <c r="V205" s="780"/>
      <c r="W205" s="390"/>
      <c r="AA205" s="390"/>
      <c r="AC205" s="390"/>
      <c r="AD205" s="438"/>
      <c r="AE205" s="390"/>
      <c r="AF205" s="784"/>
      <c r="AH205" s="780"/>
      <c r="AI205" s="801"/>
      <c r="AJ205" s="801"/>
      <c r="AK205" s="780"/>
      <c r="AL205" s="39"/>
      <c r="AM205" s="780"/>
      <c r="AN205" s="793"/>
      <c r="AO205" s="780"/>
      <c r="AP205" s="801"/>
      <c r="AQ205" s="780"/>
      <c r="AR205" s="802"/>
      <c r="AS205" s="780"/>
      <c r="AT205" s="803"/>
      <c r="AU205" s="803"/>
      <c r="AV205" s="804"/>
      <c r="AW205" s="847"/>
    </row>
    <row r="206" spans="1:49" s="437" customFormat="1" ht="15" customHeight="1" x14ac:dyDescent="0.3">
      <c r="A206" s="799"/>
      <c r="B206" s="780"/>
      <c r="C206" s="806"/>
      <c r="D206" s="799"/>
      <c r="E206" s="793"/>
      <c r="F206" s="793"/>
      <c r="G206" s="793"/>
      <c r="H206" s="793"/>
      <c r="I206" s="821"/>
      <c r="J206" s="793"/>
      <c r="K206" s="793"/>
      <c r="L206" s="855"/>
      <c r="M206" s="780"/>
      <c r="Q206" s="390"/>
      <c r="S206" s="438"/>
      <c r="V206" s="780"/>
      <c r="W206" s="390"/>
      <c r="AA206" s="390"/>
      <c r="AC206" s="390"/>
      <c r="AD206" s="438"/>
      <c r="AE206" s="390"/>
      <c r="AF206" s="784"/>
      <c r="AH206" s="780"/>
      <c r="AI206" s="801"/>
      <c r="AJ206" s="801"/>
      <c r="AK206" s="780"/>
      <c r="AL206" s="39"/>
      <c r="AM206" s="780"/>
      <c r="AN206" s="793"/>
      <c r="AO206" s="780"/>
      <c r="AP206" s="801"/>
      <c r="AQ206" s="780"/>
      <c r="AR206" s="802"/>
      <c r="AS206" s="780"/>
      <c r="AT206" s="803"/>
      <c r="AU206" s="803"/>
      <c r="AV206" s="804"/>
      <c r="AW206" s="847"/>
    </row>
    <row r="207" spans="1:49" ht="15" customHeight="1" x14ac:dyDescent="0.3">
      <c r="A207" s="799"/>
      <c r="B207" s="780"/>
      <c r="C207" s="793"/>
      <c r="D207" s="799"/>
      <c r="E207" s="800"/>
      <c r="F207" s="793"/>
      <c r="G207" s="793"/>
      <c r="H207" s="793"/>
      <c r="I207" s="821"/>
      <c r="J207" s="793"/>
      <c r="K207" s="793"/>
      <c r="L207" s="793"/>
      <c r="M207" s="780"/>
      <c r="N207" s="437"/>
      <c r="O207" s="793"/>
      <c r="P207" s="793"/>
      <c r="Q207" s="794"/>
      <c r="R207" s="437"/>
      <c r="S207" s="796"/>
      <c r="T207" s="797"/>
      <c r="U207" s="798"/>
      <c r="V207" s="780"/>
      <c r="W207" s="794"/>
      <c r="X207" s="793"/>
      <c r="Y207" s="793"/>
      <c r="Z207" s="822"/>
      <c r="AA207" s="794"/>
      <c r="AB207" s="800"/>
      <c r="AC207" s="794"/>
      <c r="AD207" s="796"/>
      <c r="AE207" s="794"/>
      <c r="AF207" s="784"/>
      <c r="AG207"/>
      <c r="AH207" s="780"/>
      <c r="AI207" s="39"/>
      <c r="AJ207" s="836"/>
      <c r="AK207" s="780"/>
      <c r="AL207" s="39"/>
      <c r="AM207" s="780"/>
      <c r="AN207" s="793"/>
      <c r="AO207" s="780"/>
      <c r="AP207" s="39"/>
      <c r="AQ207" s="780"/>
      <c r="AR207" s="39"/>
      <c r="AS207" s="780"/>
      <c r="AT207" s="39"/>
      <c r="AU207" s="39"/>
      <c r="AV207" s="804"/>
      <c r="AW207" s="847"/>
    </row>
    <row r="208" spans="1:49" ht="15" customHeight="1" x14ac:dyDescent="0.3">
      <c r="A208" s="799"/>
      <c r="B208" s="780"/>
      <c r="C208" s="793"/>
      <c r="D208" s="799"/>
      <c r="E208" s="800"/>
      <c r="F208" s="793"/>
      <c r="G208" s="793"/>
      <c r="H208" s="793"/>
      <c r="I208" s="821"/>
      <c r="J208" s="793"/>
      <c r="K208" s="793"/>
      <c r="L208" s="793"/>
      <c r="M208" s="780"/>
      <c r="N208" s="437"/>
      <c r="O208" s="793"/>
      <c r="P208" s="793"/>
      <c r="Q208" s="794"/>
      <c r="R208" s="437"/>
      <c r="S208" s="796"/>
      <c r="T208" s="797"/>
      <c r="U208" s="798"/>
      <c r="V208" s="780"/>
      <c r="W208" s="794"/>
      <c r="X208" s="793"/>
      <c r="Y208" s="793"/>
      <c r="Z208" s="822"/>
      <c r="AA208" s="794"/>
      <c r="AB208" s="800"/>
      <c r="AC208" s="794"/>
      <c r="AD208" s="796"/>
      <c r="AE208" s="794"/>
      <c r="AF208" s="784"/>
      <c r="AG208"/>
      <c r="AH208" s="780"/>
      <c r="AI208" s="39"/>
      <c r="AJ208" s="836"/>
      <c r="AK208" s="780"/>
      <c r="AL208" s="39"/>
      <c r="AM208" s="780"/>
      <c r="AN208" s="793"/>
      <c r="AO208" s="780"/>
      <c r="AP208" s="39"/>
      <c r="AQ208" s="780"/>
      <c r="AR208" s="39"/>
      <c r="AS208" s="780"/>
      <c r="AT208" s="39"/>
      <c r="AU208" s="39"/>
      <c r="AV208" s="804"/>
      <c r="AW208" s="847"/>
    </row>
    <row r="209" spans="1:49" ht="15" customHeight="1" x14ac:dyDescent="0.3">
      <c r="A209" s="799"/>
      <c r="B209" s="780"/>
      <c r="C209" s="793"/>
      <c r="D209" s="799"/>
      <c r="E209" s="800"/>
      <c r="F209" s="793"/>
      <c r="G209" s="793"/>
      <c r="H209" s="793"/>
      <c r="I209" s="821"/>
      <c r="J209" s="793"/>
      <c r="K209" s="793"/>
      <c r="L209" s="793"/>
      <c r="M209" s="780"/>
      <c r="N209" s="437"/>
      <c r="O209" s="793"/>
      <c r="P209" s="793"/>
      <c r="Q209" s="794"/>
      <c r="R209" s="437"/>
      <c r="S209" s="796"/>
      <c r="T209" s="797"/>
      <c r="U209" s="798"/>
      <c r="V209" s="780"/>
      <c r="W209" s="794"/>
      <c r="X209" s="793"/>
      <c r="Y209" s="793"/>
      <c r="Z209" s="822"/>
      <c r="AA209" s="794"/>
      <c r="AB209" s="800"/>
      <c r="AC209" s="794"/>
      <c r="AD209" s="796"/>
      <c r="AE209" s="794"/>
      <c r="AF209" s="784"/>
      <c r="AG209"/>
      <c r="AH209" s="780"/>
      <c r="AI209" s="39"/>
      <c r="AJ209" s="836"/>
      <c r="AK209" s="780"/>
      <c r="AL209" s="39"/>
      <c r="AM209" s="780"/>
      <c r="AN209" s="793"/>
      <c r="AO209" s="780"/>
      <c r="AP209" s="39"/>
      <c r="AQ209" s="780"/>
      <c r="AR209" s="39"/>
      <c r="AS209" s="780"/>
      <c r="AT209" s="39"/>
      <c r="AU209" s="39"/>
      <c r="AV209" s="804"/>
      <c r="AW209" s="847"/>
    </row>
    <row r="210" spans="1:49" ht="15" customHeight="1" x14ac:dyDescent="0.3">
      <c r="A210" s="799"/>
      <c r="B210" s="780"/>
      <c r="C210" s="793"/>
      <c r="D210" s="799"/>
      <c r="E210" s="800"/>
      <c r="F210" s="793"/>
      <c r="G210" s="793"/>
      <c r="H210" s="793"/>
      <c r="I210" s="821"/>
      <c r="J210" s="793"/>
      <c r="K210" s="793"/>
      <c r="L210" s="793"/>
      <c r="M210" s="780"/>
      <c r="N210" s="437"/>
      <c r="O210" s="793"/>
      <c r="P210" s="793"/>
      <c r="Q210" s="794"/>
      <c r="R210" s="437"/>
      <c r="S210" s="796"/>
      <c r="T210" s="797"/>
      <c r="U210" s="798"/>
      <c r="V210" s="780"/>
      <c r="W210" s="794"/>
      <c r="X210" s="793"/>
      <c r="Y210" s="793"/>
      <c r="Z210" s="822"/>
      <c r="AA210" s="794"/>
      <c r="AB210" s="800"/>
      <c r="AC210" s="794"/>
      <c r="AD210" s="796"/>
      <c r="AE210" s="794"/>
      <c r="AF210" s="784"/>
      <c r="AG210"/>
      <c r="AH210" s="780"/>
      <c r="AI210" s="39"/>
      <c r="AJ210" s="836"/>
      <c r="AK210" s="780"/>
      <c r="AL210" s="39"/>
      <c r="AM210" s="780"/>
      <c r="AN210" s="793"/>
      <c r="AO210" s="780"/>
      <c r="AP210" s="39"/>
      <c r="AQ210" s="780"/>
      <c r="AR210" s="39"/>
      <c r="AS210" s="780"/>
      <c r="AT210" s="39"/>
      <c r="AU210" s="39"/>
      <c r="AV210" s="804"/>
      <c r="AW210" s="847"/>
    </row>
    <row r="211" spans="1:49" ht="15" customHeight="1" x14ac:dyDescent="0.3">
      <c r="A211" s="799"/>
      <c r="B211" s="780"/>
      <c r="C211" s="793"/>
      <c r="D211" s="799"/>
      <c r="E211" s="800"/>
      <c r="F211" s="793"/>
      <c r="G211" s="793"/>
      <c r="H211" s="793"/>
      <c r="I211" s="821"/>
      <c r="J211" s="793"/>
      <c r="K211" s="793"/>
      <c r="L211" s="793"/>
      <c r="M211" s="780"/>
      <c r="N211" s="437"/>
      <c r="O211" s="793"/>
      <c r="P211" s="793"/>
      <c r="Q211" s="794"/>
      <c r="R211" s="437"/>
      <c r="S211" s="796"/>
      <c r="T211" s="797"/>
      <c r="U211" s="798"/>
      <c r="V211" s="780"/>
      <c r="W211" s="794"/>
      <c r="X211" s="793"/>
      <c r="Y211" s="793"/>
      <c r="Z211" s="822"/>
      <c r="AA211" s="794"/>
      <c r="AB211" s="800"/>
      <c r="AC211" s="794"/>
      <c r="AD211" s="796"/>
      <c r="AE211" s="794"/>
      <c r="AF211" s="784"/>
      <c r="AG211"/>
      <c r="AH211" s="780"/>
      <c r="AI211" s="39"/>
      <c r="AJ211" s="836"/>
      <c r="AK211" s="780"/>
      <c r="AL211" s="39"/>
      <c r="AM211" s="780"/>
      <c r="AN211" s="793"/>
      <c r="AO211" s="780"/>
      <c r="AP211" s="39"/>
      <c r="AQ211" s="780"/>
      <c r="AR211" s="39"/>
      <c r="AS211" s="780"/>
      <c r="AT211" s="39"/>
      <c r="AU211" s="39"/>
      <c r="AV211" s="804"/>
      <c r="AW211" s="847"/>
    </row>
    <row r="212" spans="1:49" ht="15" customHeight="1" x14ac:dyDescent="0.3">
      <c r="A212" s="799"/>
      <c r="B212" s="780"/>
      <c r="C212" s="793"/>
      <c r="D212" s="799"/>
      <c r="E212" s="800"/>
      <c r="F212" s="793"/>
      <c r="G212" s="793"/>
      <c r="H212" s="793"/>
      <c r="I212" s="821"/>
      <c r="J212" s="793"/>
      <c r="K212" s="793"/>
      <c r="L212" s="793"/>
      <c r="M212" s="780"/>
      <c r="N212" s="437"/>
      <c r="O212" s="793"/>
      <c r="P212" s="793"/>
      <c r="Q212" s="794"/>
      <c r="R212" s="437"/>
      <c r="S212" s="796"/>
      <c r="T212" s="797"/>
      <c r="U212" s="798"/>
      <c r="V212" s="780"/>
      <c r="W212" s="794"/>
      <c r="X212" s="793"/>
      <c r="Y212" s="793"/>
      <c r="Z212" s="822"/>
      <c r="AA212" s="794"/>
      <c r="AB212" s="800"/>
      <c r="AC212" s="794"/>
      <c r="AD212" s="796"/>
      <c r="AE212" s="794"/>
      <c r="AF212" s="784"/>
      <c r="AG212"/>
      <c r="AH212" s="780"/>
      <c r="AI212" s="39"/>
      <c r="AJ212" s="836"/>
      <c r="AK212" s="780"/>
      <c r="AL212" s="39"/>
      <c r="AM212" s="780"/>
      <c r="AN212" s="793"/>
      <c r="AO212" s="780"/>
      <c r="AP212" s="39"/>
      <c r="AQ212" s="780"/>
      <c r="AR212" s="39"/>
      <c r="AS212" s="780"/>
      <c r="AT212" s="39"/>
      <c r="AU212" s="39"/>
      <c r="AV212" s="804"/>
      <c r="AW212" s="847"/>
    </row>
    <row r="213" spans="1:49" ht="15" customHeight="1" x14ac:dyDescent="0.3">
      <c r="A213" s="799"/>
      <c r="B213" s="780"/>
      <c r="C213" s="793"/>
      <c r="D213" s="799"/>
      <c r="E213" s="800"/>
      <c r="F213" s="793"/>
      <c r="G213" s="793"/>
      <c r="H213" s="793"/>
      <c r="I213" s="821"/>
      <c r="J213" s="793"/>
      <c r="K213" s="793"/>
      <c r="L213" s="793"/>
      <c r="M213" s="780"/>
      <c r="N213" s="437"/>
      <c r="O213" s="793"/>
      <c r="P213" s="793"/>
      <c r="Q213" s="794"/>
      <c r="R213" s="437"/>
      <c r="S213" s="796"/>
      <c r="T213" s="797"/>
      <c r="U213" s="798"/>
      <c r="V213" s="780"/>
      <c r="W213" s="794"/>
      <c r="X213" s="793"/>
      <c r="Y213" s="793"/>
      <c r="Z213" s="822"/>
      <c r="AA213" s="794"/>
      <c r="AB213" s="800"/>
      <c r="AC213" s="794"/>
      <c r="AD213" s="796"/>
      <c r="AE213" s="794"/>
      <c r="AF213" s="784"/>
      <c r="AG213"/>
      <c r="AH213" s="780"/>
      <c r="AI213" s="39"/>
      <c r="AJ213" s="836"/>
      <c r="AK213" s="780"/>
      <c r="AL213" s="39"/>
      <c r="AM213" s="780"/>
      <c r="AN213" s="793"/>
      <c r="AO213" s="780"/>
      <c r="AP213" s="39"/>
      <c r="AQ213" s="780"/>
      <c r="AR213" s="39"/>
      <c r="AS213" s="780"/>
      <c r="AT213" s="39"/>
      <c r="AU213" s="39"/>
      <c r="AV213" s="804"/>
      <c r="AW213" s="847"/>
    </row>
    <row r="214" spans="1:49" ht="15" customHeight="1" x14ac:dyDescent="0.3">
      <c r="A214" s="799"/>
      <c r="B214" s="780"/>
      <c r="C214" s="793"/>
      <c r="D214" s="799"/>
      <c r="E214" s="800"/>
      <c r="F214" s="793"/>
      <c r="G214" s="793"/>
      <c r="H214" s="793"/>
      <c r="I214" s="821"/>
      <c r="J214" s="793"/>
      <c r="K214" s="793"/>
      <c r="L214" s="793"/>
      <c r="M214" s="780"/>
      <c r="N214" s="437"/>
      <c r="O214" s="793"/>
      <c r="P214" s="793"/>
      <c r="Q214" s="794"/>
      <c r="R214" s="437"/>
      <c r="S214" s="796"/>
      <c r="T214" s="797"/>
      <c r="U214" s="798"/>
      <c r="V214" s="780"/>
      <c r="W214" s="794"/>
      <c r="X214" s="793"/>
      <c r="Y214" s="793"/>
      <c r="Z214" s="822"/>
      <c r="AA214" s="794"/>
      <c r="AB214" s="800"/>
      <c r="AC214" s="794"/>
      <c r="AD214" s="796"/>
      <c r="AE214" s="794"/>
      <c r="AF214" s="784"/>
      <c r="AG214"/>
      <c r="AH214" s="780"/>
      <c r="AI214" s="39"/>
      <c r="AJ214" s="836"/>
      <c r="AK214" s="780"/>
      <c r="AL214" s="39"/>
      <c r="AM214" s="780"/>
      <c r="AN214" s="793"/>
      <c r="AO214" s="780"/>
      <c r="AP214" s="39"/>
      <c r="AQ214" s="780"/>
      <c r="AR214" s="39"/>
      <c r="AS214" s="780"/>
      <c r="AT214" s="39"/>
      <c r="AU214" s="39"/>
      <c r="AV214" s="804"/>
      <c r="AW214" s="847"/>
    </row>
    <row r="215" spans="1:49" ht="14.4" customHeight="1" x14ac:dyDescent="0.3">
      <c r="A215" s="799"/>
      <c r="B215" s="780"/>
      <c r="C215" s="793"/>
      <c r="D215" s="799"/>
      <c r="E215" s="800"/>
      <c r="F215" s="793"/>
      <c r="G215" s="793"/>
      <c r="H215" s="793"/>
      <c r="I215" s="821"/>
      <c r="J215" s="793"/>
      <c r="K215" s="793"/>
      <c r="L215" s="793"/>
      <c r="M215" s="780"/>
      <c r="N215" s="437"/>
      <c r="O215" s="793"/>
      <c r="P215" s="793"/>
      <c r="Q215" s="794"/>
      <c r="R215" s="437"/>
      <c r="S215" s="796"/>
      <c r="T215" s="797"/>
      <c r="U215" s="798"/>
      <c r="V215" s="780"/>
      <c r="W215" s="794"/>
      <c r="X215" s="793"/>
      <c r="Y215" s="793"/>
      <c r="Z215" s="822"/>
      <c r="AA215" s="794"/>
      <c r="AB215" s="800"/>
      <c r="AC215" s="794"/>
      <c r="AD215" s="796"/>
      <c r="AE215" s="794"/>
      <c r="AF215" s="784"/>
      <c r="AG215"/>
      <c r="AH215" s="780"/>
      <c r="AI215" s="39"/>
      <c r="AJ215" s="836"/>
      <c r="AK215" s="780"/>
      <c r="AL215" s="39"/>
      <c r="AM215" s="780"/>
      <c r="AN215" s="793"/>
      <c r="AO215" s="780"/>
      <c r="AP215" s="39"/>
      <c r="AQ215" s="780"/>
      <c r="AR215" s="39"/>
      <c r="AS215" s="780"/>
      <c r="AT215" s="39"/>
      <c r="AU215" s="39"/>
      <c r="AV215" s="804"/>
      <c r="AW215" s="847"/>
    </row>
    <row r="216" spans="1:49" ht="14.4" customHeight="1" x14ac:dyDescent="0.3">
      <c r="A216" s="799"/>
      <c r="B216" s="780"/>
      <c r="C216" s="793"/>
      <c r="D216" s="799"/>
      <c r="E216" s="800"/>
      <c r="F216" s="793"/>
      <c r="G216" s="793"/>
      <c r="H216" s="793"/>
      <c r="I216" s="821"/>
      <c r="J216" s="793"/>
      <c r="K216" s="793"/>
      <c r="L216" s="793"/>
      <c r="M216" s="780"/>
      <c r="N216" s="437"/>
      <c r="O216" s="793"/>
      <c r="P216" s="793"/>
      <c r="Q216" s="794"/>
      <c r="R216" s="437"/>
      <c r="S216" s="796"/>
      <c r="T216" s="797"/>
      <c r="U216" s="798"/>
      <c r="V216" s="780"/>
      <c r="W216" s="794"/>
      <c r="X216" s="793"/>
      <c r="Y216" s="793"/>
      <c r="Z216" s="822"/>
      <c r="AA216" s="794"/>
      <c r="AB216" s="800"/>
      <c r="AC216" s="794"/>
      <c r="AD216" s="796"/>
      <c r="AE216" s="794"/>
      <c r="AF216" s="784"/>
      <c r="AG216"/>
      <c r="AH216" s="780"/>
      <c r="AI216" s="39"/>
      <c r="AJ216" s="836"/>
      <c r="AK216" s="780"/>
      <c r="AL216" s="39"/>
      <c r="AM216" s="780"/>
      <c r="AN216" s="793"/>
      <c r="AO216" s="780"/>
      <c r="AP216" s="39"/>
      <c r="AQ216" s="780"/>
      <c r="AR216" s="39"/>
      <c r="AS216" s="780"/>
      <c r="AT216" s="39"/>
      <c r="AU216" s="39"/>
      <c r="AV216" s="804"/>
      <c r="AW216" s="847"/>
    </row>
    <row r="217" spans="1:49" ht="15" customHeight="1" x14ac:dyDescent="0.3">
      <c r="A217" s="799"/>
      <c r="B217" s="780"/>
      <c r="C217" s="793"/>
      <c r="D217" s="799"/>
      <c r="E217" s="800"/>
      <c r="F217" s="793"/>
      <c r="G217" s="793"/>
      <c r="H217" s="793"/>
      <c r="I217" s="821"/>
      <c r="J217" s="793"/>
      <c r="K217" s="793"/>
      <c r="L217" s="793"/>
      <c r="M217" s="780"/>
      <c r="N217" s="437"/>
      <c r="O217" s="793"/>
      <c r="P217" s="793"/>
      <c r="Q217" s="794"/>
      <c r="R217" s="437"/>
      <c r="S217" s="796"/>
      <c r="T217" s="797"/>
      <c r="U217" s="798"/>
      <c r="V217" s="780"/>
      <c r="W217" s="794"/>
      <c r="X217" s="793"/>
      <c r="Y217" s="793"/>
      <c r="Z217" s="822"/>
      <c r="AA217" s="794"/>
      <c r="AB217" s="800"/>
      <c r="AC217" s="794"/>
      <c r="AD217" s="796"/>
      <c r="AE217" s="794"/>
      <c r="AF217" s="784"/>
      <c r="AG217"/>
      <c r="AH217" s="780"/>
      <c r="AI217" s="39"/>
      <c r="AJ217" s="836"/>
      <c r="AK217" s="780"/>
      <c r="AL217" s="39"/>
      <c r="AM217" s="780"/>
      <c r="AN217" s="793"/>
      <c r="AO217" s="780"/>
      <c r="AP217" s="39"/>
      <c r="AQ217" s="780"/>
      <c r="AR217" s="39"/>
      <c r="AS217" s="780"/>
      <c r="AT217" s="39"/>
      <c r="AU217" s="39"/>
      <c r="AV217" s="804"/>
      <c r="AW217" s="847"/>
    </row>
    <row r="218" spans="1:49" ht="15" customHeight="1" x14ac:dyDescent="0.3">
      <c r="A218" s="799"/>
      <c r="B218" s="780"/>
      <c r="C218" s="793"/>
      <c r="D218" s="799"/>
      <c r="E218" s="800"/>
      <c r="F218" s="793"/>
      <c r="G218" s="793"/>
      <c r="H218" s="793"/>
      <c r="I218" s="821"/>
      <c r="J218" s="793"/>
      <c r="K218" s="793"/>
      <c r="L218" s="793"/>
      <c r="M218" s="780"/>
      <c r="N218" s="437"/>
      <c r="O218" s="793"/>
      <c r="P218" s="793"/>
      <c r="Q218" s="794"/>
      <c r="R218" s="437"/>
      <c r="S218" s="796"/>
      <c r="T218" s="797"/>
      <c r="U218" s="798"/>
      <c r="V218" s="780"/>
      <c r="W218" s="794"/>
      <c r="X218" s="793"/>
      <c r="Y218" s="793"/>
      <c r="Z218" s="822"/>
      <c r="AA218" s="794"/>
      <c r="AB218" s="800"/>
      <c r="AC218" s="794"/>
      <c r="AD218" s="796"/>
      <c r="AE218" s="794"/>
      <c r="AF218" s="784"/>
      <c r="AG218"/>
      <c r="AH218" s="780"/>
      <c r="AI218" s="39"/>
      <c r="AJ218" s="836"/>
      <c r="AK218" s="780"/>
      <c r="AL218" s="39"/>
      <c r="AM218" s="780"/>
      <c r="AN218" s="793"/>
      <c r="AO218" s="780"/>
      <c r="AP218" s="39"/>
      <c r="AQ218" s="780"/>
      <c r="AR218" s="39"/>
      <c r="AS218" s="780"/>
      <c r="AT218" s="39"/>
      <c r="AU218" s="39"/>
      <c r="AV218" s="804"/>
      <c r="AW218" s="847"/>
    </row>
    <row r="219" spans="1:49" ht="15" customHeight="1" x14ac:dyDescent="0.3">
      <c r="A219" s="799"/>
      <c r="B219" s="780"/>
      <c r="C219" s="793"/>
      <c r="D219" s="799"/>
      <c r="E219" s="800"/>
      <c r="F219" s="793"/>
      <c r="G219" s="793"/>
      <c r="H219" s="793"/>
      <c r="I219" s="821"/>
      <c r="J219" s="793"/>
      <c r="K219" s="793"/>
      <c r="L219" s="793"/>
      <c r="M219" s="780"/>
      <c r="N219" s="437"/>
      <c r="O219" s="793"/>
      <c r="P219" s="793"/>
      <c r="Q219" s="794"/>
      <c r="R219" s="437"/>
      <c r="S219" s="796"/>
      <c r="T219" s="797"/>
      <c r="U219" s="798"/>
      <c r="V219" s="780"/>
      <c r="W219" s="794"/>
      <c r="X219" s="793"/>
      <c r="Y219" s="793"/>
      <c r="Z219" s="822"/>
      <c r="AA219" s="794"/>
      <c r="AB219" s="800"/>
      <c r="AC219" s="794"/>
      <c r="AD219" s="796"/>
      <c r="AE219" s="794"/>
      <c r="AF219" s="784"/>
      <c r="AG219"/>
      <c r="AH219" s="780"/>
      <c r="AI219" s="39"/>
      <c r="AJ219" s="836"/>
      <c r="AK219" s="780"/>
      <c r="AL219" s="39"/>
      <c r="AM219" s="780"/>
      <c r="AN219" s="793"/>
      <c r="AO219" s="780"/>
      <c r="AP219" s="39"/>
      <c r="AQ219" s="780"/>
      <c r="AR219" s="39"/>
      <c r="AS219" s="780"/>
      <c r="AT219" s="39"/>
      <c r="AU219" s="39"/>
      <c r="AV219" s="804"/>
      <c r="AW219" s="847"/>
    </row>
    <row r="220" spans="1:49" ht="15" customHeight="1" x14ac:dyDescent="0.3">
      <c r="A220" s="799"/>
      <c r="B220" s="780"/>
      <c r="C220" s="793"/>
      <c r="D220" s="799"/>
      <c r="E220" s="800"/>
      <c r="F220" s="793"/>
      <c r="G220" s="793"/>
      <c r="H220" s="793"/>
      <c r="I220" s="821"/>
      <c r="J220" s="793"/>
      <c r="K220" s="793"/>
      <c r="L220" s="793"/>
      <c r="M220" s="780"/>
      <c r="N220" s="437"/>
      <c r="O220" s="793"/>
      <c r="P220" s="793"/>
      <c r="Q220" s="794"/>
      <c r="R220" s="437"/>
      <c r="S220" s="796"/>
      <c r="T220" s="797"/>
      <c r="U220" s="798"/>
      <c r="V220" s="780"/>
      <c r="W220" s="794"/>
      <c r="X220" s="793"/>
      <c r="Y220" s="793"/>
      <c r="Z220" s="822"/>
      <c r="AA220" s="794"/>
      <c r="AB220" s="800"/>
      <c r="AC220" s="794"/>
      <c r="AD220" s="796"/>
      <c r="AE220" s="794"/>
      <c r="AF220" s="784"/>
      <c r="AG220"/>
      <c r="AH220" s="780"/>
      <c r="AI220" s="39"/>
      <c r="AJ220" s="836"/>
      <c r="AK220" s="780"/>
      <c r="AL220" s="39"/>
      <c r="AM220" s="780"/>
      <c r="AN220" s="793"/>
      <c r="AO220" s="780"/>
      <c r="AP220" s="39"/>
      <c r="AQ220" s="780"/>
      <c r="AR220" s="39"/>
      <c r="AS220" s="780"/>
      <c r="AT220" s="39"/>
      <c r="AU220" s="39"/>
      <c r="AV220" s="804"/>
      <c r="AW220" s="847"/>
    </row>
    <row r="221" spans="1:49" ht="15" customHeight="1" x14ac:dyDescent="0.3">
      <c r="A221" s="799"/>
      <c r="B221" s="780"/>
      <c r="C221" s="793"/>
      <c r="D221" s="799"/>
      <c r="E221" s="800"/>
      <c r="F221" s="793"/>
      <c r="G221" s="793"/>
      <c r="H221" s="793"/>
      <c r="I221" s="821"/>
      <c r="J221" s="793"/>
      <c r="K221" s="793"/>
      <c r="L221" s="793"/>
      <c r="M221" s="780"/>
      <c r="N221" s="437"/>
      <c r="O221" s="793"/>
      <c r="P221" s="793"/>
      <c r="Q221" s="794"/>
      <c r="R221" s="437"/>
      <c r="S221" s="796"/>
      <c r="T221" s="797"/>
      <c r="U221" s="798"/>
      <c r="V221" s="780"/>
      <c r="W221" s="794"/>
      <c r="X221" s="793"/>
      <c r="Y221" s="793"/>
      <c r="Z221" s="822"/>
      <c r="AA221" s="794"/>
      <c r="AB221" s="800"/>
      <c r="AC221" s="794"/>
      <c r="AD221" s="796"/>
      <c r="AE221" s="794"/>
      <c r="AF221" s="784"/>
      <c r="AG221"/>
      <c r="AH221" s="780"/>
      <c r="AI221" s="39"/>
      <c r="AJ221" s="836"/>
      <c r="AK221" s="780"/>
      <c r="AL221" s="39"/>
      <c r="AM221" s="780"/>
      <c r="AN221" s="793"/>
      <c r="AO221" s="780"/>
      <c r="AP221" s="39"/>
      <c r="AQ221" s="780"/>
      <c r="AR221" s="39"/>
      <c r="AS221" s="780"/>
      <c r="AT221" s="39"/>
      <c r="AU221" s="39"/>
      <c r="AV221" s="804"/>
      <c r="AW221" s="847"/>
    </row>
    <row r="222" spans="1:49" ht="15" customHeight="1" x14ac:dyDescent="0.3">
      <c r="A222" s="799"/>
      <c r="B222" s="780"/>
      <c r="C222" s="793"/>
      <c r="D222" s="799"/>
      <c r="E222" s="800"/>
      <c r="F222" s="793"/>
      <c r="G222" s="793"/>
      <c r="H222" s="793"/>
      <c r="I222" s="821"/>
      <c r="J222" s="793"/>
      <c r="K222" s="793"/>
      <c r="L222" s="793"/>
      <c r="M222" s="780"/>
      <c r="N222" s="437"/>
      <c r="O222" s="793"/>
      <c r="P222" s="793"/>
      <c r="Q222" s="794"/>
      <c r="R222" s="437"/>
      <c r="S222" s="796"/>
      <c r="T222" s="797"/>
      <c r="U222" s="798"/>
      <c r="V222" s="780"/>
      <c r="W222" s="794"/>
      <c r="X222" s="793"/>
      <c r="Y222" s="793"/>
      <c r="Z222" s="822"/>
      <c r="AA222" s="794"/>
      <c r="AB222" s="800"/>
      <c r="AC222" s="794"/>
      <c r="AD222" s="796"/>
      <c r="AE222" s="794"/>
      <c r="AF222" s="784"/>
      <c r="AG222"/>
      <c r="AH222" s="780"/>
      <c r="AI222" s="39"/>
      <c r="AJ222" s="836"/>
      <c r="AK222" s="780"/>
      <c r="AL222" s="39"/>
      <c r="AM222" s="780"/>
      <c r="AN222" s="793"/>
      <c r="AO222" s="780"/>
      <c r="AP222" s="39"/>
      <c r="AQ222" s="780"/>
      <c r="AR222" s="39"/>
      <c r="AS222" s="780"/>
      <c r="AT222" s="39"/>
      <c r="AU222" s="39"/>
      <c r="AV222" s="804"/>
      <c r="AW222" s="847"/>
    </row>
    <row r="223" spans="1:49" ht="15" customHeight="1" x14ac:dyDescent="0.3">
      <c r="A223" s="799"/>
      <c r="B223" s="780"/>
      <c r="C223" s="793"/>
      <c r="D223" s="799"/>
      <c r="E223" s="800"/>
      <c r="F223" s="793"/>
      <c r="G223" s="793"/>
      <c r="H223" s="793"/>
      <c r="I223" s="821"/>
      <c r="J223" s="793"/>
      <c r="K223" s="793"/>
      <c r="L223" s="793"/>
      <c r="M223" s="780"/>
      <c r="N223" s="437"/>
      <c r="O223" s="793"/>
      <c r="P223" s="793"/>
      <c r="Q223" s="794"/>
      <c r="R223" s="437"/>
      <c r="S223" s="796"/>
      <c r="T223" s="797"/>
      <c r="U223" s="798"/>
      <c r="V223" s="780"/>
      <c r="W223" s="794"/>
      <c r="X223" s="793"/>
      <c r="Y223" s="793"/>
      <c r="Z223" s="822"/>
      <c r="AA223" s="794"/>
      <c r="AB223" s="800"/>
      <c r="AC223" s="794"/>
      <c r="AD223" s="796"/>
      <c r="AE223" s="794"/>
      <c r="AF223" s="784"/>
      <c r="AG223"/>
      <c r="AH223" s="780"/>
      <c r="AI223" s="39"/>
      <c r="AJ223" s="836"/>
      <c r="AK223" s="780"/>
      <c r="AL223" s="39"/>
      <c r="AM223" s="780"/>
      <c r="AN223" s="793"/>
      <c r="AO223" s="780"/>
      <c r="AP223" s="39"/>
      <c r="AQ223" s="780"/>
      <c r="AR223" s="39"/>
      <c r="AS223" s="780"/>
      <c r="AT223" s="39"/>
      <c r="AU223" s="39"/>
      <c r="AV223" s="804"/>
      <c r="AW223" s="847"/>
    </row>
    <row r="224" spans="1:49" ht="15" customHeight="1" x14ac:dyDescent="0.3">
      <c r="A224" s="799"/>
      <c r="B224" s="780"/>
      <c r="C224" s="793"/>
      <c r="D224" s="799"/>
      <c r="E224" s="800"/>
      <c r="F224" s="793"/>
      <c r="G224" s="793"/>
      <c r="H224" s="793"/>
      <c r="I224" s="821"/>
      <c r="J224" s="793"/>
      <c r="K224" s="793"/>
      <c r="L224" s="793"/>
      <c r="M224" s="780"/>
      <c r="N224" s="437"/>
      <c r="O224" s="793"/>
      <c r="P224" s="793"/>
      <c r="Q224" s="794"/>
      <c r="R224" s="437"/>
      <c r="S224" s="796"/>
      <c r="T224" s="797"/>
      <c r="U224" s="798"/>
      <c r="V224" s="780"/>
      <c r="W224" s="794"/>
      <c r="X224" s="793"/>
      <c r="Y224" s="793"/>
      <c r="Z224" s="822"/>
      <c r="AA224" s="794"/>
      <c r="AB224" s="800"/>
      <c r="AC224" s="794"/>
      <c r="AD224" s="796"/>
      <c r="AE224" s="794"/>
      <c r="AF224" s="784"/>
      <c r="AG224"/>
      <c r="AH224" s="780"/>
      <c r="AI224" s="39"/>
      <c r="AJ224" s="836"/>
      <c r="AK224" s="780"/>
      <c r="AL224" s="39"/>
      <c r="AM224" s="780"/>
      <c r="AN224" s="793"/>
      <c r="AO224" s="780"/>
      <c r="AP224" s="39"/>
      <c r="AQ224" s="780"/>
      <c r="AR224" s="39"/>
      <c r="AS224" s="780"/>
      <c r="AT224" s="39"/>
      <c r="AU224" s="39"/>
      <c r="AV224" s="804"/>
      <c r="AW224" s="847"/>
    </row>
    <row r="225" spans="1:49" ht="15" customHeight="1" x14ac:dyDescent="0.3">
      <c r="A225" s="799"/>
      <c r="B225" s="780"/>
      <c r="C225" s="793"/>
      <c r="D225" s="799"/>
      <c r="E225" s="800"/>
      <c r="F225" s="793"/>
      <c r="G225" s="793"/>
      <c r="H225" s="793"/>
      <c r="I225" s="821"/>
      <c r="J225" s="793"/>
      <c r="K225" s="793"/>
      <c r="L225" s="793"/>
      <c r="M225" s="780"/>
      <c r="N225" s="437"/>
      <c r="O225" s="793"/>
      <c r="P225" s="793"/>
      <c r="Q225" s="794"/>
      <c r="R225" s="437"/>
      <c r="S225" s="796"/>
      <c r="T225" s="797"/>
      <c r="U225" s="798"/>
      <c r="V225" s="780"/>
      <c r="W225" s="794"/>
      <c r="X225" s="793"/>
      <c r="Y225" s="793"/>
      <c r="Z225" s="822"/>
      <c r="AA225" s="794"/>
      <c r="AB225" s="800"/>
      <c r="AC225" s="794"/>
      <c r="AD225" s="796"/>
      <c r="AE225" s="794"/>
      <c r="AF225" s="784"/>
      <c r="AG225"/>
      <c r="AH225" s="780"/>
      <c r="AI225" s="39"/>
      <c r="AJ225" s="836"/>
      <c r="AK225" s="780"/>
      <c r="AL225" s="39"/>
      <c r="AM225" s="780"/>
      <c r="AN225" s="793"/>
      <c r="AO225" s="780"/>
      <c r="AP225" s="39"/>
      <c r="AQ225" s="780"/>
      <c r="AR225" s="39"/>
      <c r="AS225" s="780"/>
      <c r="AT225" s="39"/>
      <c r="AU225" s="39"/>
      <c r="AV225" s="804"/>
      <c r="AW225" s="847"/>
    </row>
    <row r="226" spans="1:49" ht="15" customHeight="1" x14ac:dyDescent="0.3">
      <c r="A226" s="799"/>
      <c r="B226" s="780"/>
      <c r="C226" s="793"/>
      <c r="D226" s="799"/>
      <c r="E226" s="800"/>
      <c r="F226" s="793"/>
      <c r="G226" s="793"/>
      <c r="H226" s="793"/>
      <c r="I226" s="821"/>
      <c r="J226" s="793"/>
      <c r="K226" s="793"/>
      <c r="L226" s="793"/>
      <c r="M226" s="780"/>
      <c r="N226" s="437"/>
      <c r="O226" s="793"/>
      <c r="P226" s="793"/>
      <c r="Q226" s="794"/>
      <c r="R226" s="437"/>
      <c r="S226" s="796"/>
      <c r="T226" s="797"/>
      <c r="U226" s="798"/>
      <c r="V226" s="780"/>
      <c r="W226" s="794"/>
      <c r="X226" s="793"/>
      <c r="Y226" s="793"/>
      <c r="Z226" s="822"/>
      <c r="AA226" s="794"/>
      <c r="AB226" s="800"/>
      <c r="AC226" s="794"/>
      <c r="AD226" s="796"/>
      <c r="AE226" s="794"/>
      <c r="AF226" s="784"/>
      <c r="AG226"/>
      <c r="AH226" s="780"/>
      <c r="AI226" s="39"/>
      <c r="AJ226" s="836"/>
      <c r="AK226" s="780"/>
      <c r="AL226" s="39"/>
      <c r="AM226" s="780"/>
      <c r="AN226" s="793"/>
      <c r="AO226" s="780"/>
      <c r="AP226" s="39"/>
      <c r="AQ226" s="780"/>
      <c r="AR226" s="39"/>
      <c r="AS226" s="780"/>
      <c r="AT226" s="39"/>
      <c r="AU226" s="39"/>
      <c r="AV226" s="804"/>
      <c r="AW226" s="847"/>
    </row>
    <row r="227" spans="1:49" ht="15" customHeight="1" x14ac:dyDescent="0.3">
      <c r="A227" s="799"/>
      <c r="B227" s="780"/>
      <c r="C227" s="793"/>
      <c r="D227" s="799"/>
      <c r="E227" s="800"/>
      <c r="F227" s="793"/>
      <c r="G227" s="793"/>
      <c r="H227" s="793"/>
      <c r="I227" s="821"/>
      <c r="J227" s="793"/>
      <c r="K227" s="793"/>
      <c r="L227" s="793"/>
      <c r="M227" s="780"/>
      <c r="N227" s="437"/>
      <c r="O227" s="793"/>
      <c r="P227" s="793"/>
      <c r="Q227" s="794"/>
      <c r="R227" s="437"/>
      <c r="S227" s="796"/>
      <c r="T227" s="797"/>
      <c r="U227" s="798"/>
      <c r="V227" s="780"/>
      <c r="W227" s="794"/>
      <c r="X227" s="793"/>
      <c r="Y227" s="793"/>
      <c r="Z227" s="822"/>
      <c r="AA227" s="794"/>
      <c r="AB227" s="800"/>
      <c r="AC227" s="794"/>
      <c r="AD227" s="796"/>
      <c r="AE227" s="794"/>
      <c r="AF227" s="784"/>
      <c r="AG227"/>
      <c r="AH227" s="780"/>
      <c r="AI227" s="39"/>
      <c r="AJ227" s="836"/>
      <c r="AK227" s="780"/>
      <c r="AL227" s="39"/>
      <c r="AM227" s="780"/>
      <c r="AN227" s="793"/>
      <c r="AO227" s="780"/>
      <c r="AP227" s="39"/>
      <c r="AQ227" s="780"/>
      <c r="AR227" s="39"/>
      <c r="AS227" s="780"/>
      <c r="AT227" s="39"/>
      <c r="AU227" s="39"/>
      <c r="AV227" s="804"/>
      <c r="AW227" s="847"/>
    </row>
    <row r="228" spans="1:49" ht="15" customHeight="1" x14ac:dyDescent="0.3">
      <c r="A228" s="799"/>
      <c r="B228" s="780"/>
      <c r="C228" s="793"/>
      <c r="D228" s="799"/>
      <c r="E228" s="800"/>
      <c r="F228" s="793"/>
      <c r="G228" s="793"/>
      <c r="H228" s="793"/>
      <c r="I228" s="821"/>
      <c r="J228" s="793"/>
      <c r="K228" s="793"/>
      <c r="L228" s="793"/>
      <c r="M228" s="780"/>
      <c r="N228" s="437"/>
      <c r="O228" s="793"/>
      <c r="P228" s="793"/>
      <c r="Q228" s="794"/>
      <c r="R228" s="437"/>
      <c r="S228" s="796"/>
      <c r="T228" s="797"/>
      <c r="U228" s="798"/>
      <c r="V228" s="780"/>
      <c r="W228" s="794"/>
      <c r="X228" s="793"/>
      <c r="Y228" s="793"/>
      <c r="Z228" s="822"/>
      <c r="AA228" s="794"/>
      <c r="AB228" s="800"/>
      <c r="AC228" s="794"/>
      <c r="AD228" s="796"/>
      <c r="AE228" s="794"/>
      <c r="AF228" s="784"/>
      <c r="AG228"/>
      <c r="AH228" s="780"/>
      <c r="AI228" s="39"/>
      <c r="AJ228" s="836"/>
      <c r="AK228" s="780"/>
      <c r="AL228" s="39"/>
      <c r="AM228" s="780"/>
      <c r="AN228" s="793"/>
      <c r="AO228" s="780"/>
      <c r="AP228" s="39"/>
      <c r="AQ228" s="780"/>
      <c r="AR228" s="39"/>
      <c r="AS228" s="780"/>
      <c r="AT228" s="39"/>
      <c r="AU228" s="39"/>
      <c r="AV228" s="804"/>
      <c r="AW228" s="847"/>
    </row>
    <row r="229" spans="1:49" ht="15" customHeight="1" x14ac:dyDescent="0.3">
      <c r="A229" s="799"/>
      <c r="B229" s="780"/>
      <c r="C229" s="793"/>
      <c r="D229" s="799"/>
      <c r="E229" s="800"/>
      <c r="F229" s="793"/>
      <c r="G229" s="793"/>
      <c r="H229" s="793"/>
      <c r="I229" s="821"/>
      <c r="J229" s="793"/>
      <c r="K229" s="793"/>
      <c r="L229" s="793"/>
      <c r="M229" s="780"/>
      <c r="N229" s="437"/>
      <c r="O229" s="793"/>
      <c r="P229" s="793"/>
      <c r="Q229" s="794"/>
      <c r="R229" s="437"/>
      <c r="S229" s="796"/>
      <c r="T229" s="797"/>
      <c r="U229" s="798"/>
      <c r="V229" s="780"/>
      <c r="W229" s="794"/>
      <c r="X229" s="793"/>
      <c r="Y229" s="793"/>
      <c r="Z229" s="822"/>
      <c r="AA229" s="794"/>
      <c r="AB229" s="800"/>
      <c r="AC229" s="794"/>
      <c r="AD229" s="796"/>
      <c r="AE229" s="794"/>
      <c r="AF229" s="784"/>
      <c r="AG229"/>
      <c r="AH229" s="780"/>
      <c r="AI229" s="39"/>
      <c r="AJ229" s="836"/>
      <c r="AK229" s="780"/>
      <c r="AL229" s="39"/>
      <c r="AM229" s="780"/>
      <c r="AN229" s="793"/>
      <c r="AO229" s="780"/>
      <c r="AP229" s="39"/>
      <c r="AQ229" s="780"/>
      <c r="AR229" s="39"/>
      <c r="AS229" s="780"/>
      <c r="AT229" s="39"/>
      <c r="AU229" s="39"/>
      <c r="AV229" s="804"/>
      <c r="AW229" s="847"/>
    </row>
    <row r="230" spans="1:49" ht="15" customHeight="1" x14ac:dyDescent="0.3">
      <c r="A230" s="799"/>
      <c r="B230" s="780"/>
      <c r="C230" s="793"/>
      <c r="D230" s="799"/>
      <c r="E230" s="800"/>
      <c r="F230" s="793"/>
      <c r="G230" s="793"/>
      <c r="H230" s="793"/>
      <c r="I230" s="821"/>
      <c r="J230" s="793"/>
      <c r="K230" s="793"/>
      <c r="L230" s="793"/>
      <c r="M230" s="780"/>
      <c r="N230" s="437"/>
      <c r="O230" s="793"/>
      <c r="P230" s="793"/>
      <c r="Q230" s="794"/>
      <c r="R230" s="437"/>
      <c r="S230" s="796"/>
      <c r="T230" s="797"/>
      <c r="U230" s="798"/>
      <c r="V230" s="780"/>
      <c r="W230" s="794"/>
      <c r="X230" s="793"/>
      <c r="Y230" s="793"/>
      <c r="Z230" s="822"/>
      <c r="AA230" s="794"/>
      <c r="AB230" s="800"/>
      <c r="AC230" s="794"/>
      <c r="AD230" s="796"/>
      <c r="AE230" s="794"/>
      <c r="AF230" s="784"/>
      <c r="AG230"/>
      <c r="AH230" s="780"/>
      <c r="AI230" s="39"/>
      <c r="AJ230" s="836"/>
      <c r="AK230" s="780"/>
      <c r="AL230" s="39"/>
      <c r="AM230" s="780"/>
      <c r="AN230" s="793"/>
      <c r="AO230" s="780"/>
      <c r="AP230" s="39"/>
      <c r="AQ230" s="780"/>
      <c r="AR230" s="39"/>
      <c r="AS230" s="780"/>
      <c r="AT230" s="39"/>
      <c r="AU230" s="39"/>
      <c r="AV230" s="804"/>
      <c r="AW230" s="847"/>
    </row>
    <row r="231" spans="1:49" ht="15" customHeight="1" x14ac:dyDescent="0.3">
      <c r="A231" s="799"/>
      <c r="B231" s="780"/>
      <c r="C231" s="793"/>
      <c r="D231" s="799"/>
      <c r="E231" s="800"/>
      <c r="F231" s="793"/>
      <c r="G231" s="793"/>
      <c r="H231" s="793"/>
      <c r="I231" s="821"/>
      <c r="J231" s="793"/>
      <c r="K231" s="793"/>
      <c r="L231" s="793"/>
      <c r="M231" s="780"/>
      <c r="N231" s="437"/>
      <c r="O231" s="793"/>
      <c r="P231" s="793"/>
      <c r="Q231" s="794"/>
      <c r="R231" s="437"/>
      <c r="S231" s="796"/>
      <c r="T231" s="797"/>
      <c r="U231" s="798"/>
      <c r="V231" s="780"/>
      <c r="W231" s="794"/>
      <c r="X231" s="793"/>
      <c r="Y231" s="793"/>
      <c r="Z231" s="822"/>
      <c r="AA231" s="794"/>
      <c r="AB231" s="800"/>
      <c r="AC231" s="794"/>
      <c r="AD231" s="796"/>
      <c r="AE231" s="794"/>
      <c r="AF231" s="784"/>
      <c r="AG231"/>
      <c r="AH231" s="780"/>
      <c r="AI231" s="39"/>
      <c r="AJ231" s="836"/>
      <c r="AK231" s="780"/>
      <c r="AL231" s="39"/>
      <c r="AM231" s="780"/>
      <c r="AN231" s="793"/>
      <c r="AO231" s="780"/>
      <c r="AP231" s="39"/>
      <c r="AQ231" s="780"/>
      <c r="AR231" s="39"/>
      <c r="AS231" s="780"/>
      <c r="AT231" s="39"/>
      <c r="AU231" s="39"/>
      <c r="AV231" s="804"/>
      <c r="AW231" s="847"/>
    </row>
    <row r="232" spans="1:49" ht="15" customHeight="1" x14ac:dyDescent="0.3">
      <c r="A232" s="799"/>
      <c r="B232" s="780"/>
      <c r="C232" s="793"/>
      <c r="D232" s="799"/>
      <c r="E232" s="800"/>
      <c r="F232" s="793"/>
      <c r="G232" s="793"/>
      <c r="H232" s="793"/>
      <c r="I232" s="821"/>
      <c r="J232" s="793"/>
      <c r="K232" s="793"/>
      <c r="L232" s="793"/>
      <c r="M232" s="780"/>
      <c r="N232" s="437"/>
      <c r="O232" s="793"/>
      <c r="P232" s="793"/>
      <c r="Q232" s="794"/>
      <c r="R232" s="437"/>
      <c r="S232" s="796"/>
      <c r="T232" s="797"/>
      <c r="U232" s="798"/>
      <c r="V232" s="780"/>
      <c r="W232" s="794"/>
      <c r="X232" s="793"/>
      <c r="Y232" s="793"/>
      <c r="Z232" s="822"/>
      <c r="AA232" s="794"/>
      <c r="AB232" s="800"/>
      <c r="AC232" s="794"/>
      <c r="AD232" s="796"/>
      <c r="AE232" s="794"/>
      <c r="AF232" s="784"/>
      <c r="AG232"/>
      <c r="AH232" s="780"/>
      <c r="AI232" s="39"/>
      <c r="AJ232" s="836"/>
      <c r="AK232" s="780"/>
      <c r="AL232" s="39"/>
      <c r="AM232" s="780"/>
      <c r="AN232" s="793"/>
      <c r="AO232" s="780"/>
      <c r="AP232" s="39"/>
      <c r="AQ232" s="780"/>
      <c r="AR232" s="39"/>
      <c r="AS232" s="780"/>
      <c r="AT232" s="39"/>
      <c r="AU232" s="39"/>
      <c r="AV232" s="804"/>
      <c r="AW232" s="847"/>
    </row>
    <row r="233" spans="1:49" ht="15" customHeight="1" x14ac:dyDescent="0.3">
      <c r="A233" s="799"/>
      <c r="B233" s="780"/>
      <c r="C233" s="793"/>
      <c r="D233" s="799"/>
      <c r="E233" s="800"/>
      <c r="F233" s="793"/>
      <c r="G233" s="793"/>
      <c r="H233" s="793"/>
      <c r="I233" s="821"/>
      <c r="J233" s="793"/>
      <c r="K233" s="793"/>
      <c r="L233" s="793"/>
      <c r="M233" s="780"/>
      <c r="N233" s="437"/>
      <c r="O233" s="793"/>
      <c r="P233" s="793"/>
      <c r="Q233" s="794"/>
      <c r="R233" s="437"/>
      <c r="S233" s="796"/>
      <c r="T233" s="797"/>
      <c r="U233" s="798"/>
      <c r="V233" s="780"/>
      <c r="W233" s="794"/>
      <c r="X233" s="793"/>
      <c r="Y233" s="793"/>
      <c r="Z233" s="822"/>
      <c r="AA233" s="794"/>
      <c r="AB233" s="800"/>
      <c r="AC233" s="794"/>
      <c r="AD233" s="796"/>
      <c r="AE233" s="794"/>
      <c r="AF233" s="784"/>
      <c r="AG233"/>
      <c r="AH233" s="780"/>
      <c r="AI233" s="39"/>
      <c r="AJ233" s="836"/>
      <c r="AK233" s="780"/>
      <c r="AL233" s="39"/>
      <c r="AM233" s="780"/>
      <c r="AN233" s="793"/>
      <c r="AO233" s="780"/>
      <c r="AP233" s="39"/>
      <c r="AQ233" s="780"/>
      <c r="AR233" s="39"/>
      <c r="AS233" s="780"/>
      <c r="AT233" s="39"/>
      <c r="AU233" s="39"/>
      <c r="AV233" s="804"/>
      <c r="AW233" s="847"/>
    </row>
    <row r="234" spans="1:49" ht="15" customHeight="1" x14ac:dyDescent="0.3">
      <c r="A234" s="799"/>
      <c r="B234" s="780"/>
      <c r="C234" s="793"/>
      <c r="D234" s="799"/>
      <c r="E234" s="800"/>
      <c r="F234" s="793"/>
      <c r="G234" s="793"/>
      <c r="H234" s="793"/>
      <c r="I234" s="821"/>
      <c r="J234" s="793"/>
      <c r="K234" s="793"/>
      <c r="L234" s="793"/>
      <c r="M234" s="780"/>
      <c r="N234" s="437"/>
      <c r="O234" s="793"/>
      <c r="P234" s="793"/>
      <c r="Q234" s="794"/>
      <c r="R234" s="437"/>
      <c r="S234" s="796"/>
      <c r="T234" s="797"/>
      <c r="U234" s="798"/>
      <c r="V234" s="780"/>
      <c r="W234" s="794"/>
      <c r="X234" s="793"/>
      <c r="Y234" s="793"/>
      <c r="Z234" s="822"/>
      <c r="AA234" s="794"/>
      <c r="AB234" s="800"/>
      <c r="AC234" s="794"/>
      <c r="AD234" s="796"/>
      <c r="AE234" s="794"/>
      <c r="AF234" s="784"/>
      <c r="AG234"/>
      <c r="AH234" s="780"/>
      <c r="AI234" s="39"/>
      <c r="AJ234" s="836"/>
      <c r="AK234" s="780"/>
      <c r="AL234" s="39"/>
      <c r="AM234" s="780"/>
      <c r="AN234" s="793"/>
      <c r="AO234" s="780"/>
      <c r="AP234" s="39"/>
      <c r="AQ234" s="780"/>
      <c r="AR234" s="39"/>
      <c r="AS234" s="780"/>
      <c r="AT234" s="39"/>
      <c r="AU234" s="39"/>
      <c r="AV234" s="804"/>
      <c r="AW234" s="847"/>
    </row>
    <row r="235" spans="1:49" ht="15" customHeight="1" x14ac:dyDescent="0.3">
      <c r="A235" s="799"/>
      <c r="B235" s="780"/>
      <c r="C235" s="793"/>
      <c r="D235" s="799"/>
      <c r="E235" s="800"/>
      <c r="F235" s="793"/>
      <c r="G235" s="793"/>
      <c r="H235" s="793"/>
      <c r="I235" s="821"/>
      <c r="J235" s="793"/>
      <c r="K235" s="793"/>
      <c r="L235" s="793"/>
      <c r="M235" s="780"/>
      <c r="N235" s="437"/>
      <c r="O235" s="793"/>
      <c r="P235" s="793"/>
      <c r="Q235" s="794"/>
      <c r="R235" s="437"/>
      <c r="S235" s="796"/>
      <c r="T235" s="797"/>
      <c r="U235" s="798"/>
      <c r="V235" s="780"/>
      <c r="W235" s="794"/>
      <c r="X235" s="793"/>
      <c r="Y235" s="793"/>
      <c r="Z235" s="822"/>
      <c r="AA235" s="794"/>
      <c r="AB235" s="800"/>
      <c r="AC235" s="794"/>
      <c r="AD235" s="796"/>
      <c r="AE235" s="794"/>
      <c r="AF235" s="784"/>
      <c r="AG235"/>
      <c r="AH235" s="780"/>
      <c r="AI235" s="39"/>
      <c r="AJ235" s="836"/>
      <c r="AK235" s="780"/>
      <c r="AL235" s="39"/>
      <c r="AM235" s="780"/>
      <c r="AN235" s="793"/>
      <c r="AO235" s="780"/>
      <c r="AP235" s="39"/>
      <c r="AQ235" s="780"/>
      <c r="AR235" s="39"/>
      <c r="AS235" s="780"/>
      <c r="AT235" s="39"/>
      <c r="AU235" s="39"/>
      <c r="AV235" s="804"/>
      <c r="AW235" s="847"/>
    </row>
    <row r="236" spans="1:49" ht="15" customHeight="1" x14ac:dyDescent="0.3">
      <c r="A236" s="799"/>
      <c r="B236" s="780"/>
      <c r="C236" s="793"/>
      <c r="D236" s="799"/>
      <c r="E236" s="800"/>
      <c r="F236" s="793"/>
      <c r="G236" s="793"/>
      <c r="H236" s="793"/>
      <c r="I236" s="821"/>
      <c r="J236" s="793"/>
      <c r="K236" s="793"/>
      <c r="L236" s="793"/>
      <c r="M236" s="780"/>
      <c r="N236" s="437"/>
      <c r="O236" s="793"/>
      <c r="P236" s="793"/>
      <c r="Q236" s="794"/>
      <c r="R236" s="437"/>
      <c r="S236" s="796"/>
      <c r="T236" s="797"/>
      <c r="U236" s="798"/>
      <c r="V236" s="780"/>
      <c r="W236" s="794"/>
      <c r="X236" s="793"/>
      <c r="Y236" s="793"/>
      <c r="Z236" s="822"/>
      <c r="AA236" s="794"/>
      <c r="AB236" s="800"/>
      <c r="AC236" s="794"/>
      <c r="AD236" s="796"/>
      <c r="AE236" s="794"/>
      <c r="AF236" s="784"/>
      <c r="AG236"/>
      <c r="AH236" s="780"/>
      <c r="AI236" s="39"/>
      <c r="AJ236" s="836"/>
      <c r="AK236" s="780"/>
      <c r="AL236" s="39"/>
      <c r="AM236" s="780"/>
      <c r="AN236" s="793"/>
      <c r="AO236" s="780"/>
      <c r="AP236" s="39"/>
      <c r="AQ236" s="780"/>
      <c r="AR236" s="39"/>
      <c r="AS236" s="780"/>
      <c r="AT236" s="39"/>
      <c r="AU236" s="39"/>
      <c r="AV236" s="804"/>
      <c r="AW236" s="847"/>
    </row>
    <row r="237" spans="1:49" ht="15" customHeight="1" x14ac:dyDescent="0.3">
      <c r="A237" s="799"/>
      <c r="B237" s="780"/>
      <c r="C237" s="793"/>
      <c r="D237" s="799"/>
      <c r="E237" s="800"/>
      <c r="F237" s="793"/>
      <c r="G237" s="793"/>
      <c r="H237" s="793"/>
      <c r="I237" s="821"/>
      <c r="J237" s="793"/>
      <c r="K237" s="793"/>
      <c r="L237" s="793"/>
      <c r="M237" s="780"/>
      <c r="N237" s="437"/>
      <c r="O237" s="793"/>
      <c r="P237" s="793"/>
      <c r="Q237" s="794"/>
      <c r="R237" s="437"/>
      <c r="S237" s="796"/>
      <c r="T237" s="797"/>
      <c r="U237" s="798"/>
      <c r="V237" s="780"/>
      <c r="W237" s="794"/>
      <c r="X237" s="793"/>
      <c r="Y237" s="793"/>
      <c r="Z237" s="822"/>
      <c r="AA237" s="794"/>
      <c r="AB237" s="800"/>
      <c r="AC237" s="794"/>
      <c r="AD237" s="796"/>
      <c r="AE237" s="794"/>
      <c r="AF237" s="784"/>
      <c r="AG237"/>
      <c r="AH237" s="780"/>
      <c r="AI237" s="39"/>
      <c r="AJ237" s="836"/>
      <c r="AK237" s="780"/>
      <c r="AL237" s="39"/>
      <c r="AM237" s="780"/>
      <c r="AN237" s="793"/>
      <c r="AO237" s="780"/>
      <c r="AP237" s="39"/>
      <c r="AQ237" s="780"/>
      <c r="AR237" s="39"/>
      <c r="AS237" s="780"/>
      <c r="AT237" s="39"/>
      <c r="AU237" s="39"/>
      <c r="AV237" s="804"/>
      <c r="AW237" s="847"/>
    </row>
    <row r="238" spans="1:49" ht="15" customHeight="1" x14ac:dyDescent="0.3">
      <c r="A238" s="799"/>
      <c r="B238" s="780"/>
      <c r="C238" s="793"/>
      <c r="D238" s="799"/>
      <c r="E238" s="800"/>
      <c r="F238" s="793"/>
      <c r="G238" s="793"/>
      <c r="H238" s="793"/>
      <c r="I238" s="821"/>
      <c r="J238" s="793"/>
      <c r="K238" s="793"/>
      <c r="L238" s="793"/>
      <c r="M238" s="780"/>
      <c r="N238" s="437"/>
      <c r="O238" s="793"/>
      <c r="P238" s="793"/>
      <c r="Q238" s="794"/>
      <c r="R238" s="437"/>
      <c r="S238" s="796"/>
      <c r="T238" s="797"/>
      <c r="U238" s="798"/>
      <c r="V238" s="780"/>
      <c r="W238" s="794"/>
      <c r="X238" s="793"/>
      <c r="Y238" s="793"/>
      <c r="Z238" s="822"/>
      <c r="AA238" s="794"/>
      <c r="AB238" s="800"/>
      <c r="AC238" s="794"/>
      <c r="AD238" s="796"/>
      <c r="AE238" s="794"/>
      <c r="AF238" s="784"/>
      <c r="AG238"/>
      <c r="AH238" s="780"/>
      <c r="AI238" s="39"/>
      <c r="AJ238" s="836"/>
      <c r="AK238" s="780"/>
      <c r="AL238" s="39"/>
      <c r="AM238" s="780"/>
      <c r="AN238" s="793"/>
      <c r="AO238" s="780"/>
      <c r="AP238" s="39"/>
      <c r="AQ238" s="780"/>
      <c r="AR238" s="39"/>
      <c r="AS238" s="780"/>
      <c r="AT238" s="39"/>
      <c r="AU238" s="39"/>
      <c r="AV238" s="804"/>
      <c r="AW238" s="847"/>
    </row>
    <row r="239" spans="1:49" ht="15" customHeight="1" x14ac:dyDescent="0.3">
      <c r="A239" s="799"/>
      <c r="B239" s="780"/>
      <c r="C239" s="793"/>
      <c r="D239" s="799"/>
      <c r="E239" s="800"/>
      <c r="F239" s="793"/>
      <c r="G239" s="793"/>
      <c r="H239" s="793"/>
      <c r="I239" s="821"/>
      <c r="J239" s="793"/>
      <c r="K239" s="793"/>
      <c r="L239" s="793"/>
      <c r="M239" s="780"/>
      <c r="N239" s="437"/>
      <c r="O239" s="793"/>
      <c r="P239" s="793"/>
      <c r="Q239" s="794"/>
      <c r="R239" s="437"/>
      <c r="S239" s="796"/>
      <c r="T239" s="797"/>
      <c r="U239" s="798"/>
      <c r="V239" s="780"/>
      <c r="W239" s="794"/>
      <c r="X239" s="793"/>
      <c r="Y239" s="793"/>
      <c r="Z239" s="822"/>
      <c r="AA239" s="794"/>
      <c r="AB239" s="800"/>
      <c r="AC239" s="794"/>
      <c r="AD239" s="796"/>
      <c r="AE239" s="794"/>
      <c r="AF239" s="784"/>
      <c r="AG239"/>
      <c r="AH239" s="780"/>
      <c r="AI239" s="39"/>
      <c r="AJ239" s="836"/>
      <c r="AK239" s="780"/>
      <c r="AL239" s="39"/>
      <c r="AM239" s="780"/>
      <c r="AN239" s="793"/>
      <c r="AO239" s="780"/>
      <c r="AP239" s="39"/>
      <c r="AQ239" s="780"/>
      <c r="AR239" s="39"/>
      <c r="AS239" s="780"/>
      <c r="AT239" s="39"/>
      <c r="AU239" s="39"/>
      <c r="AV239" s="804"/>
      <c r="AW239" s="847"/>
    </row>
    <row r="240" spans="1:49" ht="15" customHeight="1" x14ac:dyDescent="0.3">
      <c r="A240" s="799"/>
      <c r="B240" s="780"/>
      <c r="C240" s="793"/>
      <c r="D240" s="799"/>
      <c r="E240" s="800"/>
      <c r="F240" s="793"/>
      <c r="G240" s="793"/>
      <c r="H240" s="793"/>
      <c r="I240" s="821"/>
      <c r="J240" s="793"/>
      <c r="K240" s="793"/>
      <c r="L240" s="793"/>
      <c r="M240" s="780"/>
      <c r="N240" s="437"/>
      <c r="O240" s="793"/>
      <c r="P240" s="793"/>
      <c r="Q240" s="794"/>
      <c r="R240" s="437"/>
      <c r="S240" s="796"/>
      <c r="T240" s="797"/>
      <c r="U240" s="798"/>
      <c r="V240" s="780"/>
      <c r="W240" s="794"/>
      <c r="X240" s="793"/>
      <c r="Y240" s="793"/>
      <c r="Z240" s="822"/>
      <c r="AA240" s="794"/>
      <c r="AB240" s="800"/>
      <c r="AC240" s="794"/>
      <c r="AD240" s="796"/>
      <c r="AE240" s="794"/>
      <c r="AF240" s="784"/>
      <c r="AG240"/>
      <c r="AH240" s="780"/>
      <c r="AI240" s="39"/>
      <c r="AJ240" s="836"/>
      <c r="AK240" s="780"/>
      <c r="AL240" s="39"/>
      <c r="AM240" s="780"/>
      <c r="AN240" s="793"/>
      <c r="AO240" s="780"/>
      <c r="AP240" s="39"/>
      <c r="AQ240" s="780"/>
      <c r="AR240" s="39"/>
      <c r="AS240" s="780"/>
      <c r="AT240" s="39"/>
      <c r="AU240" s="39"/>
      <c r="AV240" s="804"/>
      <c r="AW240" s="847"/>
    </row>
    <row r="241" spans="1:49" ht="15" customHeight="1" x14ac:dyDescent="0.3">
      <c r="A241" s="799"/>
      <c r="B241" s="780"/>
      <c r="C241" s="793"/>
      <c r="D241" s="799"/>
      <c r="E241" s="800"/>
      <c r="F241" s="793"/>
      <c r="G241" s="793"/>
      <c r="H241" s="793"/>
      <c r="I241" s="821"/>
      <c r="J241" s="793"/>
      <c r="K241" s="793"/>
      <c r="L241" s="793"/>
      <c r="M241" s="780"/>
      <c r="N241" s="437"/>
      <c r="O241" s="793"/>
      <c r="P241" s="793"/>
      <c r="Q241" s="794"/>
      <c r="R241" s="437"/>
      <c r="S241" s="796"/>
      <c r="T241" s="797"/>
      <c r="U241" s="798"/>
      <c r="V241" s="780"/>
      <c r="W241" s="794"/>
      <c r="X241" s="793"/>
      <c r="Y241" s="793"/>
      <c r="Z241" s="822"/>
      <c r="AA241" s="794"/>
      <c r="AB241" s="800"/>
      <c r="AC241" s="794"/>
      <c r="AD241" s="796"/>
      <c r="AE241" s="794"/>
      <c r="AF241" s="784"/>
      <c r="AG241"/>
      <c r="AH241" s="780"/>
      <c r="AI241" s="39"/>
      <c r="AJ241" s="836"/>
      <c r="AK241" s="780"/>
      <c r="AL241" s="39"/>
      <c r="AM241" s="780"/>
      <c r="AN241" s="793"/>
      <c r="AO241" s="780"/>
      <c r="AP241" s="39"/>
      <c r="AQ241" s="780"/>
      <c r="AR241" s="39"/>
      <c r="AS241" s="780"/>
      <c r="AT241" s="39"/>
      <c r="AU241" s="39"/>
      <c r="AV241" s="804"/>
      <c r="AW241" s="847"/>
    </row>
    <row r="242" spans="1:49" ht="15" customHeight="1" x14ac:dyDescent="0.3">
      <c r="A242" s="799"/>
      <c r="B242" s="780"/>
      <c r="C242" s="793"/>
      <c r="D242" s="799"/>
      <c r="E242" s="800"/>
      <c r="F242" s="793"/>
      <c r="G242" s="793"/>
      <c r="H242" s="793"/>
      <c r="I242" s="821"/>
      <c r="J242" s="793"/>
      <c r="K242" s="793"/>
      <c r="L242" s="793"/>
      <c r="M242" s="780"/>
      <c r="N242" s="437"/>
      <c r="O242" s="793"/>
      <c r="P242" s="793"/>
      <c r="Q242" s="794"/>
      <c r="R242" s="437"/>
      <c r="S242" s="796"/>
      <c r="T242" s="797"/>
      <c r="U242" s="798"/>
      <c r="V242" s="780"/>
      <c r="W242" s="794"/>
      <c r="X242" s="793"/>
      <c r="Y242" s="793"/>
      <c r="Z242" s="822"/>
      <c r="AA242" s="794"/>
      <c r="AB242" s="800"/>
      <c r="AC242" s="794"/>
      <c r="AD242" s="796"/>
      <c r="AE242" s="794"/>
      <c r="AF242" s="784"/>
      <c r="AG242"/>
      <c r="AH242" s="780"/>
      <c r="AI242" s="39"/>
      <c r="AJ242" s="836"/>
      <c r="AK242" s="780"/>
      <c r="AL242" s="39"/>
      <c r="AM242" s="780"/>
      <c r="AN242" s="793"/>
      <c r="AO242" s="780"/>
      <c r="AP242" s="39"/>
      <c r="AQ242" s="780"/>
      <c r="AR242" s="39"/>
      <c r="AS242" s="780"/>
      <c r="AT242" s="39"/>
      <c r="AU242" s="39"/>
      <c r="AV242" s="804"/>
      <c r="AW242" s="847"/>
    </row>
    <row r="243" spans="1:49" ht="15" customHeight="1" x14ac:dyDescent="0.3">
      <c r="A243" s="799"/>
      <c r="B243" s="780"/>
      <c r="C243" s="793"/>
      <c r="D243" s="799"/>
      <c r="E243" s="800"/>
      <c r="F243" s="793"/>
      <c r="G243" s="793"/>
      <c r="H243" s="793"/>
      <c r="I243" s="821"/>
      <c r="J243" s="793"/>
      <c r="K243" s="793"/>
      <c r="L243" s="793"/>
      <c r="M243" s="780"/>
      <c r="N243" s="437"/>
      <c r="O243" s="793"/>
      <c r="P243" s="793"/>
      <c r="Q243" s="794"/>
      <c r="R243" s="437"/>
      <c r="S243" s="796"/>
      <c r="T243" s="797"/>
      <c r="U243" s="798"/>
      <c r="V243" s="780"/>
      <c r="W243" s="794"/>
      <c r="X243" s="793"/>
      <c r="Y243" s="793"/>
      <c r="Z243" s="822"/>
      <c r="AA243" s="794"/>
      <c r="AB243" s="800"/>
      <c r="AC243" s="794"/>
      <c r="AD243" s="796"/>
      <c r="AE243" s="794"/>
      <c r="AF243" s="784"/>
      <c r="AG243"/>
      <c r="AH243" s="780"/>
      <c r="AI243" s="39"/>
      <c r="AJ243" s="836"/>
      <c r="AK243" s="780"/>
      <c r="AL243" s="39"/>
      <c r="AM243" s="780"/>
      <c r="AN243" s="793"/>
      <c r="AO243" s="780"/>
      <c r="AP243" s="39"/>
      <c r="AQ243" s="780"/>
      <c r="AR243" s="39"/>
      <c r="AS243" s="780"/>
      <c r="AT243" s="39"/>
      <c r="AU243" s="39"/>
      <c r="AV243" s="804"/>
      <c r="AW243" s="847"/>
    </row>
    <row r="244" spans="1:49" ht="15" customHeight="1" x14ac:dyDescent="0.3">
      <c r="A244" s="799"/>
      <c r="B244" s="780"/>
      <c r="C244" s="793"/>
      <c r="D244" s="799"/>
      <c r="E244" s="800"/>
      <c r="F244" s="793"/>
      <c r="G244" s="793"/>
      <c r="H244" s="793"/>
      <c r="I244" s="821"/>
      <c r="J244" s="793"/>
      <c r="K244" s="793"/>
      <c r="L244" s="793"/>
      <c r="M244" s="780"/>
      <c r="N244" s="437"/>
      <c r="O244" s="793"/>
      <c r="P244" s="793"/>
      <c r="Q244" s="794"/>
      <c r="R244" s="437"/>
      <c r="S244" s="796"/>
      <c r="T244" s="797"/>
      <c r="U244" s="798"/>
      <c r="V244" s="780"/>
      <c r="W244" s="794"/>
      <c r="X244" s="793"/>
      <c r="Y244" s="793"/>
      <c r="Z244" s="822"/>
      <c r="AA244" s="794"/>
      <c r="AB244" s="800"/>
      <c r="AC244" s="794"/>
      <c r="AD244" s="796"/>
      <c r="AE244" s="794"/>
      <c r="AF244" s="784"/>
      <c r="AG244"/>
      <c r="AH244" s="780"/>
      <c r="AI244" s="39"/>
      <c r="AJ244" s="836"/>
      <c r="AK244" s="780"/>
      <c r="AL244" s="39"/>
      <c r="AM244" s="780"/>
      <c r="AN244" s="793"/>
      <c r="AO244" s="780"/>
      <c r="AP244" s="39"/>
      <c r="AQ244" s="780"/>
      <c r="AR244" s="39"/>
      <c r="AS244" s="780"/>
      <c r="AT244" s="39"/>
      <c r="AU244" s="39"/>
      <c r="AV244" s="804"/>
      <c r="AW244" s="847"/>
    </row>
    <row r="245" spans="1:49" ht="15" customHeight="1" x14ac:dyDescent="0.3">
      <c r="A245" s="799"/>
      <c r="B245" s="780"/>
      <c r="C245" s="793"/>
      <c r="D245" s="799"/>
      <c r="E245" s="800"/>
      <c r="F245" s="793"/>
      <c r="G245" s="793"/>
      <c r="H245" s="793"/>
      <c r="I245" s="821"/>
      <c r="J245" s="793"/>
      <c r="K245" s="793"/>
      <c r="L245" s="793"/>
      <c r="M245" s="780"/>
      <c r="N245" s="437"/>
      <c r="O245" s="793"/>
      <c r="P245" s="793"/>
      <c r="Q245" s="794"/>
      <c r="R245" s="437"/>
      <c r="S245" s="796"/>
      <c r="T245" s="797"/>
      <c r="U245" s="798"/>
      <c r="V245" s="780"/>
      <c r="W245" s="794"/>
      <c r="X245" s="793"/>
      <c r="Y245" s="793"/>
      <c r="Z245" s="822"/>
      <c r="AA245" s="794"/>
      <c r="AB245" s="800"/>
      <c r="AC245" s="794"/>
      <c r="AD245" s="796"/>
      <c r="AE245" s="794"/>
      <c r="AF245" s="784"/>
      <c r="AG245"/>
      <c r="AH245" s="780"/>
      <c r="AI245" s="39"/>
      <c r="AJ245" s="836"/>
      <c r="AK245" s="780"/>
      <c r="AL245" s="39"/>
      <c r="AM245" s="780"/>
      <c r="AN245" s="793"/>
      <c r="AO245" s="780"/>
      <c r="AP245" s="39"/>
      <c r="AQ245" s="780"/>
      <c r="AR245" s="39"/>
      <c r="AS245" s="780"/>
      <c r="AT245" s="39"/>
      <c r="AU245" s="39"/>
      <c r="AV245" s="804"/>
      <c r="AW245" s="847"/>
    </row>
    <row r="246" spans="1:49" ht="15" customHeight="1" x14ac:dyDescent="0.3">
      <c r="A246" s="799"/>
      <c r="B246" s="780"/>
      <c r="C246" s="793"/>
      <c r="D246" s="799"/>
      <c r="E246" s="800"/>
      <c r="F246" s="793"/>
      <c r="G246" s="793"/>
      <c r="H246" s="793"/>
      <c r="I246" s="821"/>
      <c r="J246" s="793"/>
      <c r="K246" s="793"/>
      <c r="L246" s="793"/>
      <c r="M246" s="780"/>
      <c r="N246" s="437"/>
      <c r="O246" s="793"/>
      <c r="P246" s="793"/>
      <c r="Q246" s="794"/>
      <c r="R246" s="437"/>
      <c r="S246" s="796"/>
      <c r="T246" s="797"/>
      <c r="U246" s="798"/>
      <c r="V246" s="780"/>
      <c r="W246" s="794"/>
      <c r="X246" s="793"/>
      <c r="Y246" s="793"/>
      <c r="Z246" s="822"/>
      <c r="AA246" s="794"/>
      <c r="AB246" s="800"/>
      <c r="AC246" s="794"/>
      <c r="AD246" s="796"/>
      <c r="AE246" s="794"/>
      <c r="AF246" s="784"/>
      <c r="AG246"/>
      <c r="AH246" s="780"/>
      <c r="AI246" s="39"/>
      <c r="AJ246" s="836"/>
      <c r="AK246" s="780"/>
      <c r="AL246" s="39"/>
      <c r="AM246" s="780"/>
      <c r="AN246" s="793"/>
      <c r="AO246" s="780"/>
      <c r="AP246" s="39"/>
      <c r="AQ246" s="780"/>
      <c r="AR246" s="39"/>
      <c r="AS246" s="780"/>
      <c r="AT246" s="39"/>
      <c r="AU246" s="39"/>
      <c r="AV246" s="804"/>
      <c r="AW246" s="847"/>
    </row>
    <row r="247" spans="1:49" ht="15" customHeight="1" x14ac:dyDescent="0.3">
      <c r="A247" s="799"/>
      <c r="B247" s="780"/>
      <c r="C247" s="793"/>
      <c r="D247" s="799"/>
      <c r="E247" s="800"/>
      <c r="F247" s="793"/>
      <c r="G247" s="793"/>
      <c r="H247" s="793"/>
      <c r="I247" s="821"/>
      <c r="J247" s="793"/>
      <c r="K247" s="793"/>
      <c r="L247" s="793"/>
      <c r="M247" s="780"/>
      <c r="N247" s="437"/>
      <c r="O247" s="793"/>
      <c r="P247" s="793"/>
      <c r="Q247" s="794"/>
      <c r="R247" s="437"/>
      <c r="S247" s="796"/>
      <c r="T247" s="797"/>
      <c r="U247" s="798"/>
      <c r="V247" s="780"/>
      <c r="W247" s="794"/>
      <c r="X247" s="793"/>
      <c r="Y247" s="793"/>
      <c r="Z247" s="822"/>
      <c r="AA247" s="794"/>
      <c r="AB247" s="800"/>
      <c r="AC247" s="794"/>
      <c r="AD247" s="796"/>
      <c r="AE247" s="794"/>
      <c r="AF247" s="784"/>
      <c r="AG247"/>
      <c r="AH247" s="780"/>
      <c r="AI247" s="39"/>
      <c r="AJ247" s="836"/>
      <c r="AK247" s="780"/>
      <c r="AL247" s="39"/>
      <c r="AM247" s="780"/>
      <c r="AN247" s="793"/>
      <c r="AO247" s="780"/>
      <c r="AP247" s="39"/>
      <c r="AQ247" s="780"/>
      <c r="AR247" s="39"/>
      <c r="AS247" s="780"/>
      <c r="AT247" s="39"/>
      <c r="AU247" s="39"/>
      <c r="AV247" s="804"/>
      <c r="AW247" s="847"/>
    </row>
    <row r="248" spans="1:49" ht="15" customHeight="1" x14ac:dyDescent="0.3">
      <c r="A248" s="799"/>
      <c r="B248" s="780"/>
      <c r="C248" s="793"/>
      <c r="D248" s="799"/>
      <c r="E248" s="800"/>
      <c r="F248" s="793"/>
      <c r="G248" s="793"/>
      <c r="H248" s="793"/>
      <c r="I248" s="821"/>
      <c r="J248" s="793"/>
      <c r="K248" s="793"/>
      <c r="L248" s="793"/>
      <c r="M248" s="780"/>
      <c r="N248" s="437"/>
      <c r="O248" s="793"/>
      <c r="P248" s="793"/>
      <c r="Q248" s="794"/>
      <c r="R248" s="437"/>
      <c r="S248" s="796"/>
      <c r="T248" s="797"/>
      <c r="U248" s="798"/>
      <c r="V248" s="780"/>
      <c r="W248" s="794"/>
      <c r="X248" s="793"/>
      <c r="Y248" s="793"/>
      <c r="Z248" s="822"/>
      <c r="AA248" s="794"/>
      <c r="AB248" s="800"/>
      <c r="AC248" s="794"/>
      <c r="AD248" s="796"/>
      <c r="AE248" s="794"/>
      <c r="AF248" s="784"/>
      <c r="AG248"/>
      <c r="AH248" s="780"/>
      <c r="AI248" s="39"/>
      <c r="AJ248" s="836"/>
      <c r="AK248" s="780"/>
      <c r="AL248" s="39"/>
      <c r="AM248" s="780"/>
      <c r="AN248" s="793"/>
      <c r="AO248" s="780"/>
      <c r="AP248" s="39"/>
      <c r="AQ248" s="780"/>
      <c r="AR248" s="39"/>
      <c r="AS248" s="780"/>
      <c r="AT248" s="39"/>
      <c r="AU248" s="39"/>
      <c r="AV248" s="804"/>
      <c r="AW248" s="847"/>
    </row>
    <row r="249" spans="1:49" ht="15" customHeight="1" x14ac:dyDescent="0.3">
      <c r="A249" s="799"/>
      <c r="B249" s="780"/>
      <c r="C249" s="793"/>
      <c r="D249" s="799"/>
      <c r="E249" s="800"/>
      <c r="F249" s="793"/>
      <c r="G249" s="793"/>
      <c r="H249" s="793"/>
      <c r="I249" s="821"/>
      <c r="J249" s="793"/>
      <c r="K249" s="793"/>
      <c r="L249" s="793"/>
      <c r="M249" s="780"/>
      <c r="N249" s="437"/>
      <c r="O249" s="793"/>
      <c r="P249" s="793"/>
      <c r="Q249" s="794"/>
      <c r="R249" s="437"/>
      <c r="S249" s="796"/>
      <c r="T249" s="797"/>
      <c r="U249" s="798"/>
      <c r="V249" s="780"/>
      <c r="W249" s="794"/>
      <c r="X249" s="793"/>
      <c r="Y249" s="793"/>
      <c r="Z249" s="822"/>
      <c r="AA249" s="794"/>
      <c r="AB249" s="800"/>
      <c r="AC249" s="794"/>
      <c r="AD249" s="796"/>
      <c r="AE249" s="794"/>
      <c r="AF249" s="784"/>
      <c r="AG249"/>
      <c r="AH249" s="780"/>
      <c r="AI249" s="39"/>
      <c r="AJ249" s="836"/>
      <c r="AK249" s="780"/>
      <c r="AL249" s="39"/>
      <c r="AM249" s="780"/>
      <c r="AN249" s="793"/>
      <c r="AO249" s="780"/>
      <c r="AP249" s="39"/>
      <c r="AQ249" s="780"/>
      <c r="AR249" s="39"/>
      <c r="AS249" s="780"/>
      <c r="AT249" s="39"/>
      <c r="AU249" s="39"/>
      <c r="AV249" s="804"/>
      <c r="AW249" s="847"/>
    </row>
    <row r="250" spans="1:49" ht="15" customHeight="1" x14ac:dyDescent="0.3">
      <c r="A250" s="799"/>
      <c r="B250" s="780"/>
      <c r="C250" s="793"/>
      <c r="D250" s="799"/>
      <c r="E250" s="800"/>
      <c r="F250" s="793"/>
      <c r="G250" s="793"/>
      <c r="H250" s="793"/>
      <c r="I250" s="821"/>
      <c r="J250" s="793"/>
      <c r="K250" s="793"/>
      <c r="L250" s="793"/>
      <c r="M250" s="780"/>
      <c r="N250" s="437"/>
      <c r="O250" s="793"/>
      <c r="P250" s="793"/>
      <c r="Q250" s="794"/>
      <c r="R250" s="437"/>
      <c r="S250" s="796"/>
      <c r="T250" s="797"/>
      <c r="U250" s="798"/>
      <c r="V250" s="780"/>
      <c r="W250" s="794"/>
      <c r="X250" s="793"/>
      <c r="Y250" s="793"/>
      <c r="Z250" s="822"/>
      <c r="AA250" s="794"/>
      <c r="AB250" s="800"/>
      <c r="AC250" s="794"/>
      <c r="AD250" s="796"/>
      <c r="AE250" s="794"/>
      <c r="AF250" s="784"/>
      <c r="AG250"/>
      <c r="AH250" s="780"/>
      <c r="AI250" s="39"/>
      <c r="AJ250" s="836"/>
      <c r="AK250" s="780"/>
      <c r="AL250" s="39"/>
      <c r="AM250" s="780"/>
      <c r="AN250" s="793"/>
      <c r="AO250" s="780"/>
      <c r="AP250" s="39"/>
      <c r="AQ250" s="780"/>
      <c r="AR250" s="39"/>
      <c r="AS250" s="780"/>
      <c r="AT250" s="39"/>
      <c r="AU250" s="39"/>
      <c r="AV250" s="804"/>
      <c r="AW250" s="847"/>
    </row>
    <row r="251" spans="1:49" ht="15" customHeight="1" x14ac:dyDescent="0.3">
      <c r="A251" s="799"/>
      <c r="B251" s="780"/>
      <c r="C251" s="793"/>
      <c r="D251" s="799"/>
      <c r="E251" s="800"/>
      <c r="F251" s="793"/>
      <c r="G251" s="793"/>
      <c r="H251" s="793"/>
      <c r="I251" s="821"/>
      <c r="J251" s="793"/>
      <c r="K251" s="793"/>
      <c r="L251" s="793"/>
      <c r="M251" s="780"/>
      <c r="N251" s="437"/>
      <c r="O251" s="793"/>
      <c r="P251" s="793"/>
      <c r="Q251" s="794"/>
      <c r="R251" s="437"/>
      <c r="S251" s="796"/>
      <c r="T251" s="797"/>
      <c r="U251" s="798"/>
      <c r="V251" s="780"/>
      <c r="W251" s="794"/>
      <c r="X251" s="793"/>
      <c r="Y251" s="793"/>
      <c r="Z251" s="822"/>
      <c r="AA251" s="794"/>
      <c r="AB251" s="800"/>
      <c r="AC251" s="794"/>
      <c r="AD251" s="796"/>
      <c r="AE251" s="794"/>
      <c r="AF251" s="784"/>
      <c r="AG251"/>
      <c r="AH251" s="780"/>
      <c r="AI251" s="39"/>
      <c r="AJ251" s="836"/>
      <c r="AK251" s="780"/>
      <c r="AL251" s="39"/>
      <c r="AM251" s="780"/>
      <c r="AN251" s="793"/>
      <c r="AO251" s="780"/>
      <c r="AP251" s="39"/>
      <c r="AQ251" s="780"/>
      <c r="AR251" s="39"/>
      <c r="AS251" s="780"/>
      <c r="AT251" s="39"/>
      <c r="AU251" s="39"/>
      <c r="AV251" s="804"/>
      <c r="AW251" s="847"/>
    </row>
    <row r="252" spans="1:49" ht="15" customHeight="1" x14ac:dyDescent="0.3">
      <c r="A252" s="799"/>
      <c r="B252" s="780"/>
      <c r="C252" s="793"/>
      <c r="D252" s="799"/>
      <c r="E252" s="800"/>
      <c r="F252" s="793"/>
      <c r="G252" s="793"/>
      <c r="H252" s="793"/>
      <c r="I252" s="821"/>
      <c r="J252" s="793"/>
      <c r="K252" s="793"/>
      <c r="L252" s="793"/>
      <c r="M252" s="780"/>
      <c r="N252" s="437"/>
      <c r="O252" s="793"/>
      <c r="P252" s="793"/>
      <c r="Q252" s="794"/>
      <c r="R252" s="437"/>
      <c r="S252" s="796"/>
      <c r="T252" s="797"/>
      <c r="U252" s="798"/>
      <c r="V252" s="780"/>
      <c r="W252" s="794"/>
      <c r="X252" s="793"/>
      <c r="Y252" s="793"/>
      <c r="Z252" s="822"/>
      <c r="AA252" s="794"/>
      <c r="AB252" s="800"/>
      <c r="AC252" s="794"/>
      <c r="AD252" s="796"/>
      <c r="AE252" s="794"/>
      <c r="AF252" s="784"/>
      <c r="AG252"/>
      <c r="AH252" s="780"/>
      <c r="AI252" s="39"/>
      <c r="AJ252" s="836"/>
      <c r="AK252" s="780"/>
      <c r="AL252" s="39"/>
      <c r="AM252" s="780"/>
      <c r="AN252" s="793"/>
      <c r="AO252" s="780"/>
      <c r="AP252" s="39"/>
      <c r="AQ252" s="780"/>
      <c r="AR252" s="39"/>
      <c r="AS252" s="780"/>
      <c r="AT252" s="39"/>
      <c r="AU252" s="39"/>
      <c r="AV252" s="804"/>
      <c r="AW252" s="847"/>
    </row>
    <row r="253" spans="1:49" ht="15" customHeight="1" x14ac:dyDescent="0.3">
      <c r="A253" s="799"/>
      <c r="B253" s="780"/>
      <c r="C253" s="793"/>
      <c r="D253" s="799"/>
      <c r="E253" s="800"/>
      <c r="F253" s="793"/>
      <c r="G253" s="793"/>
      <c r="H253" s="793"/>
      <c r="I253" s="821"/>
      <c r="J253" s="793"/>
      <c r="K253" s="793"/>
      <c r="L253" s="793"/>
      <c r="M253" s="780"/>
      <c r="N253" s="437"/>
      <c r="O253" s="793"/>
      <c r="P253" s="793"/>
      <c r="Q253" s="794"/>
      <c r="R253" s="437"/>
      <c r="S253" s="796"/>
      <c r="T253" s="797"/>
      <c r="U253" s="798"/>
      <c r="V253" s="780"/>
      <c r="W253" s="794"/>
      <c r="X253" s="793"/>
      <c r="Y253" s="793"/>
      <c r="Z253" s="822"/>
      <c r="AA253" s="794"/>
      <c r="AB253" s="800"/>
      <c r="AC253" s="794"/>
      <c r="AD253" s="796"/>
      <c r="AE253" s="794"/>
      <c r="AF253" s="784"/>
      <c r="AG253"/>
      <c r="AH253" s="780"/>
      <c r="AI253" s="39"/>
      <c r="AJ253" s="836"/>
      <c r="AK253" s="780"/>
      <c r="AL253" s="39"/>
      <c r="AM253" s="780"/>
      <c r="AN253" s="793"/>
      <c r="AO253" s="780"/>
      <c r="AP253" s="39"/>
      <c r="AQ253" s="780"/>
      <c r="AR253" s="39"/>
      <c r="AS253" s="780"/>
      <c r="AT253" s="39"/>
      <c r="AU253" s="39"/>
      <c r="AV253" s="804"/>
      <c r="AW253" s="847"/>
    </row>
    <row r="254" spans="1:49" ht="15" customHeight="1" x14ac:dyDescent="0.3">
      <c r="A254" s="799"/>
      <c r="B254" s="780"/>
      <c r="C254" s="793"/>
      <c r="D254" s="799"/>
      <c r="E254" s="800"/>
      <c r="F254" s="793"/>
      <c r="G254" s="793"/>
      <c r="H254" s="793"/>
      <c r="I254" s="821"/>
      <c r="J254" s="793"/>
      <c r="K254" s="793"/>
      <c r="L254" s="793"/>
      <c r="M254" s="780"/>
      <c r="N254" s="437"/>
      <c r="O254" s="793"/>
      <c r="P254" s="793"/>
      <c r="Q254" s="794"/>
      <c r="R254" s="437"/>
      <c r="S254" s="796"/>
      <c r="T254" s="797"/>
      <c r="U254" s="798"/>
      <c r="V254" s="780"/>
      <c r="W254" s="794"/>
      <c r="X254" s="793"/>
      <c r="Y254" s="793"/>
      <c r="Z254" s="822"/>
      <c r="AA254" s="794"/>
      <c r="AB254" s="800"/>
      <c r="AC254" s="794"/>
      <c r="AD254" s="796"/>
      <c r="AE254" s="794"/>
      <c r="AF254" s="784"/>
      <c r="AG254"/>
      <c r="AH254" s="780"/>
      <c r="AI254" s="39"/>
      <c r="AJ254" s="836"/>
      <c r="AK254" s="780"/>
      <c r="AL254" s="39"/>
      <c r="AM254" s="780"/>
      <c r="AN254" s="793"/>
      <c r="AO254" s="780"/>
      <c r="AP254" s="39"/>
      <c r="AQ254" s="780"/>
      <c r="AR254" s="39"/>
      <c r="AS254" s="780"/>
      <c r="AT254" s="39"/>
      <c r="AU254" s="39"/>
      <c r="AV254" s="804"/>
      <c r="AW254" s="847"/>
    </row>
    <row r="255" spans="1:49" ht="15" customHeight="1" x14ac:dyDescent="0.3">
      <c r="A255" s="799"/>
      <c r="B255" s="780"/>
      <c r="C255" s="793"/>
      <c r="D255" s="799"/>
      <c r="E255" s="800"/>
      <c r="F255" s="793"/>
      <c r="G255" s="793"/>
      <c r="H255" s="793"/>
      <c r="I255" s="821"/>
      <c r="J255" s="793"/>
      <c r="K255" s="793"/>
      <c r="L255" s="793"/>
      <c r="M255" s="780"/>
      <c r="N255" s="437"/>
      <c r="O255" s="793"/>
      <c r="P255" s="793"/>
      <c r="Q255" s="794"/>
      <c r="R255" s="437"/>
      <c r="S255" s="796"/>
      <c r="T255" s="797"/>
      <c r="U255" s="798"/>
      <c r="V255" s="780"/>
      <c r="W255" s="794"/>
      <c r="X255" s="793"/>
      <c r="Y255" s="793"/>
      <c r="Z255" s="822"/>
      <c r="AA255" s="794"/>
      <c r="AB255" s="800"/>
      <c r="AC255" s="794"/>
      <c r="AD255" s="796"/>
      <c r="AE255" s="794"/>
      <c r="AF255" s="784"/>
      <c r="AG255"/>
      <c r="AH255" s="780"/>
      <c r="AI255" s="39"/>
      <c r="AJ255" s="836"/>
      <c r="AK255" s="780"/>
      <c r="AL255" s="39"/>
      <c r="AM255" s="780"/>
      <c r="AN255" s="793"/>
      <c r="AO255" s="780"/>
      <c r="AP255" s="39"/>
      <c r="AQ255" s="780"/>
      <c r="AR255" s="39"/>
      <c r="AS255" s="780"/>
      <c r="AT255" s="39"/>
      <c r="AU255" s="39"/>
      <c r="AV255" s="804"/>
      <c r="AW255" s="847"/>
    </row>
    <row r="256" spans="1:49" ht="15" customHeight="1" x14ac:dyDescent="0.3">
      <c r="A256" s="799"/>
      <c r="B256" s="780"/>
      <c r="C256" s="793"/>
      <c r="D256" s="799"/>
      <c r="E256" s="800"/>
      <c r="F256" s="793"/>
      <c r="G256" s="793"/>
      <c r="H256" s="793"/>
      <c r="I256" s="821"/>
      <c r="J256" s="793"/>
      <c r="K256" s="793"/>
      <c r="L256" s="793"/>
      <c r="M256" s="780"/>
      <c r="N256" s="437"/>
      <c r="O256" s="793"/>
      <c r="P256" s="793"/>
      <c r="Q256" s="794"/>
      <c r="R256" s="437"/>
      <c r="S256" s="796"/>
      <c r="T256" s="797"/>
      <c r="U256" s="798"/>
      <c r="V256" s="780"/>
      <c r="W256" s="794"/>
      <c r="X256" s="793"/>
      <c r="Y256" s="793"/>
      <c r="Z256" s="822"/>
      <c r="AA256" s="794"/>
      <c r="AB256" s="800"/>
      <c r="AC256" s="794"/>
      <c r="AD256" s="796"/>
      <c r="AE256" s="794"/>
      <c r="AF256" s="784"/>
      <c r="AG256"/>
      <c r="AH256" s="780"/>
      <c r="AI256" s="39"/>
      <c r="AJ256" s="836"/>
      <c r="AK256" s="780"/>
      <c r="AL256" s="39"/>
      <c r="AM256" s="780"/>
      <c r="AN256" s="793"/>
      <c r="AO256" s="780"/>
      <c r="AP256" s="39"/>
      <c r="AQ256" s="780"/>
      <c r="AR256" s="39"/>
      <c r="AS256" s="780"/>
      <c r="AT256" s="39"/>
      <c r="AU256" s="39"/>
      <c r="AV256" s="804"/>
      <c r="AW256" s="847"/>
    </row>
    <row r="257" spans="1:49" ht="15" customHeight="1" x14ac:dyDescent="0.3">
      <c r="A257" s="799"/>
      <c r="B257" s="780"/>
      <c r="C257" s="793"/>
      <c r="D257" s="799"/>
      <c r="E257" s="800"/>
      <c r="F257" s="793"/>
      <c r="G257" s="793"/>
      <c r="H257" s="793"/>
      <c r="I257" s="821"/>
      <c r="J257" s="793"/>
      <c r="K257" s="793"/>
      <c r="L257" s="793"/>
      <c r="M257" s="780"/>
      <c r="N257" s="437"/>
      <c r="O257" s="793"/>
      <c r="P257" s="793"/>
      <c r="Q257" s="794"/>
      <c r="R257" s="437"/>
      <c r="S257" s="796"/>
      <c r="T257" s="797"/>
      <c r="U257" s="798"/>
      <c r="V257" s="780"/>
      <c r="W257" s="794"/>
      <c r="X257" s="793"/>
      <c r="Y257" s="793"/>
      <c r="Z257" s="822"/>
      <c r="AA257" s="794"/>
      <c r="AB257" s="800"/>
      <c r="AC257" s="794"/>
      <c r="AD257" s="796"/>
      <c r="AE257" s="794"/>
      <c r="AF257" s="784"/>
      <c r="AG257"/>
      <c r="AH257" s="780"/>
      <c r="AI257" s="39"/>
      <c r="AJ257" s="836"/>
      <c r="AK257" s="780"/>
      <c r="AL257" s="39"/>
      <c r="AM257" s="780"/>
      <c r="AN257" s="793"/>
      <c r="AO257" s="780"/>
      <c r="AP257" s="39"/>
      <c r="AQ257" s="780"/>
      <c r="AR257" s="39"/>
      <c r="AS257" s="780"/>
      <c r="AT257" s="39"/>
      <c r="AU257" s="39"/>
      <c r="AV257" s="804"/>
      <c r="AW257" s="847"/>
    </row>
    <row r="258" spans="1:49" ht="15" customHeight="1" x14ac:dyDescent="0.3">
      <c r="A258" s="799"/>
      <c r="B258" s="780"/>
      <c r="C258" s="793"/>
      <c r="D258" s="799"/>
      <c r="E258" s="800"/>
      <c r="F258" s="793"/>
      <c r="G258" s="793"/>
      <c r="H258" s="793"/>
      <c r="I258" s="821"/>
      <c r="J258" s="793"/>
      <c r="K258" s="793"/>
      <c r="L258" s="793"/>
      <c r="M258" s="780"/>
      <c r="N258" s="437"/>
      <c r="O258" s="793"/>
      <c r="P258" s="793"/>
      <c r="Q258" s="794"/>
      <c r="R258" s="437"/>
      <c r="S258" s="796"/>
      <c r="T258" s="797"/>
      <c r="U258" s="798"/>
      <c r="V258" s="780"/>
      <c r="W258" s="794"/>
      <c r="X258" s="793"/>
      <c r="Y258" s="793"/>
      <c r="Z258" s="822"/>
      <c r="AA258" s="794"/>
      <c r="AB258" s="800"/>
      <c r="AC258" s="794"/>
      <c r="AD258" s="796"/>
      <c r="AE258" s="794"/>
      <c r="AF258" s="784"/>
      <c r="AG258"/>
      <c r="AH258" s="780"/>
      <c r="AI258" s="39"/>
      <c r="AJ258" s="836"/>
      <c r="AK258" s="780"/>
      <c r="AL258" s="39"/>
      <c r="AM258" s="780"/>
      <c r="AN258" s="793"/>
      <c r="AO258" s="780"/>
      <c r="AP258" s="39"/>
      <c r="AQ258" s="780"/>
      <c r="AR258" s="39"/>
      <c r="AS258" s="780"/>
      <c r="AT258" s="39"/>
      <c r="AU258" s="39"/>
      <c r="AV258" s="804"/>
      <c r="AW258" s="847"/>
    </row>
    <row r="259" spans="1:49" ht="15" customHeight="1" x14ac:dyDescent="0.3">
      <c r="A259" s="799"/>
      <c r="B259" s="780"/>
      <c r="C259" s="793"/>
      <c r="D259" s="799"/>
      <c r="E259" s="800"/>
      <c r="F259" s="793"/>
      <c r="G259" s="793"/>
      <c r="H259" s="793"/>
      <c r="I259" s="821"/>
      <c r="J259" s="793"/>
      <c r="K259" s="793"/>
      <c r="L259" s="793"/>
      <c r="M259" s="780"/>
      <c r="N259" s="793"/>
      <c r="O259" s="793"/>
      <c r="P259" s="793"/>
      <c r="Q259" s="794"/>
      <c r="R259" s="437"/>
      <c r="S259" s="796"/>
      <c r="T259" s="797"/>
      <c r="U259" s="798"/>
      <c r="V259" s="780"/>
      <c r="W259" s="794"/>
      <c r="X259" s="793"/>
      <c r="Y259" s="793"/>
      <c r="Z259" s="822"/>
      <c r="AA259" s="794"/>
      <c r="AB259" s="800"/>
      <c r="AC259" s="794"/>
      <c r="AD259" s="796"/>
      <c r="AE259" s="794"/>
      <c r="AF259" s="784"/>
      <c r="AG259"/>
      <c r="AH259" s="780"/>
      <c r="AI259" s="39"/>
      <c r="AJ259" s="836"/>
      <c r="AK259" s="780"/>
      <c r="AL259" s="39"/>
      <c r="AM259" s="780"/>
      <c r="AN259" s="793"/>
      <c r="AO259" s="780"/>
      <c r="AP259" s="39"/>
      <c r="AQ259" s="780"/>
      <c r="AR259" s="39"/>
      <c r="AS259" s="780"/>
      <c r="AT259" s="39"/>
      <c r="AU259" s="39"/>
      <c r="AV259" s="804"/>
      <c r="AW259" s="847"/>
    </row>
    <row r="260" spans="1:49" ht="15" customHeight="1" x14ac:dyDescent="0.3">
      <c r="A260" s="799"/>
      <c r="B260" s="780"/>
      <c r="C260" s="793"/>
      <c r="D260" s="799"/>
      <c r="E260" s="800"/>
      <c r="F260" s="793"/>
      <c r="G260" s="793"/>
      <c r="H260" s="793"/>
      <c r="I260" s="821"/>
      <c r="J260" s="793"/>
      <c r="K260" s="793"/>
      <c r="L260" s="793"/>
      <c r="M260" s="780"/>
      <c r="N260" s="793"/>
      <c r="O260" s="793"/>
      <c r="P260" s="793"/>
      <c r="Q260" s="794"/>
      <c r="R260" s="437"/>
      <c r="S260" s="796"/>
      <c r="T260" s="797"/>
      <c r="U260" s="798"/>
      <c r="V260" s="780"/>
      <c r="W260" s="794"/>
      <c r="X260" s="793"/>
      <c r="Y260" s="793"/>
      <c r="Z260" s="822"/>
      <c r="AA260" s="794"/>
      <c r="AB260" s="800"/>
      <c r="AC260" s="794"/>
      <c r="AD260" s="796"/>
      <c r="AE260" s="794"/>
      <c r="AF260" s="784"/>
      <c r="AG260"/>
      <c r="AH260" s="780"/>
      <c r="AI260" s="39"/>
      <c r="AJ260" s="836"/>
      <c r="AK260" s="780"/>
      <c r="AL260" s="39"/>
      <c r="AM260" s="780"/>
      <c r="AN260" s="793"/>
      <c r="AO260" s="780"/>
      <c r="AP260" s="39"/>
      <c r="AQ260" s="780"/>
      <c r="AR260" s="39"/>
      <c r="AS260" s="780"/>
      <c r="AT260" s="39"/>
      <c r="AU260" s="39"/>
      <c r="AV260" s="804"/>
      <c r="AW260" s="847"/>
    </row>
    <row r="261" spans="1:49" ht="15" customHeight="1" x14ac:dyDescent="0.3">
      <c r="A261" s="799"/>
      <c r="B261" s="780"/>
      <c r="C261" s="793"/>
      <c r="D261" s="799"/>
      <c r="E261" s="800"/>
      <c r="F261" s="793"/>
      <c r="G261" s="793"/>
      <c r="H261" s="793"/>
      <c r="I261" s="821"/>
      <c r="J261" s="793"/>
      <c r="K261" s="793"/>
      <c r="L261" s="793"/>
      <c r="M261" s="780"/>
      <c r="N261" s="793"/>
      <c r="O261" s="793"/>
      <c r="P261" s="793"/>
      <c r="Q261" s="794"/>
      <c r="R261" s="437"/>
      <c r="S261" s="796"/>
      <c r="T261" s="797"/>
      <c r="U261" s="798"/>
      <c r="V261" s="780"/>
      <c r="W261" s="794"/>
      <c r="X261" s="793"/>
      <c r="Y261" s="793"/>
      <c r="Z261" s="822"/>
      <c r="AA261" s="794"/>
      <c r="AB261" s="800"/>
      <c r="AC261" s="794"/>
      <c r="AD261" s="796"/>
      <c r="AE261" s="794"/>
      <c r="AF261" s="784"/>
      <c r="AG261"/>
      <c r="AH261" s="780"/>
      <c r="AI261" s="39"/>
      <c r="AJ261" s="836"/>
      <c r="AK261" s="780"/>
      <c r="AL261" s="39"/>
      <c r="AM261" s="780"/>
      <c r="AN261" s="793"/>
      <c r="AO261" s="780"/>
      <c r="AP261" s="39"/>
      <c r="AQ261" s="780"/>
      <c r="AR261" s="39"/>
      <c r="AS261" s="780"/>
      <c r="AT261" s="39"/>
      <c r="AU261" s="39"/>
      <c r="AV261" s="804"/>
      <c r="AW261" s="847"/>
    </row>
    <row r="262" spans="1:49" ht="15" customHeight="1" x14ac:dyDescent="0.3">
      <c r="A262" s="799"/>
      <c r="B262" s="780"/>
      <c r="C262" s="793"/>
      <c r="D262" s="799"/>
      <c r="E262" s="800"/>
      <c r="F262" s="793"/>
      <c r="G262" s="793"/>
      <c r="H262" s="793"/>
      <c r="I262" s="821"/>
      <c r="J262" s="793"/>
      <c r="K262" s="793"/>
      <c r="L262" s="793"/>
      <c r="M262" s="780"/>
      <c r="N262" s="793"/>
      <c r="O262" s="793"/>
      <c r="P262" s="793"/>
      <c r="Q262" s="794"/>
      <c r="R262" s="437"/>
      <c r="S262" s="796"/>
      <c r="T262" s="797"/>
      <c r="U262" s="798"/>
      <c r="V262" s="780"/>
      <c r="W262" s="794"/>
      <c r="X262" s="793"/>
      <c r="Y262" s="793"/>
      <c r="Z262" s="822"/>
      <c r="AA262" s="794"/>
      <c r="AB262" s="800"/>
      <c r="AC262" s="794"/>
      <c r="AD262" s="796"/>
      <c r="AE262" s="794"/>
      <c r="AF262" s="784"/>
      <c r="AG262"/>
      <c r="AH262" s="780"/>
      <c r="AI262" s="39"/>
      <c r="AJ262" s="836"/>
      <c r="AK262" s="780"/>
      <c r="AL262" s="39"/>
      <c r="AM262" s="780"/>
      <c r="AN262" s="793"/>
      <c r="AO262" s="780"/>
      <c r="AP262" s="39"/>
      <c r="AQ262" s="780"/>
      <c r="AR262" s="39"/>
      <c r="AS262" s="780"/>
      <c r="AT262" s="39"/>
      <c r="AU262" s="39"/>
      <c r="AV262" s="804"/>
      <c r="AW262" s="847"/>
    </row>
    <row r="263" spans="1:49" ht="15" customHeight="1" x14ac:dyDescent="0.3">
      <c r="A263" s="799"/>
      <c r="B263" s="780"/>
      <c r="C263" s="793"/>
      <c r="D263" s="799"/>
      <c r="E263" s="800"/>
      <c r="F263" s="793"/>
      <c r="G263" s="793"/>
      <c r="H263" s="793"/>
      <c r="I263" s="821"/>
      <c r="J263" s="793"/>
      <c r="K263" s="793"/>
      <c r="L263" s="793"/>
      <c r="M263" s="780"/>
      <c r="N263" s="793"/>
      <c r="O263" s="793"/>
      <c r="P263" s="793"/>
      <c r="Q263" s="794"/>
      <c r="R263" s="437"/>
      <c r="S263" s="796"/>
      <c r="T263" s="797"/>
      <c r="U263" s="798"/>
      <c r="V263" s="780"/>
      <c r="W263" s="794"/>
      <c r="X263" s="793"/>
      <c r="Y263" s="793"/>
      <c r="Z263" s="822"/>
      <c r="AA263" s="794"/>
      <c r="AB263" s="800"/>
      <c r="AC263" s="794"/>
      <c r="AD263" s="796"/>
      <c r="AE263" s="794"/>
      <c r="AF263" s="784"/>
      <c r="AG263"/>
      <c r="AH263" s="780"/>
      <c r="AI263" s="39"/>
      <c r="AJ263" s="836"/>
      <c r="AK263" s="780"/>
      <c r="AL263" s="39"/>
      <c r="AM263" s="780"/>
      <c r="AN263" s="793"/>
      <c r="AO263" s="780"/>
      <c r="AP263" s="39"/>
      <c r="AQ263" s="780"/>
      <c r="AR263" s="39"/>
      <c r="AS263" s="780"/>
      <c r="AT263" s="39"/>
      <c r="AU263" s="39"/>
      <c r="AV263" s="804"/>
      <c r="AW263" s="847"/>
    </row>
    <row r="264" spans="1:49" ht="15" customHeight="1" x14ac:dyDescent="0.3">
      <c r="A264" s="799"/>
      <c r="B264" s="780"/>
      <c r="C264" s="793"/>
      <c r="D264" s="799"/>
      <c r="E264" s="800"/>
      <c r="F264" s="793"/>
      <c r="G264" s="793"/>
      <c r="H264" s="793"/>
      <c r="I264" s="821"/>
      <c r="J264" s="793"/>
      <c r="K264" s="793"/>
      <c r="L264" s="793"/>
      <c r="M264" s="780"/>
      <c r="N264" s="793"/>
      <c r="O264" s="793"/>
      <c r="P264" s="793"/>
      <c r="Q264" s="794"/>
      <c r="R264" s="437"/>
      <c r="S264" s="796"/>
      <c r="T264" s="797"/>
      <c r="U264" s="798"/>
      <c r="V264" s="780"/>
      <c r="W264" s="794"/>
      <c r="X264" s="793"/>
      <c r="Y264" s="793"/>
      <c r="Z264" s="822"/>
      <c r="AA264" s="794"/>
      <c r="AB264" s="800"/>
      <c r="AC264" s="794"/>
      <c r="AD264" s="796"/>
      <c r="AE264" s="794"/>
      <c r="AF264" s="784"/>
      <c r="AG264"/>
      <c r="AH264" s="780"/>
      <c r="AI264" s="39"/>
      <c r="AJ264" s="836"/>
      <c r="AK264" s="780"/>
      <c r="AL264" s="39"/>
      <c r="AM264" s="780"/>
      <c r="AN264" s="793"/>
      <c r="AO264" s="780"/>
      <c r="AP264" s="39"/>
      <c r="AQ264" s="780"/>
      <c r="AR264" s="39"/>
      <c r="AS264" s="780"/>
      <c r="AT264" s="39"/>
      <c r="AU264" s="39"/>
      <c r="AV264" s="39"/>
      <c r="AW264" s="39"/>
    </row>
    <row r="265" spans="1:49" ht="15" customHeight="1" x14ac:dyDescent="0.3">
      <c r="A265" s="799"/>
      <c r="B265" s="780"/>
      <c r="C265" s="793"/>
      <c r="D265" s="799"/>
      <c r="E265" s="800"/>
      <c r="F265" s="793"/>
      <c r="G265" s="793"/>
      <c r="H265" s="793"/>
      <c r="I265" s="821"/>
      <c r="J265" s="793"/>
      <c r="K265" s="793"/>
      <c r="L265" s="793"/>
      <c r="M265" s="780"/>
      <c r="N265" s="793"/>
      <c r="O265" s="793"/>
      <c r="P265" s="793"/>
      <c r="Q265" s="794"/>
      <c r="R265" s="437"/>
      <c r="S265" s="796"/>
      <c r="T265" s="797"/>
      <c r="U265" s="798"/>
      <c r="V265" s="780"/>
      <c r="W265" s="794"/>
      <c r="X265" s="793"/>
      <c r="Y265" s="793"/>
      <c r="Z265" s="822"/>
      <c r="AA265" s="794"/>
      <c r="AB265" s="800"/>
      <c r="AC265" s="794"/>
      <c r="AD265" s="796"/>
      <c r="AE265" s="794"/>
      <c r="AF265" s="784"/>
      <c r="AG265"/>
      <c r="AH265" s="780"/>
      <c r="AI265" s="39"/>
      <c r="AJ265" s="836"/>
      <c r="AK265" s="780"/>
      <c r="AL265" s="39"/>
      <c r="AM265" s="780"/>
      <c r="AN265" s="793"/>
      <c r="AO265" s="780"/>
      <c r="AP265" s="39"/>
      <c r="AQ265" s="780"/>
      <c r="AR265" s="39"/>
      <c r="AS265" s="780"/>
      <c r="AT265" s="39"/>
      <c r="AU265" s="39"/>
      <c r="AV265" s="39"/>
      <c r="AW265" s="39"/>
    </row>
    <row r="266" spans="1:49" ht="15" customHeight="1" x14ac:dyDescent="0.3">
      <c r="A266" s="799"/>
      <c r="B266" s="780"/>
      <c r="C266" s="793"/>
      <c r="D266" s="799"/>
      <c r="E266" s="800"/>
      <c r="F266" s="793"/>
      <c r="G266" s="793"/>
      <c r="H266" s="793"/>
      <c r="I266" s="821"/>
      <c r="J266" s="793"/>
      <c r="K266" s="793"/>
      <c r="L266" s="793"/>
      <c r="M266" s="780"/>
      <c r="N266" s="793"/>
      <c r="O266" s="793"/>
      <c r="P266" s="793"/>
      <c r="Q266" s="794"/>
      <c r="R266" s="437"/>
      <c r="S266" s="796"/>
      <c r="T266" s="797"/>
      <c r="U266" s="798"/>
      <c r="V266" s="780"/>
      <c r="W266" s="794"/>
      <c r="X266" s="793"/>
      <c r="Y266" s="793"/>
      <c r="Z266" s="822"/>
      <c r="AA266" s="794"/>
      <c r="AB266" s="800"/>
      <c r="AC266" s="794"/>
      <c r="AD266" s="796"/>
      <c r="AE266" s="794"/>
      <c r="AF266" s="784"/>
      <c r="AG266"/>
      <c r="AH266" s="780"/>
      <c r="AI266" s="39"/>
      <c r="AJ266" s="836"/>
      <c r="AK266" s="780"/>
      <c r="AL266" s="39"/>
      <c r="AM266" s="780"/>
      <c r="AN266" s="793"/>
      <c r="AO266" s="780"/>
      <c r="AP266" s="39"/>
      <c r="AQ266" s="780"/>
      <c r="AR266" s="39"/>
      <c r="AS266" s="780"/>
      <c r="AT266" s="39"/>
      <c r="AU266" s="39"/>
      <c r="AV266" s="39"/>
      <c r="AW266" s="39"/>
    </row>
    <row r="267" spans="1:49" ht="15" customHeight="1" x14ac:dyDescent="0.3">
      <c r="A267" s="799"/>
      <c r="B267" s="780"/>
      <c r="C267" s="793"/>
      <c r="D267" s="799"/>
      <c r="E267" s="800"/>
      <c r="F267" s="793"/>
      <c r="G267" s="793"/>
      <c r="H267" s="793"/>
      <c r="I267" s="821"/>
      <c r="J267" s="793"/>
      <c r="K267" s="793"/>
      <c r="L267" s="793"/>
      <c r="M267" s="780"/>
      <c r="N267" s="793"/>
      <c r="O267" s="793"/>
      <c r="P267" s="793"/>
      <c r="Q267" s="794"/>
      <c r="R267" s="437"/>
      <c r="S267" s="796"/>
      <c r="T267" s="797"/>
      <c r="U267" s="798"/>
      <c r="V267" s="780"/>
      <c r="W267" s="794"/>
      <c r="X267" s="793"/>
      <c r="Y267" s="793"/>
      <c r="Z267" s="822"/>
      <c r="AA267" s="794"/>
      <c r="AB267" s="800"/>
      <c r="AC267" s="794"/>
      <c r="AD267" s="796"/>
      <c r="AE267" s="794"/>
      <c r="AF267" s="784"/>
      <c r="AG267"/>
      <c r="AH267" s="780"/>
      <c r="AI267" s="39"/>
      <c r="AJ267" s="836"/>
      <c r="AK267" s="780"/>
      <c r="AL267" s="39"/>
      <c r="AM267" s="780"/>
      <c r="AN267" s="793"/>
      <c r="AO267" s="780"/>
      <c r="AP267" s="39"/>
      <c r="AQ267" s="780"/>
      <c r="AR267" s="39"/>
      <c r="AS267" s="780"/>
      <c r="AT267" s="39"/>
      <c r="AU267" s="39"/>
      <c r="AV267" s="39"/>
      <c r="AW267" s="39"/>
    </row>
    <row r="268" spans="1:49" ht="15" customHeight="1" x14ac:dyDescent="0.3">
      <c r="A268" s="799"/>
      <c r="B268" s="780"/>
      <c r="C268" s="793"/>
      <c r="D268" s="799"/>
      <c r="E268" s="800"/>
      <c r="F268" s="793"/>
      <c r="G268" s="793"/>
      <c r="H268" s="793"/>
      <c r="I268" s="821"/>
      <c r="J268" s="793"/>
      <c r="K268" s="793"/>
      <c r="L268" s="793"/>
      <c r="M268" s="780"/>
      <c r="N268" s="793"/>
      <c r="O268" s="793"/>
      <c r="P268" s="793"/>
      <c r="Q268" s="794"/>
      <c r="R268" s="437"/>
      <c r="S268" s="796"/>
      <c r="T268" s="797"/>
      <c r="U268" s="798"/>
      <c r="V268" s="780"/>
      <c r="W268" s="794"/>
      <c r="X268" s="793"/>
      <c r="Y268" s="793"/>
      <c r="Z268" s="822"/>
      <c r="AA268" s="794"/>
      <c r="AB268" s="800"/>
      <c r="AC268" s="794"/>
      <c r="AD268" s="796"/>
      <c r="AE268" s="794"/>
      <c r="AF268" s="784"/>
      <c r="AG268"/>
      <c r="AH268" s="780"/>
      <c r="AI268" s="39"/>
      <c r="AJ268" s="836"/>
      <c r="AK268" s="780"/>
      <c r="AL268" s="39"/>
      <c r="AM268" s="780"/>
      <c r="AN268" s="793"/>
      <c r="AO268" s="780"/>
      <c r="AP268" s="39"/>
      <c r="AQ268" s="780"/>
      <c r="AR268" s="39"/>
      <c r="AS268" s="780"/>
      <c r="AT268" s="39"/>
      <c r="AU268" s="39"/>
      <c r="AV268" s="39"/>
      <c r="AW268" s="39"/>
    </row>
    <row r="269" spans="1:49" ht="15" customHeight="1" x14ac:dyDescent="0.3">
      <c r="A269" s="799"/>
      <c r="B269" s="780"/>
      <c r="C269" s="793"/>
      <c r="D269" s="799"/>
      <c r="E269" s="800"/>
      <c r="F269" s="793"/>
      <c r="G269" s="793"/>
      <c r="H269" s="793"/>
      <c r="I269" s="821"/>
      <c r="J269" s="793"/>
      <c r="K269" s="793"/>
      <c r="L269" s="793"/>
      <c r="M269" s="780"/>
      <c r="N269" s="793"/>
      <c r="O269" s="793"/>
      <c r="P269" s="793"/>
      <c r="Q269" s="794"/>
      <c r="R269" s="437"/>
      <c r="S269" s="796"/>
      <c r="T269" s="797"/>
      <c r="U269" s="798"/>
      <c r="V269" s="780"/>
      <c r="W269" s="794"/>
      <c r="X269" s="793"/>
      <c r="Y269" s="793"/>
      <c r="Z269" s="822"/>
      <c r="AA269" s="794"/>
      <c r="AB269" s="800"/>
      <c r="AC269" s="794"/>
      <c r="AD269" s="796"/>
      <c r="AE269" s="794"/>
      <c r="AF269" s="784"/>
      <c r="AG269"/>
      <c r="AH269" s="780"/>
      <c r="AI269" s="39"/>
      <c r="AJ269" s="836"/>
      <c r="AK269" s="780"/>
      <c r="AL269" s="39"/>
      <c r="AM269" s="780"/>
      <c r="AN269" s="793"/>
      <c r="AO269" s="780"/>
      <c r="AP269" s="39"/>
      <c r="AQ269" s="780"/>
      <c r="AR269" s="39"/>
      <c r="AS269" s="780"/>
      <c r="AT269" s="39"/>
      <c r="AU269" s="39"/>
      <c r="AV269" s="39"/>
      <c r="AW269" s="39"/>
    </row>
    <row r="270" spans="1:49" ht="15" customHeight="1" x14ac:dyDescent="0.3">
      <c r="A270" s="799"/>
      <c r="B270" s="780"/>
      <c r="C270" s="793"/>
      <c r="D270" s="799"/>
      <c r="E270" s="800"/>
      <c r="F270" s="793"/>
      <c r="G270" s="793"/>
      <c r="H270" s="793"/>
      <c r="I270" s="821"/>
      <c r="J270" s="793"/>
      <c r="K270" s="793"/>
      <c r="L270" s="793"/>
      <c r="M270" s="780"/>
      <c r="N270" s="793"/>
      <c r="O270" s="793"/>
      <c r="P270" s="793"/>
      <c r="Q270" s="794"/>
      <c r="R270" s="437"/>
      <c r="S270" s="796"/>
      <c r="T270" s="797"/>
      <c r="U270" s="798"/>
      <c r="V270" s="780"/>
      <c r="W270" s="794"/>
      <c r="X270" s="793"/>
      <c r="Y270" s="793"/>
      <c r="Z270" s="822"/>
      <c r="AA270" s="794"/>
      <c r="AB270" s="800"/>
      <c r="AC270" s="794"/>
      <c r="AD270" s="796"/>
      <c r="AE270" s="794"/>
      <c r="AF270" s="784"/>
      <c r="AG270"/>
      <c r="AH270" s="780"/>
      <c r="AI270" s="39"/>
      <c r="AJ270" s="836"/>
      <c r="AK270" s="780"/>
      <c r="AL270" s="39"/>
      <c r="AM270" s="780"/>
      <c r="AN270" s="793"/>
      <c r="AO270" s="780"/>
      <c r="AP270" s="39"/>
      <c r="AQ270" s="780"/>
      <c r="AR270" s="39"/>
      <c r="AS270" s="780"/>
      <c r="AT270" s="39"/>
      <c r="AU270" s="39"/>
      <c r="AV270" s="39"/>
      <c r="AW270" s="39"/>
    </row>
    <row r="271" spans="1:49" ht="15" customHeight="1" x14ac:dyDescent="0.3">
      <c r="A271" s="799"/>
      <c r="B271" s="780"/>
      <c r="C271" s="793"/>
      <c r="D271" s="799"/>
      <c r="E271" s="800"/>
      <c r="F271" s="793"/>
      <c r="G271" s="793"/>
      <c r="H271" s="793"/>
      <c r="I271" s="821"/>
      <c r="J271" s="793"/>
      <c r="K271" s="793"/>
      <c r="L271" s="793"/>
      <c r="M271" s="780"/>
      <c r="N271" s="793"/>
      <c r="O271" s="793"/>
      <c r="P271" s="793"/>
      <c r="Q271" s="794"/>
      <c r="R271" s="437"/>
      <c r="S271" s="796"/>
      <c r="T271" s="797"/>
      <c r="U271" s="798"/>
      <c r="V271" s="780"/>
      <c r="W271" s="794"/>
      <c r="X271" s="793"/>
      <c r="Y271" s="793"/>
      <c r="Z271" s="822"/>
      <c r="AA271" s="794"/>
      <c r="AB271" s="800"/>
      <c r="AC271" s="794"/>
      <c r="AD271" s="796"/>
      <c r="AE271" s="794"/>
      <c r="AF271" s="784"/>
      <c r="AG271"/>
      <c r="AH271" s="780"/>
      <c r="AI271" s="39"/>
      <c r="AJ271" s="836"/>
      <c r="AK271" s="780"/>
      <c r="AL271" s="39"/>
      <c r="AM271" s="780"/>
      <c r="AN271" s="793"/>
      <c r="AO271" s="780"/>
      <c r="AP271" s="39"/>
      <c r="AQ271" s="780"/>
      <c r="AR271" s="39"/>
      <c r="AS271" s="780"/>
      <c r="AT271" s="39"/>
      <c r="AU271" s="39"/>
      <c r="AV271" s="39"/>
      <c r="AW271" s="39"/>
    </row>
    <row r="272" spans="1:49" ht="15" customHeight="1" x14ac:dyDescent="0.3">
      <c r="A272" s="799"/>
      <c r="B272" s="780"/>
      <c r="C272" s="793"/>
      <c r="D272" s="799"/>
      <c r="E272" s="800"/>
      <c r="F272" s="793"/>
      <c r="G272" s="793"/>
      <c r="H272" s="793"/>
      <c r="I272" s="821"/>
      <c r="J272" s="793"/>
      <c r="K272" s="793"/>
      <c r="L272" s="793"/>
      <c r="M272" s="780"/>
      <c r="N272" s="793"/>
      <c r="O272" s="793"/>
      <c r="P272" s="793"/>
      <c r="Q272" s="794"/>
      <c r="R272" s="437"/>
      <c r="S272" s="796"/>
      <c r="T272" s="797"/>
      <c r="U272" s="798"/>
      <c r="V272" s="780"/>
      <c r="W272" s="794"/>
      <c r="X272" s="793"/>
      <c r="Y272" s="793"/>
      <c r="Z272" s="822"/>
      <c r="AA272" s="794"/>
      <c r="AB272" s="800"/>
      <c r="AC272" s="794"/>
      <c r="AD272" s="796"/>
      <c r="AE272" s="794"/>
      <c r="AF272" s="784"/>
      <c r="AG272"/>
      <c r="AH272" s="780"/>
      <c r="AI272" s="39"/>
      <c r="AJ272" s="836"/>
      <c r="AK272" s="780"/>
      <c r="AL272" s="39"/>
      <c r="AM272" s="780"/>
      <c r="AN272" s="793"/>
      <c r="AO272" s="780"/>
      <c r="AP272" s="39"/>
      <c r="AQ272" s="780"/>
      <c r="AR272" s="39"/>
      <c r="AS272" s="780"/>
      <c r="AT272" s="39"/>
      <c r="AU272" s="39"/>
      <c r="AV272" s="39"/>
      <c r="AW272" s="39"/>
    </row>
    <row r="273" spans="1:49" ht="15" customHeight="1" x14ac:dyDescent="0.3">
      <c r="A273" s="799"/>
      <c r="B273" s="780"/>
      <c r="C273" s="793"/>
      <c r="D273" s="799"/>
      <c r="E273" s="800"/>
      <c r="F273" s="793"/>
      <c r="G273" s="793"/>
      <c r="H273" s="793"/>
      <c r="I273" s="821"/>
      <c r="J273" s="793"/>
      <c r="K273" s="793"/>
      <c r="L273" s="793"/>
      <c r="M273" s="780"/>
      <c r="N273" s="793"/>
      <c r="O273" s="793"/>
      <c r="P273" s="793"/>
      <c r="Q273" s="794"/>
      <c r="R273" s="437"/>
      <c r="S273" s="796"/>
      <c r="T273" s="797"/>
      <c r="U273" s="798"/>
      <c r="V273" s="780"/>
      <c r="W273" s="794"/>
      <c r="X273" s="793"/>
      <c r="Y273" s="793"/>
      <c r="Z273" s="822"/>
      <c r="AA273" s="794"/>
      <c r="AB273" s="800"/>
      <c r="AC273" s="794"/>
      <c r="AD273" s="796"/>
      <c r="AE273" s="794"/>
      <c r="AF273" s="784"/>
      <c r="AG273"/>
      <c r="AH273" s="780"/>
      <c r="AI273" s="39"/>
      <c r="AJ273" s="836"/>
      <c r="AK273" s="780"/>
      <c r="AL273" s="39"/>
      <c r="AM273" s="780"/>
      <c r="AN273" s="793"/>
      <c r="AO273" s="780"/>
      <c r="AP273" s="39"/>
      <c r="AQ273" s="780"/>
      <c r="AR273" s="39"/>
      <c r="AS273" s="780"/>
      <c r="AT273" s="39"/>
      <c r="AU273" s="39"/>
      <c r="AV273" s="39"/>
      <c r="AW273" s="39"/>
    </row>
    <row r="274" spans="1:49" ht="15" customHeight="1" x14ac:dyDescent="0.3">
      <c r="A274" s="799"/>
      <c r="B274" s="780"/>
      <c r="C274" s="793"/>
      <c r="D274" s="799"/>
      <c r="E274" s="800"/>
      <c r="F274" s="793"/>
      <c r="G274" s="793"/>
      <c r="H274" s="793"/>
      <c r="I274" s="821"/>
      <c r="J274" s="793"/>
      <c r="K274" s="793"/>
      <c r="L274" s="793"/>
      <c r="M274" s="780"/>
      <c r="N274" s="793"/>
      <c r="O274" s="793"/>
      <c r="P274" s="793"/>
      <c r="Q274" s="794"/>
      <c r="R274" s="437"/>
      <c r="S274" s="796"/>
      <c r="T274" s="797"/>
      <c r="U274" s="798"/>
      <c r="V274" s="780"/>
      <c r="W274" s="794"/>
      <c r="X274" s="793"/>
      <c r="Y274" s="793"/>
      <c r="Z274" s="822"/>
      <c r="AA274" s="794"/>
      <c r="AB274" s="800"/>
      <c r="AC274" s="794"/>
      <c r="AD274" s="796"/>
      <c r="AE274" s="794"/>
      <c r="AF274" s="784"/>
      <c r="AG274"/>
      <c r="AH274" s="780"/>
      <c r="AI274" s="39"/>
      <c r="AJ274" s="836"/>
      <c r="AK274" s="780"/>
      <c r="AL274" s="39"/>
      <c r="AM274" s="780"/>
      <c r="AN274" s="793"/>
      <c r="AO274" s="780"/>
      <c r="AP274" s="39"/>
      <c r="AQ274" s="780"/>
      <c r="AR274" s="39"/>
      <c r="AS274" s="780"/>
      <c r="AT274" s="39"/>
      <c r="AU274" s="39"/>
      <c r="AV274" s="39"/>
      <c r="AW274" s="39"/>
    </row>
    <row r="275" spans="1:49" ht="14.4" customHeight="1" x14ac:dyDescent="0.3">
      <c r="A275" s="799"/>
      <c r="B275" s="780"/>
      <c r="C275" s="793"/>
      <c r="D275" s="799"/>
      <c r="E275" s="800"/>
      <c r="F275" s="793"/>
      <c r="G275" s="793"/>
      <c r="H275" s="793"/>
      <c r="I275" s="821"/>
      <c r="J275" s="793"/>
      <c r="K275" s="793"/>
      <c r="L275" s="793"/>
      <c r="M275" s="780"/>
      <c r="N275" s="793"/>
      <c r="O275" s="793"/>
      <c r="P275" s="793"/>
      <c r="Q275" s="794"/>
      <c r="R275" s="437"/>
      <c r="S275" s="796"/>
      <c r="T275" s="797"/>
      <c r="U275" s="798"/>
      <c r="V275" s="780"/>
      <c r="W275" s="794"/>
      <c r="X275" s="793"/>
      <c r="Y275" s="793"/>
      <c r="Z275" s="822"/>
      <c r="AA275" s="794"/>
      <c r="AB275" s="800"/>
      <c r="AC275" s="794"/>
      <c r="AD275" s="796"/>
      <c r="AE275" s="794"/>
      <c r="AF275" s="784"/>
      <c r="AG275"/>
      <c r="AH275" s="780"/>
      <c r="AI275" s="39"/>
      <c r="AJ275" s="836"/>
      <c r="AK275" s="780"/>
      <c r="AL275" s="39"/>
      <c r="AM275" s="780"/>
      <c r="AN275" s="793"/>
      <c r="AO275" s="780"/>
      <c r="AP275" s="39"/>
      <c r="AQ275" s="780"/>
      <c r="AR275" s="39"/>
      <c r="AS275" s="780"/>
      <c r="AT275" s="39"/>
      <c r="AU275" s="39"/>
      <c r="AV275" s="39"/>
      <c r="AW275" s="39"/>
    </row>
    <row r="276" spans="1:49" ht="14.4" customHeight="1" x14ac:dyDescent="0.3">
      <c r="A276" s="799"/>
      <c r="B276" s="780"/>
      <c r="C276" s="793"/>
      <c r="D276" s="799"/>
      <c r="E276" s="800"/>
      <c r="F276" s="793"/>
      <c r="G276" s="793"/>
      <c r="H276" s="793"/>
      <c r="I276" s="821"/>
      <c r="J276" s="793"/>
      <c r="K276" s="793"/>
      <c r="L276" s="793"/>
      <c r="M276" s="780"/>
      <c r="N276" s="793"/>
      <c r="O276" s="793"/>
      <c r="P276" s="793"/>
      <c r="Q276" s="794"/>
      <c r="R276" s="437"/>
      <c r="S276" s="796"/>
      <c r="T276" s="797"/>
      <c r="U276" s="798"/>
      <c r="V276" s="780"/>
      <c r="W276" s="794"/>
      <c r="X276" s="793"/>
      <c r="Y276" s="793"/>
      <c r="Z276" s="822"/>
      <c r="AA276" s="794"/>
      <c r="AB276" s="800"/>
      <c r="AC276" s="794"/>
      <c r="AD276" s="796"/>
      <c r="AE276" s="794"/>
      <c r="AF276" s="784"/>
      <c r="AG276"/>
      <c r="AH276" s="780"/>
      <c r="AI276" s="39"/>
      <c r="AJ276" s="836"/>
      <c r="AK276" s="780"/>
      <c r="AL276" s="39"/>
      <c r="AM276" s="780"/>
      <c r="AN276" s="793"/>
      <c r="AO276" s="780"/>
      <c r="AP276" s="39"/>
      <c r="AQ276" s="780"/>
      <c r="AR276" s="39"/>
      <c r="AS276" s="780"/>
      <c r="AT276" s="39"/>
      <c r="AU276" s="39"/>
      <c r="AV276" s="39"/>
      <c r="AW276" s="39"/>
    </row>
    <row r="277" spans="1:49" ht="14.4" customHeight="1" x14ac:dyDescent="0.3">
      <c r="A277" s="799"/>
      <c r="B277" s="780"/>
      <c r="C277" s="793"/>
      <c r="D277" s="799"/>
      <c r="E277" s="800"/>
      <c r="F277" s="793"/>
      <c r="G277" s="793"/>
      <c r="H277" s="793"/>
      <c r="I277" s="821"/>
      <c r="J277" s="793"/>
      <c r="K277" s="793"/>
      <c r="L277" s="793"/>
      <c r="M277" s="780"/>
      <c r="N277" s="793"/>
      <c r="O277" s="793"/>
      <c r="P277" s="793"/>
      <c r="Q277" s="794"/>
      <c r="R277" s="437"/>
      <c r="S277" s="796"/>
      <c r="T277" s="797"/>
      <c r="U277" s="798"/>
      <c r="V277" s="780"/>
      <c r="W277" s="794"/>
      <c r="X277" s="793"/>
      <c r="Y277" s="793"/>
      <c r="Z277" s="822"/>
      <c r="AA277" s="794"/>
      <c r="AB277" s="800"/>
      <c r="AC277" s="794"/>
      <c r="AD277" s="796"/>
      <c r="AE277" s="794"/>
      <c r="AF277" s="784"/>
      <c r="AG277"/>
      <c r="AH277" s="780"/>
      <c r="AI277" s="39"/>
      <c r="AJ277" s="836"/>
      <c r="AK277" s="780"/>
      <c r="AL277" s="39"/>
      <c r="AM277" s="780"/>
      <c r="AN277" s="793"/>
      <c r="AO277" s="780"/>
      <c r="AP277" s="39"/>
      <c r="AQ277" s="780"/>
      <c r="AR277" s="39"/>
      <c r="AS277" s="780"/>
      <c r="AT277" s="39"/>
      <c r="AU277" s="39"/>
      <c r="AV277" s="39"/>
      <c r="AW277" s="39"/>
    </row>
    <row r="278" spans="1:49" ht="14.4" customHeight="1" x14ac:dyDescent="0.3">
      <c r="A278" s="799"/>
      <c r="B278" s="780"/>
      <c r="C278" s="793"/>
      <c r="D278" s="799"/>
      <c r="E278" s="800"/>
      <c r="F278" s="793"/>
      <c r="G278" s="793"/>
      <c r="H278" s="793"/>
      <c r="I278" s="821"/>
      <c r="J278" s="793"/>
      <c r="K278" s="793"/>
      <c r="L278" s="793"/>
      <c r="M278" s="780"/>
      <c r="N278" s="793"/>
      <c r="O278" s="793"/>
      <c r="P278" s="793"/>
      <c r="Q278" s="794"/>
      <c r="R278" s="437"/>
      <c r="S278" s="796"/>
      <c r="T278" s="797"/>
      <c r="U278" s="798"/>
      <c r="V278" s="780"/>
      <c r="W278" s="794"/>
      <c r="X278" s="793"/>
      <c r="Y278" s="793"/>
      <c r="Z278" s="822"/>
      <c r="AA278" s="794"/>
      <c r="AB278" s="800"/>
      <c r="AC278" s="794"/>
      <c r="AD278" s="796"/>
      <c r="AE278" s="794"/>
      <c r="AF278" s="784"/>
      <c r="AG278"/>
      <c r="AH278" s="780"/>
      <c r="AI278" s="39"/>
      <c r="AJ278" s="836"/>
      <c r="AK278" s="780"/>
      <c r="AL278" s="39"/>
      <c r="AM278" s="780"/>
      <c r="AN278" s="793"/>
      <c r="AO278" s="780"/>
      <c r="AP278" s="39"/>
      <c r="AQ278" s="780"/>
      <c r="AR278" s="39"/>
      <c r="AS278" s="780"/>
      <c r="AT278" s="39"/>
      <c r="AU278" s="39"/>
      <c r="AV278" s="39"/>
      <c r="AW278" s="39"/>
    </row>
    <row r="279" spans="1:49" ht="14.4" customHeight="1" x14ac:dyDescent="0.3">
      <c r="A279" s="799"/>
      <c r="B279" s="780"/>
      <c r="C279" s="793"/>
      <c r="D279" s="799"/>
      <c r="E279" s="800"/>
      <c r="F279" s="793"/>
      <c r="G279" s="793"/>
      <c r="H279" s="793"/>
      <c r="I279" s="821"/>
      <c r="J279" s="793"/>
      <c r="K279" s="793"/>
      <c r="L279" s="793"/>
      <c r="M279" s="780"/>
      <c r="N279" s="793"/>
      <c r="O279" s="793"/>
      <c r="P279" s="793"/>
      <c r="Q279" s="794"/>
      <c r="R279" s="437"/>
      <c r="S279" s="796"/>
      <c r="T279" s="797"/>
      <c r="U279" s="798"/>
      <c r="V279" s="780"/>
      <c r="W279" s="794"/>
      <c r="X279" s="793"/>
      <c r="Y279" s="793"/>
      <c r="Z279" s="822"/>
      <c r="AA279" s="794"/>
      <c r="AB279" s="800"/>
      <c r="AC279" s="794"/>
      <c r="AD279" s="796"/>
      <c r="AE279" s="794"/>
      <c r="AF279" s="784"/>
      <c r="AG279"/>
      <c r="AH279" s="780"/>
      <c r="AI279" s="39"/>
      <c r="AJ279" s="836"/>
      <c r="AK279" s="780"/>
      <c r="AL279" s="39"/>
      <c r="AM279" s="780"/>
      <c r="AN279" s="793"/>
      <c r="AO279" s="780"/>
      <c r="AP279" s="39"/>
      <c r="AQ279" s="780"/>
      <c r="AR279" s="39"/>
      <c r="AS279" s="780"/>
      <c r="AT279" s="39"/>
      <c r="AU279" s="39"/>
      <c r="AV279" s="39"/>
      <c r="AW279" s="39"/>
    </row>
    <row r="280" spans="1:49" ht="14.4" customHeight="1" x14ac:dyDescent="0.3">
      <c r="A280" s="799"/>
      <c r="B280" s="780"/>
      <c r="C280" s="793"/>
      <c r="D280" s="799"/>
      <c r="E280" s="849"/>
      <c r="F280" s="793"/>
      <c r="G280" s="793"/>
      <c r="H280" s="793"/>
      <c r="I280" s="821"/>
      <c r="J280" s="793"/>
      <c r="K280" s="793"/>
      <c r="L280" s="793"/>
      <c r="M280" s="780"/>
      <c r="N280" s="793"/>
      <c r="O280" s="793"/>
      <c r="P280" s="793"/>
      <c r="Q280" s="794"/>
      <c r="R280" s="437"/>
      <c r="S280" s="796"/>
      <c r="T280" s="797"/>
      <c r="U280" s="798"/>
      <c r="V280" s="780"/>
      <c r="W280" s="794"/>
      <c r="X280" s="793"/>
      <c r="Y280" s="793"/>
      <c r="Z280" s="822"/>
      <c r="AA280" s="794"/>
      <c r="AB280" s="800"/>
      <c r="AC280" s="794"/>
      <c r="AD280" s="796"/>
      <c r="AE280" s="794"/>
      <c r="AF280" s="784"/>
      <c r="AG280"/>
      <c r="AH280" s="780"/>
      <c r="AI280" s="39"/>
      <c r="AJ280" s="836"/>
      <c r="AK280" s="780"/>
      <c r="AL280" s="39"/>
      <c r="AM280" s="780"/>
      <c r="AN280" s="793"/>
      <c r="AO280" s="780"/>
      <c r="AP280" s="39"/>
      <c r="AQ280" s="780"/>
      <c r="AR280" s="39"/>
      <c r="AS280" s="780"/>
      <c r="AT280" s="39"/>
      <c r="AU280" s="39"/>
      <c r="AV280" s="39"/>
      <c r="AW280" s="39"/>
    </row>
    <row r="281" spans="1:49" ht="14.4" customHeight="1" x14ac:dyDescent="0.3">
      <c r="A281" s="799"/>
      <c r="B281" s="780"/>
      <c r="C281" s="793"/>
      <c r="D281" s="799"/>
      <c r="E281" s="800"/>
      <c r="F281" s="793"/>
      <c r="G281" s="793"/>
      <c r="H281" s="793"/>
      <c r="I281" s="821"/>
      <c r="J281" s="793"/>
      <c r="K281" s="793"/>
      <c r="L281" s="793"/>
      <c r="M281" s="780"/>
      <c r="N281" s="793"/>
      <c r="O281" s="793"/>
      <c r="P281" s="793"/>
      <c r="Q281" s="794"/>
      <c r="R281" s="437"/>
      <c r="S281" s="796"/>
      <c r="T281" s="797"/>
      <c r="U281" s="798"/>
      <c r="V281" s="780"/>
      <c r="W281" s="794"/>
      <c r="X281" s="793"/>
      <c r="Y281" s="793"/>
      <c r="Z281" s="822"/>
      <c r="AA281" s="794"/>
      <c r="AB281" s="800"/>
      <c r="AC281" s="794"/>
      <c r="AD281" s="796"/>
      <c r="AE281" s="794"/>
      <c r="AF281" s="784"/>
      <c r="AG281"/>
      <c r="AH281" s="780"/>
      <c r="AI281" s="39"/>
      <c r="AJ281" s="836"/>
      <c r="AK281" s="780"/>
      <c r="AL281" s="39"/>
      <c r="AM281" s="780"/>
      <c r="AN281" s="793"/>
      <c r="AO281" s="780"/>
      <c r="AP281" s="39"/>
      <c r="AQ281" s="780"/>
      <c r="AR281" s="39"/>
      <c r="AS281" s="780"/>
      <c r="AT281" s="39"/>
      <c r="AU281" s="39"/>
      <c r="AV281" s="39"/>
      <c r="AW281" s="39"/>
    </row>
    <row r="282" spans="1:49" ht="14.4" customHeight="1" x14ac:dyDescent="0.3">
      <c r="A282" s="799"/>
      <c r="B282" s="780"/>
      <c r="C282" s="793"/>
      <c r="D282" s="799"/>
      <c r="E282" s="800"/>
      <c r="F282" s="793"/>
      <c r="G282" s="793"/>
      <c r="H282" s="793"/>
      <c r="I282" s="821"/>
      <c r="J282" s="793"/>
      <c r="K282" s="793"/>
      <c r="L282" s="793"/>
      <c r="M282" s="780"/>
      <c r="N282" s="793"/>
      <c r="O282" s="793"/>
      <c r="P282" s="793"/>
      <c r="Q282" s="794"/>
      <c r="R282" s="437"/>
      <c r="S282" s="796"/>
      <c r="T282" s="797"/>
      <c r="U282" s="798"/>
      <c r="V282" s="780"/>
      <c r="W282" s="794"/>
      <c r="X282" s="793"/>
      <c r="Y282" s="793"/>
      <c r="Z282" s="822"/>
      <c r="AA282" s="794"/>
      <c r="AB282" s="800"/>
      <c r="AC282" s="794"/>
      <c r="AD282" s="796"/>
      <c r="AE282" s="794"/>
      <c r="AF282" s="784"/>
      <c r="AG282"/>
      <c r="AH282" s="780"/>
      <c r="AI282" s="39"/>
      <c r="AJ282" s="836"/>
      <c r="AK282" s="780"/>
      <c r="AL282" s="39"/>
      <c r="AM282" s="780"/>
      <c r="AN282" s="793"/>
      <c r="AO282" s="780"/>
      <c r="AP282" s="39"/>
      <c r="AQ282" s="780"/>
      <c r="AR282" s="39"/>
      <c r="AS282" s="780"/>
      <c r="AT282" s="39"/>
      <c r="AU282" s="39"/>
      <c r="AV282" s="39"/>
      <c r="AW282" s="39"/>
    </row>
    <row r="283" spans="1:49" ht="14.4" customHeight="1" x14ac:dyDescent="0.3">
      <c r="A283" s="799"/>
      <c r="B283" s="780"/>
      <c r="C283" s="793"/>
      <c r="D283" s="799"/>
      <c r="E283" s="800"/>
      <c r="F283" s="793"/>
      <c r="G283" s="793"/>
      <c r="H283" s="793"/>
      <c r="I283" s="821"/>
      <c r="J283" s="793"/>
      <c r="K283" s="793"/>
      <c r="L283" s="793"/>
      <c r="M283" s="780"/>
      <c r="N283" s="793"/>
      <c r="O283" s="793"/>
      <c r="P283" s="793"/>
      <c r="Q283" s="794"/>
      <c r="R283" s="437"/>
      <c r="S283" s="796"/>
      <c r="T283" s="797"/>
      <c r="U283" s="798"/>
      <c r="V283" s="780"/>
      <c r="W283" s="794"/>
      <c r="X283" s="793"/>
      <c r="Y283" s="793"/>
      <c r="Z283" s="822"/>
      <c r="AA283" s="794"/>
      <c r="AB283" s="800"/>
      <c r="AC283" s="794"/>
      <c r="AD283" s="796"/>
      <c r="AE283" s="794"/>
      <c r="AF283" s="784"/>
      <c r="AG283"/>
      <c r="AH283" s="780"/>
      <c r="AI283" s="39"/>
      <c r="AJ283" s="836"/>
      <c r="AK283" s="780"/>
      <c r="AL283" s="39"/>
      <c r="AM283" s="780"/>
      <c r="AN283" s="793"/>
      <c r="AO283" s="780"/>
      <c r="AP283" s="39"/>
      <c r="AQ283" s="780"/>
      <c r="AR283" s="39"/>
      <c r="AS283" s="780"/>
      <c r="AT283" s="39"/>
      <c r="AU283" s="39"/>
      <c r="AV283" s="39"/>
      <c r="AW283" s="39"/>
    </row>
    <row r="284" spans="1:49" ht="14.4" customHeight="1" x14ac:dyDescent="0.3">
      <c r="A284" s="799"/>
      <c r="B284" s="780"/>
      <c r="C284" s="793"/>
      <c r="D284" s="799"/>
      <c r="E284" s="800"/>
      <c r="F284" s="793"/>
      <c r="G284" s="793"/>
      <c r="H284" s="793"/>
      <c r="I284" s="821"/>
      <c r="J284" s="793"/>
      <c r="K284" s="793"/>
      <c r="L284" s="793"/>
      <c r="M284" s="780"/>
      <c r="N284" s="793"/>
      <c r="O284" s="793"/>
      <c r="P284" s="793"/>
      <c r="Q284" s="794"/>
      <c r="R284" s="437"/>
      <c r="S284" s="796"/>
      <c r="T284" s="797"/>
      <c r="U284" s="798"/>
      <c r="V284" s="780"/>
      <c r="W284" s="794"/>
      <c r="X284" s="793"/>
      <c r="Y284" s="793"/>
      <c r="Z284" s="822"/>
      <c r="AA284" s="794"/>
      <c r="AB284" s="800"/>
      <c r="AC284" s="794"/>
      <c r="AD284" s="796"/>
      <c r="AE284" s="794"/>
      <c r="AF284" s="784"/>
      <c r="AG284"/>
      <c r="AH284" s="780"/>
      <c r="AI284" s="39"/>
      <c r="AJ284" s="836"/>
      <c r="AK284" s="780"/>
      <c r="AL284" s="39"/>
      <c r="AM284" s="780"/>
      <c r="AN284" s="793"/>
      <c r="AO284" s="780"/>
      <c r="AP284" s="39"/>
      <c r="AQ284" s="780"/>
      <c r="AR284" s="39"/>
      <c r="AS284" s="780"/>
      <c r="AT284" s="39"/>
      <c r="AU284" s="39"/>
      <c r="AV284" s="39"/>
      <c r="AW284" s="39"/>
    </row>
    <row r="285" spans="1:49" ht="14.4" customHeight="1" x14ac:dyDescent="0.3">
      <c r="A285" s="799"/>
      <c r="B285" s="780"/>
      <c r="C285" s="793"/>
      <c r="D285" s="799"/>
      <c r="E285" s="800"/>
      <c r="F285" s="793"/>
      <c r="G285" s="793"/>
      <c r="H285" s="793"/>
      <c r="I285" s="821"/>
      <c r="J285" s="793"/>
      <c r="K285" s="793"/>
      <c r="L285" s="793"/>
      <c r="M285" s="780"/>
      <c r="N285" s="793"/>
      <c r="O285" s="793"/>
      <c r="P285" s="793"/>
      <c r="Q285" s="794"/>
      <c r="R285" s="437"/>
      <c r="S285" s="796"/>
      <c r="T285" s="797"/>
      <c r="U285" s="798"/>
      <c r="V285" s="780"/>
      <c r="W285" s="794"/>
      <c r="X285" s="793"/>
      <c r="Y285" s="793"/>
      <c r="Z285" s="822"/>
      <c r="AA285" s="794"/>
      <c r="AB285" s="800"/>
      <c r="AC285" s="794"/>
      <c r="AD285" s="796"/>
      <c r="AE285" s="794"/>
      <c r="AF285" s="784"/>
      <c r="AG285"/>
      <c r="AH285" s="780"/>
      <c r="AI285" s="39"/>
      <c r="AJ285" s="836"/>
      <c r="AK285" s="780"/>
      <c r="AL285" s="39"/>
      <c r="AM285" s="780"/>
      <c r="AN285" s="793"/>
      <c r="AO285" s="780"/>
      <c r="AP285" s="39"/>
      <c r="AQ285" s="780"/>
      <c r="AR285" s="39"/>
      <c r="AS285" s="780"/>
      <c r="AT285" s="39"/>
      <c r="AU285" s="39"/>
      <c r="AV285" s="39"/>
      <c r="AW285" s="39"/>
    </row>
    <row r="286" spans="1:49" ht="14.4" customHeight="1" x14ac:dyDescent="0.3">
      <c r="A286" s="799"/>
      <c r="B286" s="780"/>
      <c r="C286" s="793"/>
      <c r="D286" s="799"/>
      <c r="E286" s="800"/>
      <c r="F286" s="793"/>
      <c r="G286" s="793"/>
      <c r="H286" s="793"/>
      <c r="I286" s="821"/>
      <c r="J286" s="793"/>
      <c r="K286" s="793"/>
      <c r="L286" s="793"/>
      <c r="M286" s="780"/>
      <c r="N286" s="793"/>
      <c r="O286" s="793"/>
      <c r="P286" s="793"/>
      <c r="Q286" s="794"/>
      <c r="R286" s="437"/>
      <c r="S286" s="796"/>
      <c r="T286" s="797"/>
      <c r="U286" s="798"/>
      <c r="V286" s="780"/>
      <c r="W286" s="794"/>
      <c r="X286" s="793"/>
      <c r="Y286" s="793"/>
      <c r="Z286" s="822"/>
      <c r="AA286" s="794"/>
      <c r="AB286" s="800"/>
      <c r="AC286" s="794"/>
      <c r="AD286" s="796"/>
      <c r="AE286" s="794"/>
      <c r="AF286" s="784"/>
      <c r="AG286"/>
      <c r="AH286" s="780"/>
      <c r="AI286" s="39"/>
      <c r="AJ286" s="836"/>
      <c r="AK286" s="780"/>
      <c r="AL286" s="39"/>
      <c r="AM286" s="780"/>
      <c r="AN286" s="793"/>
      <c r="AO286" s="780"/>
      <c r="AP286" s="39"/>
      <c r="AQ286" s="780"/>
      <c r="AR286" s="39"/>
      <c r="AS286" s="780"/>
      <c r="AT286" s="39"/>
      <c r="AU286" s="39"/>
      <c r="AV286" s="39"/>
      <c r="AW286" s="39"/>
    </row>
    <row r="287" spans="1:49" ht="14.4" customHeight="1" x14ac:dyDescent="0.3">
      <c r="A287" s="799"/>
      <c r="B287" s="780"/>
      <c r="C287" s="793"/>
      <c r="D287" s="799"/>
      <c r="E287" s="800"/>
      <c r="F287" s="793"/>
      <c r="G287" s="793"/>
      <c r="H287" s="793"/>
      <c r="I287" s="821"/>
      <c r="J287" s="793"/>
      <c r="K287" s="793"/>
      <c r="L287" s="793"/>
      <c r="M287" s="780"/>
      <c r="N287" s="793"/>
      <c r="O287" s="793"/>
      <c r="P287" s="793"/>
      <c r="Q287" s="794"/>
      <c r="R287" s="437"/>
      <c r="S287" s="796"/>
      <c r="T287" s="797"/>
      <c r="U287" s="798"/>
      <c r="V287" s="780"/>
      <c r="W287" s="794"/>
      <c r="X287" s="793"/>
      <c r="Y287" s="793"/>
      <c r="Z287" s="822"/>
      <c r="AA287" s="794"/>
      <c r="AB287" s="800"/>
      <c r="AC287" s="794"/>
      <c r="AD287" s="796"/>
      <c r="AE287" s="794"/>
      <c r="AF287" s="784"/>
      <c r="AG287"/>
      <c r="AH287" s="780"/>
      <c r="AI287" s="39"/>
      <c r="AJ287" s="836"/>
      <c r="AK287" s="780"/>
      <c r="AL287" s="39"/>
      <c r="AM287" s="780"/>
      <c r="AN287" s="793"/>
      <c r="AO287" s="780"/>
      <c r="AP287" s="39"/>
      <c r="AQ287" s="780"/>
      <c r="AR287" s="39"/>
      <c r="AS287" s="780"/>
      <c r="AT287" s="39"/>
      <c r="AU287" s="39"/>
      <c r="AV287" s="39"/>
      <c r="AW287" s="39"/>
    </row>
    <row r="288" spans="1:49" ht="14.4" customHeight="1" x14ac:dyDescent="0.3">
      <c r="A288" s="799"/>
      <c r="B288" s="780"/>
      <c r="C288" s="793"/>
      <c r="D288" s="799"/>
      <c r="E288" s="800"/>
      <c r="F288" s="793"/>
      <c r="G288" s="793"/>
      <c r="H288" s="793"/>
      <c r="I288" s="821"/>
      <c r="J288" s="793"/>
      <c r="K288" s="793"/>
      <c r="L288" s="793"/>
      <c r="M288" s="780"/>
      <c r="N288" s="793"/>
      <c r="O288" s="793"/>
      <c r="P288" s="793"/>
      <c r="Q288" s="794"/>
      <c r="R288" s="437"/>
      <c r="S288" s="796"/>
      <c r="T288" s="797"/>
      <c r="U288" s="798"/>
      <c r="V288" s="780"/>
      <c r="W288" s="794"/>
      <c r="X288" s="793"/>
      <c r="Y288" s="793"/>
      <c r="Z288" s="822"/>
      <c r="AA288" s="794"/>
      <c r="AB288" s="800"/>
      <c r="AC288" s="794"/>
      <c r="AD288" s="796"/>
      <c r="AE288" s="794"/>
      <c r="AF288" s="784"/>
      <c r="AG288"/>
      <c r="AH288" s="780"/>
      <c r="AI288" s="39"/>
      <c r="AJ288" s="836"/>
      <c r="AK288" s="780"/>
      <c r="AL288" s="39"/>
      <c r="AM288" s="780"/>
      <c r="AN288" s="793"/>
      <c r="AO288" s="780"/>
      <c r="AP288" s="39"/>
      <c r="AQ288" s="780"/>
      <c r="AR288" s="39"/>
      <c r="AS288" s="780"/>
      <c r="AT288" s="39"/>
      <c r="AU288" s="39"/>
      <c r="AV288" s="39"/>
      <c r="AW288" s="39"/>
    </row>
    <row r="289" spans="1:49" ht="14.4" customHeight="1" x14ac:dyDescent="0.3">
      <c r="A289" s="799"/>
      <c r="B289" s="780"/>
      <c r="C289" s="793"/>
      <c r="D289" s="799"/>
      <c r="E289" s="800"/>
      <c r="F289" s="793"/>
      <c r="G289" s="793"/>
      <c r="H289" s="793"/>
      <c r="I289" s="821"/>
      <c r="J289" s="793"/>
      <c r="K289" s="793"/>
      <c r="L289" s="793"/>
      <c r="M289" s="780"/>
      <c r="N289" s="793"/>
      <c r="O289" s="793"/>
      <c r="P289" s="793"/>
      <c r="Q289" s="794"/>
      <c r="R289" s="437"/>
      <c r="S289" s="796"/>
      <c r="T289" s="797"/>
      <c r="U289" s="798"/>
      <c r="V289" s="780"/>
      <c r="W289" s="794"/>
      <c r="X289" s="793"/>
      <c r="Y289" s="793"/>
      <c r="Z289" s="822"/>
      <c r="AA289" s="794"/>
      <c r="AB289" s="800"/>
      <c r="AC289" s="794"/>
      <c r="AD289" s="796"/>
      <c r="AE289" s="794"/>
      <c r="AF289" s="784"/>
      <c r="AG289"/>
      <c r="AH289" s="780"/>
      <c r="AI289" s="437"/>
      <c r="AJ289" s="836"/>
      <c r="AK289" s="780"/>
      <c r="AL289" s="39"/>
      <c r="AM289" s="780"/>
      <c r="AN289" s="793"/>
      <c r="AO289" s="780"/>
      <c r="AP289" s="437"/>
      <c r="AQ289" s="780"/>
      <c r="AR289" s="437"/>
      <c r="AS289" s="780"/>
      <c r="AT289" s="437"/>
      <c r="AU289" s="437"/>
      <c r="AV289" s="437"/>
      <c r="AW289" s="437"/>
    </row>
    <row r="290" spans="1:49" ht="14.4" customHeight="1" x14ac:dyDescent="0.3">
      <c r="A290" s="799"/>
      <c r="B290" s="780"/>
      <c r="C290" s="793"/>
      <c r="D290" s="799"/>
      <c r="E290" s="800"/>
      <c r="F290" s="793"/>
      <c r="G290" s="793"/>
      <c r="H290" s="793"/>
      <c r="I290" s="821"/>
      <c r="J290" s="793"/>
      <c r="K290" s="793"/>
      <c r="L290" s="793"/>
      <c r="M290" s="780"/>
      <c r="N290" s="793"/>
      <c r="O290" s="793"/>
      <c r="P290" s="793"/>
      <c r="Q290" s="794"/>
      <c r="R290" s="437"/>
      <c r="S290" s="796"/>
      <c r="T290" s="797"/>
      <c r="U290" s="798"/>
      <c r="V290" s="780"/>
      <c r="W290" s="794"/>
      <c r="X290" s="793"/>
      <c r="Y290" s="793"/>
      <c r="Z290" s="822"/>
      <c r="AA290" s="794"/>
      <c r="AB290" s="800"/>
      <c r="AC290" s="794"/>
      <c r="AD290" s="796"/>
      <c r="AE290" s="794"/>
      <c r="AF290" s="784"/>
      <c r="AG290"/>
      <c r="AH290" s="780"/>
      <c r="AI290" s="437"/>
      <c r="AJ290" s="836"/>
      <c r="AK290" s="780"/>
      <c r="AL290" s="39"/>
      <c r="AM290" s="780"/>
      <c r="AN290" s="793"/>
      <c r="AO290" s="780"/>
      <c r="AP290" s="437"/>
      <c r="AQ290" s="780"/>
      <c r="AR290" s="437"/>
      <c r="AS290" s="780"/>
      <c r="AT290" s="437"/>
      <c r="AU290" s="437"/>
      <c r="AV290" s="437"/>
      <c r="AW290" s="437"/>
    </row>
    <row r="291" spans="1:49" ht="14.4" customHeight="1" x14ac:dyDescent="0.3">
      <c r="A291" s="799"/>
      <c r="B291" s="780"/>
      <c r="C291" s="793"/>
      <c r="D291" s="799"/>
      <c r="E291" s="800"/>
      <c r="F291" s="793"/>
      <c r="G291" s="793"/>
      <c r="H291" s="793"/>
      <c r="I291" s="821"/>
      <c r="J291" s="793"/>
      <c r="K291" s="793"/>
      <c r="L291" s="793"/>
      <c r="M291" s="780"/>
      <c r="N291" s="793"/>
      <c r="O291" s="793"/>
      <c r="P291" s="793"/>
      <c r="Q291" s="794"/>
      <c r="R291" s="437"/>
      <c r="S291" s="796"/>
      <c r="T291" s="797"/>
      <c r="U291" s="798"/>
      <c r="V291" s="780"/>
      <c r="W291" s="794"/>
      <c r="X291" s="793"/>
      <c r="Y291" s="793"/>
      <c r="Z291" s="822"/>
      <c r="AA291" s="794"/>
      <c r="AB291" s="800"/>
      <c r="AC291" s="794"/>
      <c r="AD291" s="796"/>
      <c r="AE291" s="794"/>
      <c r="AF291" s="784"/>
      <c r="AG291"/>
      <c r="AH291" s="780"/>
      <c r="AI291" s="437"/>
      <c r="AJ291" s="836"/>
      <c r="AK291" s="780"/>
      <c r="AL291" s="39"/>
      <c r="AM291" s="780"/>
      <c r="AN291" s="793"/>
      <c r="AO291" s="780"/>
      <c r="AP291" s="437"/>
      <c r="AQ291" s="780"/>
      <c r="AR291" s="437"/>
      <c r="AS291" s="780"/>
      <c r="AT291" s="437"/>
      <c r="AU291" s="437"/>
      <c r="AV291" s="437"/>
      <c r="AW291" s="437"/>
    </row>
    <row r="292" spans="1:49" ht="14.4" customHeight="1" x14ac:dyDescent="0.3">
      <c r="A292" s="799"/>
      <c r="B292" s="780"/>
      <c r="C292" s="793"/>
      <c r="D292" s="799"/>
      <c r="E292" s="800"/>
      <c r="F292" s="793"/>
      <c r="G292" s="793"/>
      <c r="H292" s="793"/>
      <c r="I292" s="821"/>
      <c r="J292" s="793"/>
      <c r="K292" s="793"/>
      <c r="L292" s="793"/>
      <c r="M292" s="780"/>
      <c r="N292" s="793"/>
      <c r="O292" s="793"/>
      <c r="P292" s="793"/>
      <c r="Q292" s="794"/>
      <c r="R292" s="437"/>
      <c r="S292" s="796"/>
      <c r="T292" s="797"/>
      <c r="U292" s="798"/>
      <c r="V292" s="780"/>
      <c r="W292" s="794"/>
      <c r="X292" s="793"/>
      <c r="Y292" s="793"/>
      <c r="Z292" s="822"/>
      <c r="AA292" s="794"/>
      <c r="AB292" s="800"/>
      <c r="AC292" s="794"/>
      <c r="AD292" s="796"/>
      <c r="AE292" s="794"/>
      <c r="AF292" s="784"/>
      <c r="AG292"/>
      <c r="AH292" s="780"/>
      <c r="AI292" s="437"/>
      <c r="AJ292" s="836"/>
      <c r="AK292" s="780"/>
      <c r="AL292" s="39"/>
      <c r="AM292" s="780"/>
      <c r="AN292" s="793"/>
      <c r="AO292" s="780"/>
      <c r="AP292" s="437"/>
      <c r="AQ292" s="780"/>
      <c r="AR292" s="437"/>
      <c r="AS292" s="780"/>
      <c r="AT292" s="437"/>
      <c r="AU292" s="437"/>
      <c r="AV292" s="437"/>
      <c r="AW292" s="437"/>
    </row>
    <row r="293" spans="1:49" ht="14.4" customHeight="1" x14ac:dyDescent="0.3">
      <c r="A293" s="799"/>
      <c r="B293" s="780"/>
      <c r="C293" s="793"/>
      <c r="D293" s="799"/>
      <c r="E293" s="800"/>
      <c r="F293" s="793"/>
      <c r="G293" s="793"/>
      <c r="H293" s="793"/>
      <c r="I293" s="821"/>
      <c r="J293" s="793"/>
      <c r="K293" s="793"/>
      <c r="L293" s="793"/>
      <c r="M293" s="780"/>
      <c r="N293" s="793"/>
      <c r="O293" s="793"/>
      <c r="P293" s="793"/>
      <c r="Q293" s="794"/>
      <c r="R293" s="437"/>
      <c r="S293" s="796"/>
      <c r="T293" s="797"/>
      <c r="U293" s="798"/>
      <c r="V293" s="780"/>
      <c r="W293" s="794"/>
      <c r="X293" s="793"/>
      <c r="Y293" s="793"/>
      <c r="Z293" s="822"/>
      <c r="AA293" s="794"/>
      <c r="AB293" s="800"/>
      <c r="AC293" s="794"/>
      <c r="AD293" s="796"/>
      <c r="AE293" s="794"/>
      <c r="AF293" s="784"/>
      <c r="AG293"/>
      <c r="AH293" s="780"/>
      <c r="AI293" s="437"/>
      <c r="AJ293" s="836"/>
      <c r="AK293" s="780"/>
      <c r="AL293" s="39"/>
      <c r="AM293" s="780"/>
      <c r="AN293" s="793"/>
      <c r="AO293" s="780"/>
      <c r="AP293" s="437"/>
      <c r="AQ293" s="780"/>
      <c r="AR293" s="437"/>
      <c r="AS293" s="780"/>
      <c r="AT293" s="437"/>
      <c r="AU293" s="437"/>
      <c r="AV293" s="437"/>
      <c r="AW293" s="437"/>
    </row>
    <row r="294" spans="1:49" ht="14.4" customHeight="1" x14ac:dyDescent="0.3">
      <c r="A294" s="799"/>
      <c r="B294" s="780"/>
      <c r="C294" s="793"/>
      <c r="D294" s="799"/>
      <c r="E294" s="800"/>
      <c r="F294" s="793"/>
      <c r="G294" s="793"/>
      <c r="H294" s="793"/>
      <c r="I294" s="821"/>
      <c r="J294" s="793"/>
      <c r="K294" s="793"/>
      <c r="L294" s="793"/>
      <c r="M294" s="780"/>
      <c r="N294" s="793"/>
      <c r="O294" s="793"/>
      <c r="P294" s="793"/>
      <c r="Q294" s="794"/>
      <c r="R294" s="437"/>
      <c r="S294" s="796"/>
      <c r="T294" s="797"/>
      <c r="U294" s="798"/>
      <c r="V294" s="780"/>
      <c r="W294" s="794"/>
      <c r="X294" s="793"/>
      <c r="Y294" s="793"/>
      <c r="Z294" s="822"/>
      <c r="AA294" s="794"/>
      <c r="AB294" s="800"/>
      <c r="AC294" s="794"/>
      <c r="AD294" s="796"/>
      <c r="AE294" s="794"/>
      <c r="AF294" s="784"/>
      <c r="AG294"/>
      <c r="AH294" s="780"/>
      <c r="AI294" s="437"/>
      <c r="AJ294" s="836"/>
      <c r="AK294" s="780"/>
      <c r="AL294" s="39"/>
      <c r="AM294" s="780"/>
      <c r="AN294" s="793"/>
      <c r="AO294" s="780"/>
      <c r="AP294" s="437"/>
      <c r="AQ294" s="780"/>
      <c r="AR294" s="437"/>
      <c r="AS294" s="780"/>
      <c r="AT294" s="437"/>
      <c r="AU294" s="437"/>
      <c r="AV294" s="437"/>
      <c r="AW294" s="437"/>
    </row>
    <row r="295" spans="1:49" ht="14.4" customHeight="1" x14ac:dyDescent="0.3">
      <c r="A295" s="799"/>
      <c r="B295" s="780"/>
      <c r="C295" s="793"/>
      <c r="D295" s="799"/>
      <c r="E295" s="800"/>
      <c r="F295" s="793"/>
      <c r="G295" s="793"/>
      <c r="H295" s="793"/>
      <c r="I295" s="821"/>
      <c r="J295" s="793"/>
      <c r="K295" s="793"/>
      <c r="L295" s="793"/>
      <c r="M295" s="780"/>
      <c r="N295" s="793"/>
      <c r="O295" s="793"/>
      <c r="P295" s="793"/>
      <c r="Q295" s="794"/>
      <c r="R295" s="437"/>
      <c r="S295" s="796"/>
      <c r="T295" s="797"/>
      <c r="U295" s="798"/>
      <c r="V295" s="780"/>
      <c r="W295" s="794"/>
      <c r="X295" s="793"/>
      <c r="Y295" s="793"/>
      <c r="Z295" s="822"/>
      <c r="AA295" s="794"/>
      <c r="AB295" s="800"/>
      <c r="AC295" s="794"/>
      <c r="AD295" s="796"/>
      <c r="AE295" s="794"/>
      <c r="AF295" s="784"/>
      <c r="AG295"/>
      <c r="AH295" s="780"/>
      <c r="AI295" s="437"/>
      <c r="AJ295" s="836"/>
      <c r="AK295" s="780"/>
      <c r="AL295" s="39"/>
      <c r="AM295" s="780"/>
      <c r="AN295" s="793"/>
      <c r="AO295" s="780"/>
      <c r="AP295" s="437"/>
      <c r="AQ295" s="780"/>
      <c r="AR295" s="437"/>
      <c r="AS295" s="780"/>
      <c r="AT295" s="437"/>
      <c r="AU295" s="437"/>
      <c r="AV295" s="437"/>
      <c r="AW295" s="437"/>
    </row>
    <row r="296" spans="1:49" ht="14.4" customHeight="1" x14ac:dyDescent="0.3">
      <c r="A296" s="799"/>
      <c r="B296" s="780"/>
      <c r="C296" s="793"/>
      <c r="D296" s="799"/>
      <c r="E296" s="800"/>
      <c r="F296" s="793"/>
      <c r="G296" s="793"/>
      <c r="H296" s="793"/>
      <c r="I296" s="821"/>
      <c r="J296" s="793"/>
      <c r="K296" s="793"/>
      <c r="L296" s="793"/>
      <c r="M296" s="780"/>
      <c r="N296" s="793"/>
      <c r="O296" s="793"/>
      <c r="P296" s="793"/>
      <c r="Q296" s="794"/>
      <c r="R296" s="437"/>
      <c r="S296" s="796"/>
      <c r="T296" s="797"/>
      <c r="U296" s="798"/>
      <c r="V296" s="780"/>
      <c r="W296" s="794"/>
      <c r="X296" s="793"/>
      <c r="Y296" s="793"/>
      <c r="Z296" s="822"/>
      <c r="AA296" s="794"/>
      <c r="AB296" s="800"/>
      <c r="AC296" s="794"/>
      <c r="AD296" s="796"/>
      <c r="AE296" s="794"/>
      <c r="AF296" s="784"/>
      <c r="AG296"/>
      <c r="AH296" s="780"/>
      <c r="AI296" s="437"/>
      <c r="AJ296" s="836"/>
      <c r="AK296" s="780"/>
      <c r="AL296" s="39"/>
      <c r="AM296" s="780"/>
      <c r="AN296" s="793"/>
      <c r="AO296" s="780"/>
      <c r="AP296" s="437"/>
      <c r="AQ296" s="780"/>
      <c r="AR296" s="437"/>
      <c r="AS296" s="780"/>
      <c r="AT296" s="437"/>
      <c r="AU296" s="437"/>
      <c r="AV296" s="437"/>
      <c r="AW296" s="437"/>
    </row>
    <row r="297" spans="1:49" ht="14.4" customHeight="1" x14ac:dyDescent="0.3">
      <c r="A297" s="799"/>
      <c r="B297" s="780"/>
      <c r="C297" s="793"/>
      <c r="D297" s="799"/>
      <c r="E297" s="800"/>
      <c r="F297" s="793"/>
      <c r="G297" s="793"/>
      <c r="H297" s="793"/>
      <c r="I297" s="821"/>
      <c r="J297" s="793"/>
      <c r="K297" s="793"/>
      <c r="L297" s="793"/>
      <c r="M297" s="780"/>
      <c r="N297" s="793"/>
      <c r="O297" s="793"/>
      <c r="P297" s="793"/>
      <c r="Q297" s="794"/>
      <c r="R297" s="437"/>
      <c r="S297" s="796"/>
      <c r="T297" s="797"/>
      <c r="U297" s="798"/>
      <c r="V297" s="780"/>
      <c r="W297" s="794"/>
      <c r="X297" s="793"/>
      <c r="Y297" s="793"/>
      <c r="Z297" s="822"/>
      <c r="AA297" s="794"/>
      <c r="AB297" s="800"/>
      <c r="AC297" s="794"/>
      <c r="AD297" s="796"/>
      <c r="AE297" s="794"/>
      <c r="AF297" s="784"/>
      <c r="AG297"/>
      <c r="AH297" s="780"/>
      <c r="AI297" s="437"/>
      <c r="AJ297" s="836"/>
      <c r="AK297" s="780"/>
      <c r="AL297" s="39"/>
      <c r="AM297" s="780"/>
      <c r="AN297" s="793"/>
      <c r="AO297" s="780"/>
      <c r="AP297" s="437"/>
      <c r="AQ297" s="780"/>
      <c r="AR297" s="437"/>
      <c r="AS297" s="780"/>
      <c r="AT297" s="437"/>
      <c r="AU297" s="437"/>
      <c r="AV297" s="437"/>
      <c r="AW297" s="437"/>
    </row>
    <row r="298" spans="1:49" ht="14.4" customHeight="1" x14ac:dyDescent="0.3">
      <c r="A298" s="799"/>
      <c r="B298" s="780"/>
      <c r="C298" s="793"/>
      <c r="D298" s="799"/>
      <c r="E298" s="800"/>
      <c r="F298" s="793"/>
      <c r="G298" s="793"/>
      <c r="H298" s="793"/>
      <c r="I298" s="821"/>
      <c r="J298" s="793"/>
      <c r="K298" s="793"/>
      <c r="L298" s="793"/>
      <c r="M298" s="780"/>
      <c r="N298" s="793"/>
      <c r="O298" s="793"/>
      <c r="P298" s="793"/>
      <c r="Q298" s="794"/>
      <c r="R298" s="437"/>
      <c r="S298" s="796"/>
      <c r="T298" s="797"/>
      <c r="U298" s="798"/>
      <c r="V298" s="780"/>
      <c r="W298" s="794"/>
      <c r="X298" s="793"/>
      <c r="Y298" s="793"/>
      <c r="Z298" s="822"/>
      <c r="AA298" s="794"/>
      <c r="AB298" s="800"/>
      <c r="AC298" s="794"/>
      <c r="AD298" s="796"/>
      <c r="AE298" s="794"/>
      <c r="AF298" s="784"/>
      <c r="AG298"/>
      <c r="AH298" s="780"/>
      <c r="AI298" s="806"/>
      <c r="AJ298" s="801"/>
      <c r="AK298" s="780"/>
      <c r="AL298" s="39"/>
      <c r="AM298" s="780"/>
      <c r="AN298" s="793"/>
      <c r="AO298" s="780"/>
      <c r="AP298" s="437"/>
      <c r="AQ298" s="780"/>
      <c r="AR298" s="437"/>
      <c r="AS298" s="780"/>
      <c r="AT298" s="437"/>
      <c r="AU298" s="437"/>
      <c r="AV298" s="437"/>
      <c r="AW298" s="437"/>
    </row>
    <row r="299" spans="1:49" ht="14.4" customHeight="1" x14ac:dyDescent="0.3">
      <c r="A299" s="799"/>
      <c r="B299" s="780"/>
      <c r="C299" s="793"/>
      <c r="D299" s="799"/>
      <c r="E299" s="800"/>
      <c r="F299" s="793"/>
      <c r="G299" s="793"/>
      <c r="H299" s="793"/>
      <c r="I299" s="821"/>
      <c r="J299" s="793"/>
      <c r="K299" s="793"/>
      <c r="L299" s="793"/>
      <c r="M299" s="780"/>
      <c r="N299" s="793"/>
      <c r="O299" s="793"/>
      <c r="P299" s="793"/>
      <c r="Q299" s="794"/>
      <c r="R299" s="437"/>
      <c r="S299" s="796"/>
      <c r="T299" s="797"/>
      <c r="U299" s="798"/>
      <c r="V299" s="780"/>
      <c r="W299" s="794"/>
      <c r="X299" s="793"/>
      <c r="Y299" s="793"/>
      <c r="Z299" s="822"/>
      <c r="AA299" s="794"/>
      <c r="AB299" s="800"/>
      <c r="AC299" s="794"/>
      <c r="AD299" s="796"/>
      <c r="AE299" s="794"/>
      <c r="AF299" s="784"/>
      <c r="AG299"/>
      <c r="AH299" s="780"/>
      <c r="AI299" s="801"/>
      <c r="AJ299" s="801"/>
      <c r="AK299" s="780"/>
      <c r="AL299" s="39"/>
      <c r="AM299" s="780"/>
      <c r="AN299" s="793"/>
      <c r="AO299" s="780"/>
      <c r="AP299" s="437"/>
      <c r="AQ299" s="780"/>
      <c r="AR299" s="437"/>
      <c r="AS299" s="780"/>
      <c r="AT299" s="437"/>
      <c r="AU299" s="437"/>
      <c r="AV299" s="437"/>
      <c r="AW299" s="437"/>
    </row>
    <row r="300" spans="1:49" ht="14.4" customHeight="1" x14ac:dyDescent="0.3">
      <c r="A300" s="799"/>
      <c r="B300" s="780"/>
      <c r="C300" s="793"/>
      <c r="D300" s="799"/>
      <c r="E300" s="800"/>
      <c r="F300" s="793"/>
      <c r="G300" s="793"/>
      <c r="H300" s="793"/>
      <c r="I300" s="821"/>
      <c r="J300" s="793"/>
      <c r="K300" s="793"/>
      <c r="L300" s="793"/>
      <c r="M300" s="780"/>
      <c r="N300" s="793"/>
      <c r="O300" s="793"/>
      <c r="P300" s="793"/>
      <c r="Q300" s="794"/>
      <c r="R300" s="437"/>
      <c r="S300" s="796"/>
      <c r="T300" s="797"/>
      <c r="U300" s="798"/>
      <c r="V300" s="780"/>
      <c r="W300" s="794"/>
      <c r="X300" s="793"/>
      <c r="Y300" s="793"/>
      <c r="Z300" s="822"/>
      <c r="AA300" s="794"/>
      <c r="AB300" s="800"/>
      <c r="AC300" s="794"/>
      <c r="AD300" s="796"/>
      <c r="AE300" s="794"/>
      <c r="AF300" s="784"/>
      <c r="AG300"/>
      <c r="AH300" s="780"/>
      <c r="AI300" s="806"/>
      <c r="AJ300" s="801"/>
      <c r="AK300" s="780"/>
      <c r="AL300" s="39"/>
      <c r="AM300" s="780"/>
      <c r="AN300" s="793"/>
      <c r="AO300" s="780"/>
      <c r="AP300" s="437"/>
      <c r="AQ300" s="780"/>
      <c r="AR300" s="437"/>
      <c r="AS300" s="780"/>
      <c r="AT300" s="437"/>
      <c r="AU300" s="437"/>
      <c r="AV300" s="437"/>
      <c r="AW300" s="437"/>
    </row>
    <row r="301" spans="1:49" ht="14.4" customHeight="1" x14ac:dyDescent="0.3">
      <c r="A301" s="799"/>
      <c r="B301" s="780"/>
      <c r="C301" s="793"/>
      <c r="D301" s="799"/>
      <c r="E301" s="800"/>
      <c r="F301" s="793"/>
      <c r="G301" s="793"/>
      <c r="H301" s="793"/>
      <c r="I301" s="821"/>
      <c r="J301" s="793"/>
      <c r="K301" s="793"/>
      <c r="L301" s="793"/>
      <c r="M301" s="780"/>
      <c r="N301" s="793"/>
      <c r="O301" s="793"/>
      <c r="P301" s="793"/>
      <c r="Q301" s="794"/>
      <c r="R301" s="437"/>
      <c r="S301" s="796"/>
      <c r="T301" s="797"/>
      <c r="U301" s="798"/>
      <c r="V301" s="780"/>
      <c r="W301" s="794"/>
      <c r="X301" s="793"/>
      <c r="Y301" s="793"/>
      <c r="Z301" s="822"/>
      <c r="AA301" s="794"/>
      <c r="AB301" s="800"/>
      <c r="AC301" s="794"/>
      <c r="AD301" s="796"/>
      <c r="AE301" s="794"/>
      <c r="AF301" s="784"/>
      <c r="AG301"/>
      <c r="AH301" s="780"/>
      <c r="AI301" s="801"/>
      <c r="AJ301" s="801"/>
      <c r="AK301" s="780"/>
      <c r="AL301" s="39"/>
      <c r="AM301" s="780"/>
      <c r="AN301" s="793"/>
      <c r="AO301" s="780"/>
      <c r="AP301" s="437"/>
      <c r="AQ301" s="780"/>
      <c r="AR301" s="437"/>
      <c r="AS301" s="780"/>
      <c r="AT301" s="437"/>
      <c r="AU301" s="437"/>
      <c r="AV301" s="437"/>
      <c r="AW301" s="437"/>
    </row>
    <row r="302" spans="1:49" ht="14.4" customHeight="1" x14ac:dyDescent="0.3">
      <c r="A302" s="799"/>
      <c r="B302" s="780"/>
      <c r="C302" s="793"/>
      <c r="D302" s="799"/>
      <c r="E302" s="800"/>
      <c r="F302" s="793"/>
      <c r="G302" s="793"/>
      <c r="H302" s="793"/>
      <c r="I302" s="821"/>
      <c r="J302" s="793"/>
      <c r="K302" s="793"/>
      <c r="L302" s="793"/>
      <c r="M302" s="780"/>
      <c r="N302" s="793"/>
      <c r="O302" s="793"/>
      <c r="P302" s="793"/>
      <c r="Q302" s="794"/>
      <c r="R302" s="437"/>
      <c r="S302" s="796"/>
      <c r="T302" s="797"/>
      <c r="U302" s="798"/>
      <c r="V302" s="780"/>
      <c r="W302" s="794"/>
      <c r="X302" s="793"/>
      <c r="Y302" s="793"/>
      <c r="Z302" s="822"/>
      <c r="AA302" s="794"/>
      <c r="AB302" s="800"/>
      <c r="AC302" s="794"/>
      <c r="AD302" s="796"/>
      <c r="AE302" s="794"/>
      <c r="AF302" s="784"/>
      <c r="AG302"/>
      <c r="AH302" s="780"/>
      <c r="AI302" s="806"/>
      <c r="AJ302" s="801"/>
      <c r="AK302" s="780"/>
      <c r="AL302" s="39"/>
      <c r="AM302" s="780"/>
      <c r="AN302" s="793"/>
      <c r="AO302" s="780"/>
      <c r="AP302" s="437"/>
      <c r="AQ302" s="780"/>
      <c r="AR302" s="437"/>
      <c r="AS302" s="780"/>
      <c r="AT302" s="437"/>
      <c r="AU302" s="437"/>
      <c r="AV302" s="437"/>
      <c r="AW302" s="437"/>
    </row>
    <row r="303" spans="1:49" ht="14.4" customHeight="1" x14ac:dyDescent="0.3">
      <c r="A303" s="799"/>
      <c r="B303" s="780"/>
      <c r="C303" s="793"/>
      <c r="D303" s="799"/>
      <c r="E303" s="800"/>
      <c r="F303" s="793"/>
      <c r="G303" s="793"/>
      <c r="H303" s="793"/>
      <c r="I303" s="821"/>
      <c r="J303" s="793"/>
      <c r="K303" s="793"/>
      <c r="L303" s="793"/>
      <c r="M303" s="780"/>
      <c r="N303" s="793"/>
      <c r="O303" s="793"/>
      <c r="P303" s="793"/>
      <c r="Q303" s="794"/>
      <c r="R303" s="437"/>
      <c r="S303" s="796"/>
      <c r="T303" s="797"/>
      <c r="U303" s="798"/>
      <c r="V303" s="780"/>
      <c r="W303" s="794"/>
      <c r="X303" s="793"/>
      <c r="Y303" s="793"/>
      <c r="Z303" s="822"/>
      <c r="AA303" s="794"/>
      <c r="AB303" s="800"/>
      <c r="AC303" s="794"/>
      <c r="AD303" s="796"/>
      <c r="AE303" s="794"/>
      <c r="AF303" s="784"/>
      <c r="AG303"/>
      <c r="AH303" s="780"/>
      <c r="AI303" s="801"/>
      <c r="AJ303" s="801"/>
      <c r="AK303" s="780"/>
      <c r="AL303" s="39"/>
      <c r="AM303" s="780"/>
      <c r="AN303" s="793"/>
      <c r="AO303" s="780"/>
      <c r="AP303" s="437"/>
      <c r="AQ303" s="780"/>
      <c r="AR303" s="437"/>
      <c r="AS303" s="780"/>
      <c r="AT303" s="437"/>
      <c r="AU303" s="437"/>
      <c r="AV303" s="437"/>
      <c r="AW303" s="437"/>
    </row>
    <row r="304" spans="1:49" ht="14.4" customHeight="1" x14ac:dyDescent="0.3">
      <c r="A304" s="799"/>
      <c r="B304" s="780"/>
      <c r="C304" s="793"/>
      <c r="D304" s="799"/>
      <c r="E304" s="800"/>
      <c r="F304" s="793"/>
      <c r="G304" s="793"/>
      <c r="H304" s="793"/>
      <c r="I304" s="821"/>
      <c r="J304" s="793"/>
      <c r="K304" s="793"/>
      <c r="L304" s="793"/>
      <c r="M304" s="780"/>
      <c r="N304" s="793"/>
      <c r="O304" s="793"/>
      <c r="P304" s="793"/>
      <c r="Q304" s="794"/>
      <c r="R304" s="437"/>
      <c r="S304" s="796"/>
      <c r="T304" s="797"/>
      <c r="U304" s="798"/>
      <c r="V304" s="780"/>
      <c r="W304" s="794"/>
      <c r="X304" s="793"/>
      <c r="Y304" s="793"/>
      <c r="Z304" s="822"/>
      <c r="AA304" s="794"/>
      <c r="AB304" s="800"/>
      <c r="AC304" s="794"/>
      <c r="AD304" s="796"/>
      <c r="AE304" s="794"/>
      <c r="AF304" s="784"/>
      <c r="AG304"/>
      <c r="AH304" s="780"/>
      <c r="AI304" s="806"/>
      <c r="AJ304" s="801"/>
      <c r="AK304" s="780"/>
      <c r="AL304" s="39"/>
      <c r="AM304" s="780"/>
      <c r="AN304" s="793"/>
      <c r="AO304" s="780"/>
      <c r="AP304" s="437"/>
      <c r="AQ304" s="780"/>
      <c r="AR304" s="437"/>
      <c r="AS304" s="780"/>
      <c r="AT304" s="437"/>
      <c r="AU304" s="437"/>
      <c r="AV304" s="437"/>
      <c r="AW304" s="437"/>
    </row>
    <row r="305" spans="1:49" ht="14.4" customHeight="1" x14ac:dyDescent="0.3">
      <c r="A305" s="825"/>
      <c r="B305" s="823"/>
      <c r="C305" s="824"/>
      <c r="D305" s="825"/>
      <c r="E305" s="826"/>
      <c r="F305" s="824"/>
      <c r="G305" s="824"/>
      <c r="H305" s="824"/>
      <c r="I305" s="827"/>
      <c r="J305" s="824"/>
      <c r="K305" s="824"/>
      <c r="L305" s="824"/>
      <c r="M305" s="823"/>
      <c r="N305" s="824"/>
      <c r="O305" s="793"/>
      <c r="P305" s="793"/>
      <c r="Q305" s="829"/>
      <c r="R305" s="437"/>
      <c r="S305" s="830"/>
      <c r="T305" s="831"/>
      <c r="U305" s="832"/>
      <c r="V305" s="823"/>
      <c r="W305" s="829"/>
      <c r="X305" s="824"/>
      <c r="Y305" s="824"/>
      <c r="Z305" s="828"/>
      <c r="AA305" s="829"/>
      <c r="AB305" s="826"/>
      <c r="AC305" s="829"/>
      <c r="AD305" s="830"/>
      <c r="AE305" s="829"/>
      <c r="AF305" s="784"/>
      <c r="AG305"/>
      <c r="AH305" s="823"/>
      <c r="AI305" s="833"/>
      <c r="AJ305" s="833"/>
      <c r="AK305" s="823"/>
      <c r="AL305" s="39"/>
      <c r="AM305" s="823"/>
      <c r="AN305" s="824"/>
      <c r="AO305" s="823"/>
      <c r="AP305" s="437"/>
      <c r="AQ305" s="823"/>
      <c r="AR305" s="437"/>
      <c r="AS305" s="823"/>
      <c r="AT305" s="437"/>
      <c r="AU305" s="437"/>
      <c r="AV305" s="437"/>
      <c r="AW305" s="437"/>
    </row>
    <row r="306" spans="1:49" ht="14.4" customHeight="1" x14ac:dyDescent="0.3">
      <c r="A306" s="799"/>
      <c r="B306" s="780"/>
      <c r="C306" s="793"/>
      <c r="D306" s="799"/>
      <c r="E306" s="800"/>
      <c r="F306" s="793"/>
      <c r="G306" s="793"/>
      <c r="H306" s="793"/>
      <c r="I306" s="821"/>
      <c r="J306" s="793"/>
      <c r="K306" s="793"/>
      <c r="L306" s="793"/>
      <c r="M306" s="780"/>
      <c r="N306" s="793"/>
      <c r="O306" s="793"/>
      <c r="P306" s="793"/>
      <c r="Q306" s="794"/>
      <c r="R306" s="437"/>
      <c r="S306" s="796"/>
      <c r="T306" s="797"/>
      <c r="U306" s="798"/>
      <c r="V306" s="780"/>
      <c r="W306" s="794"/>
      <c r="X306" s="793"/>
      <c r="Y306" s="793"/>
      <c r="Z306" s="822"/>
      <c r="AA306" s="794"/>
      <c r="AB306" s="800"/>
      <c r="AC306" s="794"/>
      <c r="AD306" s="796"/>
      <c r="AE306" s="794"/>
      <c r="AF306" s="784"/>
      <c r="AG306"/>
      <c r="AH306" s="780"/>
      <c r="AI306" s="801"/>
      <c r="AJ306" s="801"/>
      <c r="AK306" s="780"/>
      <c r="AL306" s="39"/>
      <c r="AM306" s="780"/>
      <c r="AN306" s="793"/>
      <c r="AO306" s="780"/>
      <c r="AP306" s="437"/>
      <c r="AQ306" s="780"/>
      <c r="AR306" s="437"/>
      <c r="AS306" s="780"/>
      <c r="AT306" s="437"/>
      <c r="AU306" s="437"/>
      <c r="AV306" s="437"/>
      <c r="AW306" s="437"/>
    </row>
    <row r="307" spans="1:49" ht="14.4" customHeight="1" x14ac:dyDescent="0.3">
      <c r="A307" s="837"/>
      <c r="B307" s="835"/>
      <c r="C307" s="838"/>
      <c r="D307" s="837"/>
      <c r="E307" s="840"/>
      <c r="F307" s="838"/>
      <c r="G307" s="838"/>
      <c r="H307" s="838"/>
      <c r="I307" s="839"/>
      <c r="J307" s="838"/>
      <c r="K307" s="838"/>
      <c r="L307" s="838"/>
      <c r="M307" s="835"/>
      <c r="N307" s="838"/>
      <c r="O307" s="793"/>
      <c r="P307" s="793"/>
      <c r="Q307" s="842"/>
      <c r="R307" s="437"/>
      <c r="S307" s="843"/>
      <c r="T307" s="844"/>
      <c r="U307" s="845"/>
      <c r="V307" s="835"/>
      <c r="W307" s="842"/>
      <c r="X307" s="838"/>
      <c r="Y307" s="838"/>
      <c r="Z307" s="841"/>
      <c r="AA307" s="842"/>
      <c r="AB307" s="840"/>
      <c r="AC307" s="842"/>
      <c r="AD307" s="843"/>
      <c r="AE307" s="842"/>
      <c r="AF307" s="784"/>
      <c r="AG307"/>
      <c r="AH307" s="835"/>
      <c r="AI307" s="836"/>
      <c r="AJ307" s="836"/>
      <c r="AK307" s="835"/>
      <c r="AL307" s="39"/>
      <c r="AM307" s="835"/>
      <c r="AN307" s="838"/>
      <c r="AO307" s="835"/>
      <c r="AP307" s="437"/>
      <c r="AQ307" s="835"/>
      <c r="AR307" s="437"/>
      <c r="AS307" s="835"/>
      <c r="AT307" s="437"/>
      <c r="AU307" s="437"/>
      <c r="AV307" s="437"/>
      <c r="AW307" s="437"/>
    </row>
    <row r="308" spans="1:49" ht="14.4" customHeight="1" x14ac:dyDescent="0.3">
      <c r="A308" s="837"/>
      <c r="B308" s="835"/>
      <c r="C308" s="838"/>
      <c r="D308" s="837"/>
      <c r="E308" s="840"/>
      <c r="F308" s="838"/>
      <c r="G308" s="838"/>
      <c r="H308" s="838"/>
      <c r="I308" s="839"/>
      <c r="J308" s="838"/>
      <c r="K308" s="838"/>
      <c r="L308" s="838"/>
      <c r="M308" s="835"/>
      <c r="N308" s="838"/>
      <c r="O308" s="793"/>
      <c r="P308" s="793"/>
      <c r="Q308" s="842"/>
      <c r="R308" s="437"/>
      <c r="S308" s="843"/>
      <c r="T308" s="844"/>
      <c r="U308" s="845"/>
      <c r="V308" s="835"/>
      <c r="W308" s="842"/>
      <c r="X308" s="838"/>
      <c r="Y308" s="838"/>
      <c r="Z308" s="841"/>
      <c r="AA308" s="842"/>
      <c r="AB308" s="840"/>
      <c r="AC308" s="842"/>
      <c r="AD308" s="843"/>
      <c r="AE308" s="842"/>
      <c r="AF308" s="784"/>
      <c r="AG308"/>
      <c r="AH308" s="835"/>
      <c r="AI308" s="836"/>
      <c r="AJ308" s="836"/>
      <c r="AK308" s="835"/>
      <c r="AL308" s="39"/>
      <c r="AM308" s="835"/>
      <c r="AN308" s="838"/>
      <c r="AO308" s="835"/>
      <c r="AP308" s="437"/>
      <c r="AQ308" s="835"/>
      <c r="AR308" s="437"/>
      <c r="AS308" s="835"/>
      <c r="AT308" s="437"/>
      <c r="AU308" s="437"/>
      <c r="AV308" s="437"/>
      <c r="AW308" s="437"/>
    </row>
    <row r="309" spans="1:49" ht="14.4" customHeight="1" x14ac:dyDescent="0.3">
      <c r="A309" s="837"/>
      <c r="B309" s="835"/>
      <c r="C309" s="838"/>
      <c r="D309" s="837"/>
      <c r="E309" s="840"/>
      <c r="F309" s="838"/>
      <c r="G309" s="838"/>
      <c r="H309" s="838"/>
      <c r="I309" s="839"/>
      <c r="J309" s="838"/>
      <c r="K309" s="838"/>
      <c r="L309" s="838"/>
      <c r="M309" s="835"/>
      <c r="N309" s="838"/>
      <c r="O309" s="793"/>
      <c r="P309" s="793"/>
      <c r="Q309" s="842"/>
      <c r="R309" s="437"/>
      <c r="S309" s="843"/>
      <c r="T309" s="844"/>
      <c r="U309" s="845"/>
      <c r="V309" s="835"/>
      <c r="W309" s="842"/>
      <c r="X309" s="838"/>
      <c r="Y309" s="838"/>
      <c r="Z309" s="841"/>
      <c r="AA309" s="842"/>
      <c r="AB309" s="840"/>
      <c r="AC309" s="842"/>
      <c r="AD309" s="843"/>
      <c r="AE309" s="842"/>
      <c r="AF309" s="784"/>
      <c r="AG309"/>
      <c r="AH309" s="835"/>
      <c r="AI309" s="836"/>
      <c r="AJ309" s="836"/>
      <c r="AK309" s="835"/>
      <c r="AL309" s="39"/>
      <c r="AM309" s="835"/>
      <c r="AN309" s="838"/>
      <c r="AO309" s="835"/>
      <c r="AP309" s="437"/>
      <c r="AQ309" s="835"/>
      <c r="AR309" s="437"/>
      <c r="AS309" s="835"/>
      <c r="AT309" s="437"/>
      <c r="AU309" s="437"/>
      <c r="AV309" s="437"/>
      <c r="AW309" s="437"/>
    </row>
    <row r="310" spans="1:49" ht="14.4" customHeight="1" x14ac:dyDescent="0.3">
      <c r="A310" s="837"/>
      <c r="B310" s="835"/>
      <c r="C310" s="838"/>
      <c r="D310" s="837"/>
      <c r="E310" s="840"/>
      <c r="F310" s="838"/>
      <c r="G310" s="838"/>
      <c r="H310" s="838"/>
      <c r="I310" s="839"/>
      <c r="J310" s="838"/>
      <c r="K310" s="838"/>
      <c r="L310" s="838"/>
      <c r="M310" s="835"/>
      <c r="N310" s="838"/>
      <c r="O310" s="793"/>
      <c r="P310" s="793"/>
      <c r="Q310" s="842"/>
      <c r="R310" s="437"/>
      <c r="S310" s="843"/>
      <c r="T310" s="844"/>
      <c r="U310" s="845"/>
      <c r="V310" s="835"/>
      <c r="W310" s="842"/>
      <c r="X310" s="838"/>
      <c r="Y310" s="838"/>
      <c r="Z310" s="841"/>
      <c r="AA310" s="842"/>
      <c r="AB310" s="840"/>
      <c r="AC310" s="842"/>
      <c r="AD310" s="843"/>
      <c r="AE310" s="842"/>
      <c r="AF310" s="784"/>
      <c r="AG310"/>
      <c r="AH310" s="835"/>
      <c r="AI310" s="836"/>
      <c r="AJ310" s="836"/>
      <c r="AK310" s="835"/>
      <c r="AL310" s="39"/>
      <c r="AM310" s="835"/>
      <c r="AN310" s="838"/>
      <c r="AO310" s="835"/>
      <c r="AP310" s="437"/>
      <c r="AQ310" s="835"/>
      <c r="AR310" s="846"/>
      <c r="AS310" s="835"/>
      <c r="AT310" s="437"/>
      <c r="AU310" s="437"/>
      <c r="AV310" s="437"/>
      <c r="AW310" s="437"/>
    </row>
    <row r="311" spans="1:49" ht="14.4" customHeight="1" x14ac:dyDescent="0.3">
      <c r="A311" s="837"/>
      <c r="B311" s="835"/>
      <c r="C311" s="838"/>
      <c r="D311" s="837"/>
      <c r="E311" s="840"/>
      <c r="F311" s="838"/>
      <c r="G311" s="838"/>
      <c r="H311" s="838"/>
      <c r="I311" s="839"/>
      <c r="J311" s="838"/>
      <c r="K311" s="838"/>
      <c r="L311" s="838"/>
      <c r="M311" s="835"/>
      <c r="N311" s="838"/>
      <c r="O311" s="793"/>
      <c r="P311" s="793"/>
      <c r="Q311" s="842"/>
      <c r="R311" s="437"/>
      <c r="S311" s="843"/>
      <c r="T311" s="844"/>
      <c r="U311" s="845"/>
      <c r="V311" s="835"/>
      <c r="W311" s="842"/>
      <c r="X311" s="838"/>
      <c r="Y311" s="838"/>
      <c r="Z311" s="841"/>
      <c r="AA311" s="842"/>
      <c r="AB311" s="840"/>
      <c r="AC311" s="842"/>
      <c r="AD311" s="843"/>
      <c r="AE311" s="842"/>
      <c r="AF311" s="784"/>
      <c r="AG311"/>
      <c r="AH311" s="835"/>
      <c r="AI311" s="836"/>
      <c r="AJ311" s="836"/>
      <c r="AK311" s="835"/>
      <c r="AL311" s="39"/>
      <c r="AM311" s="835"/>
      <c r="AN311" s="838"/>
      <c r="AO311" s="835"/>
      <c r="AP311" s="437"/>
      <c r="AQ311" s="835"/>
      <c r="AR311" s="846"/>
      <c r="AS311" s="835"/>
      <c r="AT311" s="437"/>
      <c r="AU311" s="437"/>
      <c r="AV311" s="437"/>
      <c r="AW311" s="437"/>
    </row>
    <row r="312" spans="1:49" ht="14.4" customHeight="1" x14ac:dyDescent="0.3">
      <c r="A312" s="837"/>
      <c r="B312" s="835"/>
      <c r="C312" s="838"/>
      <c r="D312" s="837"/>
      <c r="E312" s="840"/>
      <c r="F312" s="838"/>
      <c r="G312" s="838"/>
      <c r="H312" s="838"/>
      <c r="I312" s="839"/>
      <c r="J312" s="838"/>
      <c r="K312" s="838"/>
      <c r="L312" s="838"/>
      <c r="M312" s="835"/>
      <c r="N312" s="838"/>
      <c r="O312" s="793"/>
      <c r="P312" s="793"/>
      <c r="Q312" s="842"/>
      <c r="R312" s="437"/>
      <c r="S312" s="843"/>
      <c r="T312" s="844"/>
      <c r="U312" s="845"/>
      <c r="V312" s="835"/>
      <c r="W312" s="842"/>
      <c r="X312" s="838"/>
      <c r="Y312" s="838"/>
      <c r="Z312" s="841"/>
      <c r="AA312" s="842"/>
      <c r="AB312" s="840"/>
      <c r="AC312" s="842"/>
      <c r="AD312" s="843"/>
      <c r="AE312" s="842"/>
      <c r="AF312" s="784"/>
      <c r="AG312"/>
      <c r="AH312" s="835"/>
      <c r="AI312" s="836"/>
      <c r="AJ312" s="836"/>
      <c r="AK312" s="835"/>
      <c r="AL312" s="39"/>
      <c r="AM312" s="835"/>
      <c r="AN312" s="838"/>
      <c r="AO312" s="835"/>
      <c r="AP312" s="437"/>
      <c r="AQ312" s="835"/>
      <c r="AR312" s="846"/>
      <c r="AS312" s="835"/>
      <c r="AT312" s="437"/>
      <c r="AU312" s="437"/>
      <c r="AV312" s="437"/>
      <c r="AW312" s="437"/>
    </row>
    <row r="313" spans="1:49" ht="14.4" customHeight="1" x14ac:dyDescent="0.3">
      <c r="A313" s="837"/>
      <c r="B313" s="835"/>
      <c r="C313" s="838"/>
      <c r="D313" s="837"/>
      <c r="E313" s="840"/>
      <c r="F313" s="838"/>
      <c r="G313" s="838"/>
      <c r="H313" s="838"/>
      <c r="I313" s="839"/>
      <c r="J313" s="838"/>
      <c r="K313" s="838"/>
      <c r="L313" s="838"/>
      <c r="M313" s="835"/>
      <c r="N313" s="838"/>
      <c r="O313" s="793"/>
      <c r="P313" s="793"/>
      <c r="Q313" s="842"/>
      <c r="R313" s="437"/>
      <c r="S313" s="843"/>
      <c r="T313" s="844"/>
      <c r="U313" s="845"/>
      <c r="V313" s="835"/>
      <c r="W313" s="842"/>
      <c r="X313" s="838"/>
      <c r="Y313" s="838"/>
      <c r="Z313" s="841"/>
      <c r="AA313" s="842"/>
      <c r="AB313" s="840"/>
      <c r="AC313" s="842"/>
      <c r="AD313" s="843"/>
      <c r="AE313" s="842"/>
      <c r="AF313" s="784"/>
      <c r="AG313"/>
      <c r="AH313" s="835"/>
      <c r="AI313" s="836"/>
      <c r="AJ313" s="836"/>
      <c r="AK313" s="835"/>
      <c r="AL313" s="39"/>
      <c r="AM313" s="835"/>
      <c r="AN313" s="838"/>
      <c r="AO313" s="835"/>
      <c r="AP313" s="437"/>
      <c r="AQ313" s="835"/>
      <c r="AR313" s="846"/>
      <c r="AS313" s="835"/>
      <c r="AT313" s="437"/>
      <c r="AU313" s="437"/>
      <c r="AV313" s="437"/>
      <c r="AW313" s="437"/>
    </row>
    <row r="314" spans="1:49" ht="14.4" customHeight="1" x14ac:dyDescent="0.3">
      <c r="A314" s="837"/>
      <c r="B314" s="835"/>
      <c r="C314" s="838"/>
      <c r="D314" s="837"/>
      <c r="E314" s="840"/>
      <c r="F314" s="838"/>
      <c r="G314" s="838"/>
      <c r="H314" s="838"/>
      <c r="I314" s="839"/>
      <c r="J314" s="838"/>
      <c r="K314" s="838"/>
      <c r="L314" s="838"/>
      <c r="M314" s="835"/>
      <c r="N314" s="838"/>
      <c r="O314" s="793"/>
      <c r="P314" s="793"/>
      <c r="Q314" s="842"/>
      <c r="R314" s="437"/>
      <c r="S314" s="843"/>
      <c r="T314" s="844"/>
      <c r="U314" s="845"/>
      <c r="V314" s="835"/>
      <c r="W314" s="842"/>
      <c r="X314" s="838"/>
      <c r="Y314" s="838"/>
      <c r="Z314" s="841"/>
      <c r="AA314" s="842"/>
      <c r="AB314" s="840"/>
      <c r="AC314" s="842"/>
      <c r="AD314" s="843"/>
      <c r="AE314" s="842"/>
      <c r="AF314" s="784"/>
      <c r="AG314"/>
      <c r="AH314" s="835"/>
      <c r="AI314" s="836"/>
      <c r="AJ314" s="836"/>
      <c r="AK314" s="835"/>
      <c r="AL314" s="39"/>
      <c r="AM314" s="835"/>
      <c r="AN314" s="838"/>
      <c r="AO314" s="835"/>
      <c r="AP314" s="437"/>
      <c r="AQ314" s="835"/>
      <c r="AR314" s="846"/>
      <c r="AS314" s="835"/>
      <c r="AT314" s="437"/>
      <c r="AU314" s="437"/>
      <c r="AV314" s="437"/>
      <c r="AW314" s="437"/>
    </row>
    <row r="315" spans="1:49" ht="14.4" customHeight="1" x14ac:dyDescent="0.3">
      <c r="A315" s="837"/>
      <c r="B315" s="835"/>
      <c r="C315" s="838"/>
      <c r="D315" s="837"/>
      <c r="E315" s="840"/>
      <c r="F315" s="838"/>
      <c r="G315" s="838"/>
      <c r="H315" s="838"/>
      <c r="I315" s="839"/>
      <c r="J315" s="838"/>
      <c r="K315" s="838"/>
      <c r="L315" s="838"/>
      <c r="M315" s="835"/>
      <c r="N315" s="838"/>
      <c r="O315" s="793"/>
      <c r="P315" s="793"/>
      <c r="Q315" s="842"/>
      <c r="R315" s="437"/>
      <c r="S315" s="843"/>
      <c r="T315" s="844"/>
      <c r="U315" s="845"/>
      <c r="V315" s="835"/>
      <c r="W315" s="842"/>
      <c r="X315" s="838"/>
      <c r="Y315" s="838"/>
      <c r="Z315" s="841"/>
      <c r="AA315" s="842"/>
      <c r="AB315" s="840"/>
      <c r="AC315" s="842"/>
      <c r="AD315" s="843"/>
      <c r="AE315" s="842"/>
      <c r="AF315" s="784"/>
      <c r="AG315"/>
      <c r="AH315" s="835"/>
      <c r="AI315" s="836"/>
      <c r="AJ315" s="836"/>
      <c r="AK315" s="835"/>
      <c r="AL315" s="39"/>
      <c r="AM315" s="835"/>
      <c r="AN315" s="838"/>
      <c r="AO315" s="835"/>
      <c r="AP315" s="437"/>
      <c r="AQ315" s="835"/>
      <c r="AR315" s="846"/>
      <c r="AS315" s="835"/>
      <c r="AT315" s="437"/>
      <c r="AU315" s="437"/>
      <c r="AV315" s="437"/>
      <c r="AW315" s="437"/>
    </row>
    <row r="316" spans="1:49" ht="14.4" customHeight="1" x14ac:dyDescent="0.3">
      <c r="A316" s="799"/>
      <c r="B316" s="869"/>
      <c r="C316" s="793"/>
      <c r="D316" s="799"/>
      <c r="E316" s="800"/>
      <c r="F316" s="793"/>
      <c r="G316" s="793"/>
      <c r="H316" s="793"/>
      <c r="I316" s="821"/>
      <c r="J316" s="793"/>
      <c r="K316" s="793"/>
      <c r="L316" s="793"/>
      <c r="M316" s="869"/>
      <c r="N316" s="793"/>
      <c r="O316" s="822"/>
      <c r="P316" s="822"/>
      <c r="Q316" s="794"/>
      <c r="R316" s="795"/>
      <c r="S316" s="796"/>
      <c r="T316" s="797"/>
      <c r="U316" s="798"/>
      <c r="V316" s="780"/>
      <c r="W316" s="794"/>
      <c r="X316" s="793"/>
      <c r="Y316" s="793"/>
      <c r="Z316" s="822"/>
      <c r="AA316" s="794"/>
      <c r="AB316" s="800"/>
      <c r="AC316" s="794"/>
      <c r="AD316" s="796"/>
      <c r="AE316" s="794"/>
      <c r="AF316" s="780"/>
      <c r="AG316" s="801"/>
      <c r="AH316" s="780"/>
      <c r="AI316" s="801"/>
      <c r="AJ316" s="801"/>
      <c r="AK316" s="780"/>
      <c r="AL316" s="801"/>
      <c r="AM316" s="780"/>
      <c r="AN316" s="793"/>
      <c r="AO316" s="780"/>
      <c r="AP316" s="801"/>
      <c r="AQ316" s="780"/>
      <c r="AR316" s="802"/>
      <c r="AS316" s="780"/>
      <c r="AT316" s="870"/>
      <c r="AU316" s="870"/>
      <c r="AV316" s="871"/>
      <c r="AW316" s="872"/>
    </row>
    <row r="317" spans="1:49" ht="14.4" customHeight="1" x14ac:dyDescent="0.3">
      <c r="A317" s="645"/>
      <c r="C317" s="107"/>
      <c r="D317" s="645"/>
      <c r="E317" s="107"/>
      <c r="F317" s="107"/>
      <c r="G317" s="107"/>
      <c r="H317" s="107"/>
      <c r="I317" s="235"/>
      <c r="J317" s="440"/>
      <c r="K317" s="107"/>
      <c r="L317" s="107"/>
      <c r="N317" s="262"/>
      <c r="O317" s="391"/>
      <c r="P317" s="391"/>
      <c r="Q317" s="263"/>
      <c r="R317" s="237"/>
      <c r="S317" s="607"/>
      <c r="T317" s="264"/>
      <c r="U317" s="613"/>
      <c r="W317" s="390"/>
      <c r="AE317" s="255"/>
      <c r="AG317"/>
      <c r="AL317"/>
      <c r="AP317"/>
      <c r="AT317"/>
      <c r="AU317"/>
      <c r="AV317"/>
      <c r="AW317"/>
    </row>
    <row r="318" spans="1:49" ht="14.4" customHeight="1" x14ac:dyDescent="0.3">
      <c r="A318" s="645"/>
      <c r="C318" s="107"/>
      <c r="D318" s="645"/>
      <c r="E318" s="107"/>
      <c r="F318" s="107"/>
      <c r="G318" s="107"/>
      <c r="H318" s="107"/>
      <c r="I318" s="235"/>
      <c r="J318" s="440"/>
      <c r="K318" s="107"/>
      <c r="L318" s="107"/>
      <c r="N318" s="262"/>
      <c r="O318" s="391"/>
      <c r="P318" s="391"/>
      <c r="Q318" s="263"/>
      <c r="R318" s="237"/>
      <c r="S318" s="607"/>
      <c r="T318" s="264"/>
      <c r="U318" s="613"/>
      <c r="W318" s="390"/>
      <c r="AE318" s="255"/>
      <c r="AG318"/>
      <c r="AL318"/>
      <c r="AP318"/>
      <c r="AT318"/>
      <c r="AU318"/>
      <c r="AV318"/>
      <c r="AW318"/>
    </row>
    <row r="319" spans="1:49" ht="14.4" customHeight="1" x14ac:dyDescent="0.3">
      <c r="A319" s="645"/>
      <c r="C319" s="107"/>
      <c r="D319" s="645"/>
      <c r="E319" s="107"/>
      <c r="F319" s="107"/>
      <c r="G319" s="107"/>
      <c r="H319" s="107"/>
      <c r="I319" s="235"/>
      <c r="J319" s="440"/>
      <c r="K319" s="107"/>
      <c r="L319" s="107"/>
      <c r="N319" s="262"/>
      <c r="O319" s="391"/>
      <c r="P319" s="391"/>
      <c r="Q319" s="263"/>
      <c r="R319" s="237"/>
      <c r="S319" s="607"/>
      <c r="T319" s="264"/>
      <c r="U319" s="613"/>
      <c r="W319" s="390"/>
      <c r="AE319" s="255"/>
      <c r="AG319"/>
      <c r="AL319"/>
      <c r="AP319"/>
      <c r="AT319"/>
      <c r="AU319"/>
      <c r="AV319"/>
      <c r="AW319"/>
    </row>
    <row r="320" spans="1:49" ht="14.4" customHeight="1" x14ac:dyDescent="0.3">
      <c r="A320" s="645"/>
      <c r="C320" s="107"/>
      <c r="D320" s="645"/>
      <c r="E320" s="107"/>
      <c r="F320" s="107"/>
      <c r="G320" s="107"/>
      <c r="H320" s="107"/>
      <c r="I320" s="235"/>
      <c r="J320" s="440"/>
      <c r="K320" s="107"/>
      <c r="L320" s="107"/>
      <c r="N320" s="262"/>
      <c r="O320" s="391"/>
      <c r="P320" s="391"/>
      <c r="Q320" s="263"/>
      <c r="R320" s="237"/>
      <c r="S320" s="607"/>
      <c r="T320" s="264"/>
      <c r="U320" s="613"/>
      <c r="W320" s="390"/>
      <c r="AE320" s="255"/>
      <c r="AG320"/>
      <c r="AL320"/>
      <c r="AP320"/>
      <c r="AT320"/>
      <c r="AU320"/>
      <c r="AV320"/>
      <c r="AW320"/>
    </row>
    <row r="321" spans="1:49" ht="14.4" customHeight="1" x14ac:dyDescent="0.3">
      <c r="A321" s="645"/>
      <c r="C321" s="107"/>
      <c r="D321" s="645"/>
      <c r="E321" s="107"/>
      <c r="F321" s="107"/>
      <c r="G321" s="107"/>
      <c r="H321" s="107"/>
      <c r="I321" s="235"/>
      <c r="J321" s="440"/>
      <c r="K321" s="107"/>
      <c r="L321" s="107"/>
      <c r="N321" s="262"/>
      <c r="O321" s="391"/>
      <c r="P321" s="391"/>
      <c r="Q321" s="263"/>
      <c r="R321" s="237"/>
      <c r="S321" s="607"/>
      <c r="T321" s="264"/>
      <c r="U321" s="613"/>
      <c r="W321" s="390"/>
      <c r="AE321" s="255"/>
      <c r="AG321"/>
      <c r="AL321"/>
      <c r="AP321"/>
      <c r="AT321"/>
      <c r="AU321"/>
      <c r="AV321"/>
      <c r="AW321"/>
    </row>
    <row r="322" spans="1:49" ht="14.4" customHeight="1" x14ac:dyDescent="0.3">
      <c r="A322" s="645"/>
      <c r="C322" s="107"/>
      <c r="D322" s="645"/>
      <c r="E322" s="107"/>
      <c r="F322" s="107"/>
      <c r="G322" s="107"/>
      <c r="H322" s="107"/>
      <c r="I322" s="235"/>
      <c r="J322" s="440"/>
      <c r="K322" s="107"/>
      <c r="L322" s="107"/>
      <c r="N322" s="262"/>
      <c r="O322" s="391"/>
      <c r="P322" s="391"/>
      <c r="Q322" s="263"/>
      <c r="R322" s="237"/>
      <c r="S322" s="607"/>
      <c r="T322" s="264"/>
      <c r="U322" s="613"/>
      <c r="W322" s="390"/>
      <c r="AE322" s="255"/>
      <c r="AG322"/>
      <c r="AL322"/>
      <c r="AP322"/>
      <c r="AT322"/>
      <c r="AU322"/>
      <c r="AV322"/>
      <c r="AW322"/>
    </row>
    <row r="323" spans="1:49" ht="14.4" customHeight="1" x14ac:dyDescent="0.3">
      <c r="A323" s="645"/>
      <c r="C323" s="107"/>
      <c r="D323" s="645"/>
      <c r="E323" s="107"/>
      <c r="F323" s="107"/>
      <c r="G323" s="107"/>
      <c r="H323" s="107"/>
      <c r="I323" s="235"/>
      <c r="J323" s="440"/>
      <c r="K323" s="107"/>
      <c r="L323" s="107"/>
      <c r="N323" s="262"/>
      <c r="O323" s="391"/>
      <c r="P323" s="391"/>
      <c r="Q323" s="263"/>
      <c r="R323" s="237"/>
      <c r="S323" s="607"/>
      <c r="T323" s="264"/>
      <c r="U323" s="613"/>
      <c r="W323" s="390"/>
      <c r="AE323" s="255"/>
      <c r="AG323"/>
      <c r="AL323"/>
      <c r="AP323"/>
      <c r="AT323"/>
      <c r="AU323"/>
      <c r="AV323"/>
      <c r="AW323"/>
    </row>
    <row r="324" spans="1:49" ht="14.4" customHeight="1" x14ac:dyDescent="0.3">
      <c r="A324" s="645"/>
      <c r="C324" s="107"/>
      <c r="D324" s="645"/>
      <c r="E324" s="107"/>
      <c r="F324" s="107"/>
      <c r="G324" s="107"/>
      <c r="H324" s="107"/>
      <c r="I324" s="235"/>
      <c r="J324" s="440"/>
      <c r="K324" s="107"/>
      <c r="L324" s="107"/>
      <c r="N324" s="262"/>
      <c r="O324" s="391"/>
      <c r="P324" s="391"/>
      <c r="Q324" s="263"/>
      <c r="R324" s="237"/>
      <c r="S324" s="607"/>
      <c r="T324" s="264"/>
      <c r="U324" s="613"/>
      <c r="W324" s="390"/>
      <c r="AE324" s="255"/>
      <c r="AG324"/>
      <c r="AL324"/>
      <c r="AP324"/>
      <c r="AT324"/>
      <c r="AU324"/>
      <c r="AV324"/>
      <c r="AW324"/>
    </row>
    <row r="325" spans="1:49" ht="14.4" customHeight="1" x14ac:dyDescent="0.3">
      <c r="A325" s="645"/>
      <c r="C325" s="107"/>
      <c r="D325" s="645"/>
      <c r="E325" s="107"/>
      <c r="F325" s="107"/>
      <c r="G325" s="107"/>
      <c r="H325" s="107"/>
      <c r="I325" s="235"/>
      <c r="J325" s="440"/>
      <c r="K325" s="107"/>
      <c r="L325" s="107"/>
      <c r="N325" s="262"/>
      <c r="O325" s="391"/>
      <c r="P325" s="391"/>
      <c r="Q325" s="263"/>
      <c r="R325" s="237"/>
      <c r="S325" s="607"/>
      <c r="T325" s="264"/>
      <c r="U325" s="613"/>
      <c r="W325" s="390"/>
      <c r="AE325" s="255"/>
      <c r="AG325"/>
      <c r="AL325"/>
      <c r="AP325"/>
      <c r="AT325"/>
      <c r="AU325"/>
      <c r="AV325"/>
      <c r="AW325"/>
    </row>
    <row r="326" spans="1:49" ht="14.4" customHeight="1" x14ac:dyDescent="0.3">
      <c r="A326" s="645"/>
      <c r="C326" s="107"/>
      <c r="D326" s="645"/>
      <c r="E326" s="107"/>
      <c r="F326" s="107"/>
      <c r="G326" s="107"/>
      <c r="H326" s="107"/>
      <c r="I326" s="235"/>
      <c r="J326" s="440"/>
      <c r="K326" s="107"/>
      <c r="L326" s="107"/>
      <c r="N326" s="262"/>
      <c r="O326" s="391"/>
      <c r="P326" s="391"/>
      <c r="Q326" s="263"/>
      <c r="R326" s="237"/>
      <c r="S326" s="607"/>
      <c r="T326" s="264"/>
      <c r="U326" s="613"/>
      <c r="W326" s="390"/>
      <c r="AE326" s="255"/>
      <c r="AG326"/>
      <c r="AL326"/>
      <c r="AP326"/>
      <c r="AT326"/>
      <c r="AU326"/>
      <c r="AV326"/>
      <c r="AW326"/>
    </row>
    <row r="327" spans="1:49" ht="14.4" customHeight="1" x14ac:dyDescent="0.3">
      <c r="A327" s="645"/>
      <c r="C327" s="107"/>
      <c r="D327" s="645"/>
      <c r="E327" s="107"/>
      <c r="F327" s="107"/>
      <c r="G327" s="107"/>
      <c r="H327" s="107"/>
      <c r="I327" s="235"/>
      <c r="J327" s="440"/>
      <c r="K327" s="107"/>
      <c r="L327" s="107"/>
      <c r="N327" s="262"/>
      <c r="O327" s="391"/>
      <c r="P327" s="391"/>
      <c r="Q327" s="263"/>
      <c r="R327" s="237"/>
      <c r="S327" s="607"/>
      <c r="T327" s="264"/>
      <c r="U327" s="613"/>
      <c r="W327" s="437"/>
      <c r="AC327" s="258"/>
      <c r="AD327" s="258"/>
      <c r="AE327" s="255"/>
      <c r="AF327" s="258"/>
      <c r="AG327"/>
      <c r="AH327" s="258"/>
      <c r="AK327" s="258"/>
      <c r="AL327"/>
      <c r="AM327" s="258"/>
      <c r="AN327" s="258"/>
      <c r="AO327" s="258"/>
      <c r="AP327"/>
      <c r="AQ327" s="258"/>
      <c r="AR327" s="258"/>
      <c r="AS327" s="258"/>
      <c r="AT327" s="256"/>
      <c r="AU327" s="408"/>
      <c r="AV327" s="256"/>
      <c r="AW327" s="408"/>
    </row>
    <row r="328" spans="1:49" ht="14.4" customHeight="1" x14ac:dyDescent="0.3">
      <c r="A328" s="645"/>
      <c r="C328" s="107"/>
      <c r="D328" s="645"/>
      <c r="E328" s="107"/>
      <c r="F328" s="107"/>
      <c r="G328" s="107"/>
      <c r="H328" s="107"/>
      <c r="I328" s="235"/>
      <c r="J328" s="440"/>
      <c r="K328" s="107"/>
      <c r="L328" s="107"/>
      <c r="N328" s="262"/>
      <c r="O328" s="391"/>
      <c r="P328" s="391"/>
      <c r="Q328" s="263"/>
      <c r="R328" s="237"/>
      <c r="S328" s="607"/>
      <c r="T328" s="264"/>
      <c r="U328" s="613"/>
      <c r="W328" s="437"/>
      <c r="AC328" s="258"/>
      <c r="AD328" s="258"/>
      <c r="AE328" s="255"/>
      <c r="AF328" s="258"/>
      <c r="AG328"/>
      <c r="AH328" s="258"/>
      <c r="AK328" s="258"/>
      <c r="AL328"/>
      <c r="AM328" s="258"/>
      <c r="AN328" s="258"/>
      <c r="AO328" s="258"/>
      <c r="AP328"/>
      <c r="AQ328" s="258"/>
      <c r="AR328" s="258"/>
      <c r="AS328" s="258"/>
      <c r="AT328" s="256"/>
      <c r="AU328" s="408"/>
      <c r="AV328" s="256"/>
      <c r="AW328" s="408"/>
    </row>
    <row r="329" spans="1:49" ht="14.4" customHeight="1" x14ac:dyDescent="0.3">
      <c r="A329" s="645"/>
      <c r="C329" s="107"/>
      <c r="D329" s="645"/>
      <c r="E329" s="107"/>
      <c r="F329" s="107"/>
      <c r="G329" s="107"/>
      <c r="H329" s="107"/>
      <c r="I329" s="235"/>
      <c r="J329" s="440"/>
      <c r="K329" s="107"/>
      <c r="L329" s="107"/>
      <c r="N329" s="262"/>
      <c r="O329" s="391"/>
      <c r="P329" s="391"/>
      <c r="Q329" s="263"/>
      <c r="R329" s="237"/>
      <c r="S329" s="607"/>
      <c r="T329" s="264"/>
      <c r="U329" s="613"/>
      <c r="W329" s="437"/>
      <c r="AC329" s="258"/>
      <c r="AD329" s="258"/>
      <c r="AE329" s="255"/>
      <c r="AF329" s="258"/>
      <c r="AG329"/>
      <c r="AH329" s="258"/>
      <c r="AK329" s="258"/>
      <c r="AL329"/>
      <c r="AM329" s="258"/>
      <c r="AN329" s="258"/>
      <c r="AO329" s="258"/>
      <c r="AP329"/>
      <c r="AQ329" s="258"/>
      <c r="AR329" s="258"/>
      <c r="AS329" s="258"/>
      <c r="AT329" s="256"/>
      <c r="AU329" s="408"/>
      <c r="AV329" s="256"/>
      <c r="AW329" s="408"/>
    </row>
    <row r="330" spans="1:49" ht="14.4" customHeight="1" x14ac:dyDescent="0.3">
      <c r="A330" s="645"/>
      <c r="C330" s="107"/>
      <c r="D330" s="645"/>
      <c r="E330" s="107"/>
      <c r="F330" s="107"/>
      <c r="G330" s="107"/>
      <c r="H330" s="107"/>
      <c r="I330" s="235"/>
      <c r="J330" s="440"/>
      <c r="K330" s="107"/>
      <c r="L330" s="107"/>
      <c r="N330" s="262"/>
      <c r="O330" s="391"/>
      <c r="P330" s="391"/>
      <c r="Q330" s="263"/>
      <c r="R330" s="237"/>
      <c r="S330" s="607"/>
      <c r="T330" s="264"/>
      <c r="U330" s="613"/>
      <c r="W330" s="437"/>
      <c r="AC330" s="258"/>
      <c r="AD330" s="258"/>
      <c r="AE330" s="255"/>
      <c r="AF330" s="258"/>
      <c r="AG330"/>
      <c r="AH330" s="258"/>
      <c r="AK330" s="258"/>
      <c r="AL330"/>
      <c r="AM330" s="258"/>
      <c r="AN330" s="258"/>
      <c r="AO330" s="258"/>
      <c r="AP330"/>
      <c r="AQ330" s="258"/>
      <c r="AR330" s="258"/>
      <c r="AS330" s="258"/>
      <c r="AT330" s="256"/>
      <c r="AU330" s="408"/>
      <c r="AV330" s="256"/>
      <c r="AW330" s="408"/>
    </row>
    <row r="331" spans="1:49" ht="14.4" customHeight="1" x14ac:dyDescent="0.3">
      <c r="A331" s="645"/>
      <c r="C331" s="107"/>
      <c r="D331" s="645"/>
      <c r="E331" s="107"/>
      <c r="F331" s="107"/>
      <c r="G331" s="107"/>
      <c r="H331" s="107"/>
      <c r="I331" s="235"/>
      <c r="J331" s="440"/>
      <c r="K331" s="107"/>
      <c r="L331" s="107"/>
      <c r="N331" s="262"/>
      <c r="O331" s="391"/>
      <c r="P331" s="391"/>
      <c r="Q331" s="263"/>
      <c r="R331" s="237"/>
      <c r="S331" s="607"/>
      <c r="T331" s="264"/>
      <c r="U331" s="613"/>
      <c r="W331" s="437"/>
      <c r="AC331" s="258"/>
      <c r="AD331" s="258"/>
      <c r="AE331" s="255"/>
      <c r="AF331" s="258"/>
      <c r="AG331"/>
      <c r="AH331" s="258"/>
      <c r="AK331" s="258"/>
      <c r="AL331"/>
      <c r="AM331" s="258"/>
      <c r="AN331" s="258"/>
      <c r="AO331" s="258"/>
      <c r="AP331"/>
      <c r="AQ331" s="258"/>
      <c r="AR331" s="258"/>
      <c r="AS331" s="258"/>
      <c r="AT331" s="256"/>
      <c r="AU331" s="408"/>
      <c r="AV331" s="256"/>
      <c r="AW331" s="408"/>
    </row>
    <row r="332" spans="1:49" ht="14.4" customHeight="1" x14ac:dyDescent="0.3">
      <c r="A332" s="645"/>
      <c r="C332" s="107"/>
      <c r="D332" s="645"/>
      <c r="E332" s="107"/>
      <c r="F332" s="107"/>
      <c r="G332" s="107"/>
      <c r="H332" s="107"/>
      <c r="I332" s="235"/>
      <c r="J332" s="440"/>
      <c r="K332" s="107"/>
      <c r="L332" s="107"/>
      <c r="N332" s="262"/>
      <c r="O332" s="391"/>
      <c r="P332" s="391"/>
      <c r="Q332" s="263"/>
      <c r="R332" s="237"/>
      <c r="S332" s="607"/>
      <c r="T332" s="264"/>
      <c r="U332" s="613"/>
      <c r="W332" s="437"/>
      <c r="AC332" s="258"/>
      <c r="AD332" s="258"/>
      <c r="AE332" s="255"/>
      <c r="AF332" s="258"/>
      <c r="AG332"/>
      <c r="AH332" s="258"/>
      <c r="AK332" s="258"/>
      <c r="AL332"/>
      <c r="AM332" s="258"/>
      <c r="AN332" s="258"/>
      <c r="AO332" s="258"/>
      <c r="AP332"/>
      <c r="AQ332" s="258"/>
      <c r="AR332" s="258"/>
      <c r="AS332" s="258"/>
      <c r="AT332" s="256"/>
      <c r="AU332" s="408"/>
      <c r="AV332" s="256"/>
      <c r="AW332" s="408"/>
    </row>
    <row r="333" spans="1:49" ht="14.4" customHeight="1" x14ac:dyDescent="0.3">
      <c r="A333" s="645"/>
      <c r="C333" s="107"/>
      <c r="D333" s="645"/>
      <c r="E333" s="107"/>
      <c r="F333" s="107"/>
      <c r="G333" s="107"/>
      <c r="H333" s="107"/>
      <c r="I333" s="235"/>
      <c r="J333" s="440"/>
      <c r="K333" s="107"/>
      <c r="L333" s="107"/>
      <c r="N333" s="262"/>
      <c r="O333" s="391"/>
      <c r="P333" s="391"/>
      <c r="Q333" s="263"/>
      <c r="R333" s="237"/>
      <c r="S333" s="607"/>
      <c r="T333" s="264"/>
      <c r="U333" s="613"/>
      <c r="W333" s="437"/>
      <c r="AC333" s="258"/>
      <c r="AD333" s="258"/>
      <c r="AE333" s="255"/>
      <c r="AF333" s="258"/>
      <c r="AG333"/>
      <c r="AH333" s="258"/>
      <c r="AK333" s="258"/>
      <c r="AL333"/>
      <c r="AM333" s="258"/>
      <c r="AN333" s="258"/>
      <c r="AO333" s="258"/>
      <c r="AP333"/>
      <c r="AQ333" s="258"/>
      <c r="AR333" s="258"/>
      <c r="AS333" s="258"/>
      <c r="AT333" s="256"/>
      <c r="AU333" s="408"/>
      <c r="AV333" s="256"/>
      <c r="AW333" s="408"/>
    </row>
    <row r="334" spans="1:49" ht="14.4" customHeight="1" x14ac:dyDescent="0.3">
      <c r="A334" s="645"/>
      <c r="C334" s="107"/>
      <c r="D334" s="645"/>
      <c r="E334" s="107"/>
      <c r="F334" s="107"/>
      <c r="G334" s="107"/>
      <c r="H334" s="107"/>
      <c r="I334" s="235"/>
      <c r="J334" s="440"/>
      <c r="K334" s="107"/>
      <c r="L334" s="107"/>
      <c r="N334" s="262"/>
      <c r="O334" s="391"/>
      <c r="P334" s="391"/>
      <c r="Q334" s="263"/>
      <c r="R334" s="237"/>
      <c r="S334" s="607"/>
      <c r="T334" s="264"/>
      <c r="U334" s="613"/>
      <c r="W334" s="437"/>
      <c r="AC334" s="258"/>
      <c r="AD334" s="258"/>
      <c r="AE334" s="255"/>
      <c r="AF334" s="258"/>
      <c r="AG334"/>
      <c r="AH334" s="258"/>
      <c r="AK334" s="258"/>
      <c r="AL334"/>
      <c r="AM334" s="258"/>
      <c r="AN334" s="258"/>
      <c r="AO334" s="258"/>
      <c r="AP334"/>
      <c r="AQ334" s="258"/>
      <c r="AR334" s="258"/>
      <c r="AS334" s="258"/>
      <c r="AT334" s="256"/>
      <c r="AU334" s="408"/>
      <c r="AV334" s="256"/>
      <c r="AW334" s="408"/>
    </row>
    <row r="335" spans="1:49" ht="14.4" customHeight="1" x14ac:dyDescent="0.3">
      <c r="A335" s="645"/>
      <c r="C335" s="107"/>
      <c r="D335" s="645"/>
      <c r="E335" s="107"/>
      <c r="F335" s="107"/>
      <c r="G335" s="107"/>
      <c r="H335" s="107"/>
      <c r="I335" s="235"/>
      <c r="J335" s="440"/>
      <c r="K335" s="107"/>
      <c r="L335" s="107"/>
      <c r="N335" s="262"/>
      <c r="O335" s="391"/>
      <c r="P335" s="391"/>
      <c r="Q335" s="263"/>
      <c r="R335" s="237"/>
      <c r="S335" s="607"/>
      <c r="T335" s="264"/>
      <c r="U335" s="613"/>
      <c r="W335" s="437"/>
      <c r="AC335" s="258"/>
      <c r="AD335" s="258"/>
      <c r="AE335" s="255"/>
      <c r="AF335" s="258"/>
      <c r="AG335"/>
      <c r="AH335" s="258"/>
      <c r="AK335" s="258"/>
      <c r="AL335"/>
      <c r="AM335" s="258"/>
      <c r="AN335" s="258"/>
      <c r="AO335" s="258"/>
      <c r="AP335"/>
      <c r="AQ335" s="258"/>
      <c r="AR335" s="258"/>
      <c r="AS335" s="258"/>
      <c r="AT335" s="256"/>
      <c r="AU335" s="408"/>
      <c r="AV335" s="256"/>
      <c r="AW335" s="408"/>
    </row>
    <row r="336" spans="1:49" ht="14.4" customHeight="1" x14ac:dyDescent="0.3">
      <c r="A336" s="645"/>
      <c r="C336" s="107"/>
      <c r="D336" s="645"/>
      <c r="E336" s="107"/>
      <c r="F336" s="107"/>
      <c r="G336" s="107"/>
      <c r="H336" s="107"/>
      <c r="I336" s="235"/>
      <c r="J336" s="440"/>
      <c r="K336" s="107"/>
      <c r="L336" s="107"/>
      <c r="N336" s="262"/>
      <c r="O336" s="391"/>
      <c r="P336" s="391"/>
      <c r="Q336" s="263"/>
      <c r="R336" s="237"/>
      <c r="S336" s="607"/>
      <c r="T336" s="264"/>
      <c r="U336" s="613"/>
      <c r="W336" s="437"/>
      <c r="AC336" s="258"/>
      <c r="AD336" s="258"/>
      <c r="AE336" s="255"/>
      <c r="AF336" s="258"/>
      <c r="AG336"/>
      <c r="AH336" s="258"/>
      <c r="AK336" s="258"/>
      <c r="AL336"/>
      <c r="AM336" s="258"/>
      <c r="AN336" s="258"/>
      <c r="AO336" s="258"/>
      <c r="AP336"/>
      <c r="AQ336" s="258"/>
      <c r="AR336" s="258"/>
      <c r="AS336" s="258"/>
      <c r="AT336" s="256"/>
      <c r="AU336" s="408"/>
      <c r="AV336" s="256"/>
      <c r="AW336" s="408"/>
    </row>
    <row r="337" spans="1:49" ht="14.4" customHeight="1" x14ac:dyDescent="0.3">
      <c r="A337" s="645"/>
      <c r="C337" s="107"/>
      <c r="D337" s="645"/>
      <c r="E337" s="107"/>
      <c r="F337" s="107"/>
      <c r="G337" s="107"/>
      <c r="H337" s="107"/>
      <c r="I337" s="235"/>
      <c r="J337" s="440"/>
      <c r="K337" s="107"/>
      <c r="L337" s="107"/>
      <c r="N337" s="262"/>
      <c r="O337" s="391"/>
      <c r="P337" s="391"/>
      <c r="Q337" s="263"/>
      <c r="R337" s="237"/>
      <c r="S337" s="607"/>
      <c r="T337" s="264"/>
      <c r="U337" s="613"/>
      <c r="W337" s="437"/>
      <c r="AC337" s="258"/>
      <c r="AD337" s="258"/>
      <c r="AE337" s="255"/>
      <c r="AF337" s="258"/>
      <c r="AG337"/>
      <c r="AH337" s="258"/>
      <c r="AK337" s="258"/>
      <c r="AL337"/>
      <c r="AM337" s="258"/>
      <c r="AN337" s="258"/>
      <c r="AO337" s="258"/>
      <c r="AP337"/>
      <c r="AQ337" s="258"/>
      <c r="AR337" s="258"/>
      <c r="AS337" s="258"/>
      <c r="AT337" s="256"/>
      <c r="AU337" s="408"/>
      <c r="AV337" s="256"/>
      <c r="AW337" s="408"/>
    </row>
    <row r="338" spans="1:49" ht="14.4" customHeight="1" x14ac:dyDescent="0.3">
      <c r="A338" s="645"/>
      <c r="C338" s="107"/>
      <c r="D338" s="645"/>
      <c r="E338" s="107"/>
      <c r="F338" s="107"/>
      <c r="G338" s="107"/>
      <c r="H338" s="107"/>
      <c r="I338" s="235"/>
      <c r="J338" s="440"/>
      <c r="K338" s="107"/>
      <c r="L338" s="107"/>
      <c r="N338" s="262"/>
      <c r="O338" s="391"/>
      <c r="P338" s="391"/>
      <c r="Q338" s="263"/>
      <c r="R338" s="237"/>
      <c r="S338" s="607"/>
      <c r="T338" s="264"/>
      <c r="U338" s="613"/>
      <c r="W338" s="437"/>
      <c r="AC338" s="258"/>
      <c r="AD338" s="258"/>
      <c r="AE338" s="255"/>
      <c r="AF338" s="258"/>
      <c r="AG338"/>
      <c r="AH338" s="258"/>
      <c r="AK338" s="258"/>
      <c r="AL338"/>
      <c r="AM338" s="258"/>
      <c r="AN338" s="258"/>
      <c r="AO338" s="258"/>
      <c r="AP338"/>
      <c r="AQ338" s="258"/>
      <c r="AR338" s="258"/>
      <c r="AS338" s="258"/>
      <c r="AT338" s="256"/>
      <c r="AU338" s="408"/>
      <c r="AV338" s="256"/>
      <c r="AW338" s="408"/>
    </row>
    <row r="339" spans="1:49" ht="14.4" customHeight="1" x14ac:dyDescent="0.3">
      <c r="A339" s="645"/>
      <c r="C339" s="107"/>
      <c r="D339" s="645"/>
      <c r="E339" s="107"/>
      <c r="F339" s="107"/>
      <c r="G339" s="107"/>
      <c r="H339" s="107"/>
      <c r="I339" s="235"/>
      <c r="J339" s="440"/>
      <c r="K339" s="107"/>
      <c r="L339" s="107"/>
      <c r="N339" s="262"/>
      <c r="O339" s="391"/>
      <c r="P339" s="391"/>
      <c r="Q339" s="263"/>
      <c r="R339" s="237"/>
      <c r="S339" s="607"/>
      <c r="T339" s="264"/>
      <c r="U339" s="613"/>
      <c r="W339" s="437"/>
      <c r="AC339" s="258"/>
      <c r="AD339" s="258"/>
      <c r="AE339" s="255"/>
      <c r="AF339" s="258"/>
      <c r="AG339"/>
      <c r="AH339" s="258"/>
      <c r="AK339" s="258"/>
      <c r="AL339"/>
      <c r="AM339" s="258"/>
      <c r="AN339" s="258"/>
      <c r="AO339" s="258"/>
      <c r="AP339"/>
      <c r="AQ339" s="258"/>
      <c r="AR339" s="258"/>
      <c r="AS339" s="258"/>
      <c r="AT339" s="256"/>
      <c r="AU339" s="408"/>
      <c r="AV339" s="256"/>
      <c r="AW339" s="408"/>
    </row>
    <row r="340" spans="1:49" ht="14.4" customHeight="1" x14ac:dyDescent="0.3">
      <c r="A340" s="645"/>
      <c r="C340" s="107"/>
      <c r="D340" s="645"/>
      <c r="E340" s="107"/>
      <c r="F340" s="107"/>
      <c r="G340" s="107"/>
      <c r="H340" s="107"/>
      <c r="I340" s="235"/>
      <c r="J340" s="440"/>
      <c r="K340" s="107"/>
      <c r="L340" s="107"/>
      <c r="N340" s="262"/>
      <c r="O340" s="391"/>
      <c r="P340" s="391"/>
      <c r="Q340" s="263"/>
      <c r="R340" s="237"/>
      <c r="S340" s="607"/>
      <c r="T340" s="264"/>
      <c r="U340" s="613"/>
      <c r="W340" s="437"/>
      <c r="AC340" s="258"/>
      <c r="AD340" s="258"/>
      <c r="AE340" s="255"/>
      <c r="AF340" s="258"/>
      <c r="AG340"/>
      <c r="AH340" s="258"/>
      <c r="AK340" s="258"/>
      <c r="AL340"/>
      <c r="AM340" s="258"/>
      <c r="AN340" s="258"/>
      <c r="AO340" s="258"/>
      <c r="AP340"/>
      <c r="AQ340" s="258"/>
      <c r="AR340" s="258"/>
      <c r="AS340" s="258"/>
      <c r="AT340" s="256"/>
      <c r="AU340" s="408"/>
      <c r="AV340" s="256"/>
      <c r="AW340" s="408"/>
    </row>
    <row r="341" spans="1:49" ht="14.4" customHeight="1" x14ac:dyDescent="0.3">
      <c r="A341" s="645"/>
      <c r="C341" s="107"/>
      <c r="D341" s="645"/>
      <c r="E341" s="107"/>
      <c r="F341" s="107"/>
      <c r="G341" s="107"/>
      <c r="H341" s="107"/>
      <c r="I341" s="235"/>
      <c r="J341" s="440"/>
      <c r="K341" s="107"/>
      <c r="L341" s="107"/>
      <c r="N341" s="262"/>
      <c r="O341" s="391"/>
      <c r="P341" s="391"/>
      <c r="Q341" s="263"/>
      <c r="R341" s="237"/>
      <c r="S341" s="607"/>
      <c r="T341" s="264"/>
      <c r="U341" s="613"/>
      <c r="W341" s="437"/>
      <c r="AC341" s="258"/>
      <c r="AD341" s="258"/>
      <c r="AE341" s="255"/>
      <c r="AF341" s="258"/>
      <c r="AG341"/>
      <c r="AH341" s="258"/>
      <c r="AK341" s="258"/>
      <c r="AL341"/>
      <c r="AM341" s="258"/>
      <c r="AN341" s="258"/>
      <c r="AO341" s="258"/>
      <c r="AP341"/>
      <c r="AQ341" s="258"/>
      <c r="AR341" s="258"/>
      <c r="AS341" s="258"/>
      <c r="AT341" s="256"/>
      <c r="AU341" s="408"/>
      <c r="AV341" s="256"/>
      <c r="AW341" s="408"/>
    </row>
    <row r="342" spans="1:49" ht="14.4" customHeight="1" x14ac:dyDescent="0.3">
      <c r="A342" s="645"/>
      <c r="C342" s="107"/>
      <c r="D342" s="645"/>
      <c r="E342" s="107"/>
      <c r="F342" s="107"/>
      <c r="G342" s="107"/>
      <c r="H342" s="107"/>
      <c r="I342" s="235"/>
      <c r="J342" s="440"/>
      <c r="K342" s="107"/>
      <c r="L342" s="107"/>
      <c r="N342" s="262"/>
      <c r="O342" s="391"/>
      <c r="P342" s="391"/>
      <c r="Q342" s="263"/>
      <c r="R342" s="237"/>
      <c r="S342" s="607"/>
      <c r="T342" s="264"/>
      <c r="U342" s="613"/>
      <c r="W342" s="437"/>
      <c r="AC342" s="258"/>
      <c r="AD342" s="258"/>
      <c r="AE342" s="255"/>
      <c r="AF342" s="258"/>
      <c r="AG342"/>
      <c r="AH342" s="258"/>
      <c r="AK342" s="258"/>
      <c r="AL342"/>
      <c r="AM342" s="258"/>
      <c r="AN342" s="258"/>
      <c r="AO342" s="258"/>
      <c r="AP342"/>
      <c r="AQ342" s="258"/>
      <c r="AR342" s="258"/>
      <c r="AS342" s="258"/>
      <c r="AT342" s="256"/>
      <c r="AU342" s="408"/>
      <c r="AV342" s="256"/>
      <c r="AW342" s="408"/>
    </row>
    <row r="343" spans="1:49" ht="14.4" customHeight="1" x14ac:dyDescent="0.3">
      <c r="A343" s="645"/>
      <c r="C343" s="107"/>
      <c r="D343" s="645"/>
      <c r="E343" s="107"/>
      <c r="F343" s="107"/>
      <c r="G343" s="107"/>
      <c r="H343" s="107"/>
      <c r="I343" s="235"/>
      <c r="J343" s="440"/>
      <c r="K343" s="107"/>
      <c r="L343" s="107"/>
      <c r="N343" s="262"/>
      <c r="O343" s="391"/>
      <c r="P343" s="391"/>
      <c r="Q343" s="263"/>
      <c r="R343" s="237"/>
      <c r="S343" s="607"/>
      <c r="T343" s="264"/>
      <c r="U343" s="613"/>
      <c r="W343" s="437"/>
      <c r="AC343" s="258"/>
      <c r="AD343" s="258"/>
      <c r="AE343" s="255"/>
      <c r="AF343" s="258"/>
      <c r="AG343"/>
      <c r="AH343" s="258"/>
      <c r="AK343" s="258"/>
      <c r="AL343"/>
      <c r="AM343" s="258"/>
      <c r="AN343" s="258"/>
      <c r="AO343" s="258"/>
      <c r="AP343"/>
      <c r="AQ343" s="258"/>
      <c r="AR343" s="258"/>
      <c r="AS343" s="258"/>
      <c r="AT343" s="256"/>
      <c r="AU343" s="408"/>
      <c r="AV343" s="256"/>
      <c r="AW343" s="408"/>
    </row>
    <row r="344" spans="1:49" ht="14.4" customHeight="1" x14ac:dyDescent="0.3">
      <c r="A344" s="645"/>
      <c r="C344" s="107"/>
      <c r="D344" s="645"/>
      <c r="E344" s="107"/>
      <c r="F344" s="107"/>
      <c r="G344" s="107"/>
      <c r="H344" s="107"/>
      <c r="I344" s="235"/>
      <c r="J344" s="440"/>
      <c r="K344" s="107"/>
      <c r="L344" s="107"/>
      <c r="N344" s="262"/>
      <c r="O344" s="391"/>
      <c r="P344" s="391"/>
      <c r="Q344" s="263"/>
      <c r="R344" s="237"/>
      <c r="S344" s="607"/>
      <c r="T344" s="264"/>
      <c r="U344" s="613"/>
      <c r="W344" s="437"/>
      <c r="AC344" s="258"/>
      <c r="AD344" s="258"/>
      <c r="AE344" s="255"/>
      <c r="AF344" s="258"/>
      <c r="AG344"/>
      <c r="AH344" s="258"/>
      <c r="AK344" s="258"/>
      <c r="AL344"/>
      <c r="AM344" s="258"/>
      <c r="AN344" s="258"/>
      <c r="AO344" s="258"/>
      <c r="AP344"/>
      <c r="AQ344" s="258"/>
      <c r="AR344" s="258"/>
      <c r="AS344" s="258"/>
      <c r="AT344" s="256"/>
      <c r="AU344" s="408"/>
      <c r="AV344" s="256"/>
      <c r="AW344" s="408"/>
    </row>
    <row r="345" spans="1:49" ht="14.4" customHeight="1" x14ac:dyDescent="0.3">
      <c r="A345" s="645"/>
      <c r="C345" s="107"/>
      <c r="D345" s="645"/>
      <c r="E345" s="107"/>
      <c r="F345" s="107"/>
      <c r="G345" s="107"/>
      <c r="H345" s="107"/>
      <c r="I345" s="235"/>
      <c r="J345" s="440"/>
      <c r="K345" s="107"/>
      <c r="L345" s="107"/>
      <c r="N345" s="262"/>
      <c r="O345" s="391"/>
      <c r="P345" s="391"/>
      <c r="Q345" s="263"/>
      <c r="R345" s="237"/>
      <c r="S345" s="607"/>
      <c r="T345" s="264"/>
      <c r="U345" s="613"/>
      <c r="W345" s="437"/>
      <c r="AC345" s="258"/>
      <c r="AD345" s="258"/>
      <c r="AE345" s="255"/>
      <c r="AF345" s="258"/>
      <c r="AG345"/>
      <c r="AH345" s="258"/>
      <c r="AK345" s="258"/>
      <c r="AL345"/>
      <c r="AM345" s="258"/>
      <c r="AN345" s="258"/>
      <c r="AO345" s="258"/>
      <c r="AP345"/>
      <c r="AQ345" s="258"/>
      <c r="AR345" s="258"/>
      <c r="AS345" s="258"/>
      <c r="AT345" s="256"/>
      <c r="AU345" s="408"/>
      <c r="AV345" s="256"/>
      <c r="AW345" s="408"/>
    </row>
    <row r="346" spans="1:49" ht="14.4" customHeight="1" x14ac:dyDescent="0.3">
      <c r="A346" s="645"/>
      <c r="C346" s="107"/>
      <c r="D346" s="645"/>
      <c r="E346" s="107"/>
      <c r="F346" s="107"/>
      <c r="G346" s="107"/>
      <c r="H346" s="107"/>
      <c r="I346" s="235"/>
      <c r="J346" s="440"/>
      <c r="K346" s="107"/>
      <c r="L346" s="107"/>
      <c r="N346" s="262"/>
      <c r="O346" s="391"/>
      <c r="P346" s="391"/>
      <c r="Q346" s="263"/>
      <c r="R346" s="237"/>
      <c r="S346" s="607"/>
      <c r="T346" s="264"/>
      <c r="U346" s="613"/>
      <c r="W346" s="437"/>
      <c r="AC346" s="258"/>
      <c r="AD346" s="258"/>
      <c r="AE346" s="255"/>
      <c r="AF346" s="258"/>
      <c r="AG346"/>
      <c r="AH346" s="258"/>
      <c r="AK346" s="258"/>
      <c r="AL346"/>
      <c r="AM346" s="258"/>
      <c r="AN346" s="258"/>
      <c r="AO346" s="258"/>
      <c r="AP346"/>
      <c r="AQ346" s="258"/>
      <c r="AR346" s="258"/>
      <c r="AS346" s="258"/>
      <c r="AT346" s="256"/>
      <c r="AU346" s="408"/>
      <c r="AV346" s="256"/>
      <c r="AW346" s="408"/>
    </row>
    <row r="347" spans="1:49" ht="14.4" customHeight="1" x14ac:dyDescent="0.3">
      <c r="A347" s="645"/>
      <c r="C347" s="107"/>
      <c r="D347" s="645"/>
      <c r="E347" s="107"/>
      <c r="F347" s="107"/>
      <c r="G347" s="107"/>
      <c r="H347" s="107"/>
      <c r="I347" s="235"/>
      <c r="J347" s="440"/>
      <c r="K347" s="107"/>
      <c r="L347" s="107"/>
      <c r="N347" s="262"/>
      <c r="O347" s="391"/>
      <c r="P347" s="391"/>
      <c r="Q347" s="263"/>
      <c r="R347" s="237"/>
      <c r="S347" s="607"/>
      <c r="T347" s="264"/>
      <c r="U347" s="613"/>
      <c r="W347" s="437"/>
      <c r="AC347" s="258"/>
      <c r="AD347" s="258"/>
      <c r="AE347" s="255"/>
      <c r="AF347" s="258"/>
      <c r="AG347"/>
      <c r="AH347" s="258"/>
      <c r="AK347" s="258"/>
      <c r="AL347"/>
      <c r="AM347" s="258"/>
      <c r="AN347" s="258"/>
      <c r="AO347" s="258"/>
      <c r="AP347"/>
      <c r="AQ347" s="258"/>
      <c r="AR347" s="258"/>
      <c r="AS347" s="258"/>
      <c r="AT347" s="256"/>
      <c r="AU347" s="408"/>
      <c r="AV347" s="256"/>
      <c r="AW347" s="408"/>
    </row>
    <row r="348" spans="1:49" ht="14.4" customHeight="1" x14ac:dyDescent="0.3">
      <c r="A348" s="645"/>
      <c r="C348" s="107"/>
      <c r="D348" s="645"/>
      <c r="E348" s="107"/>
      <c r="F348" s="107"/>
      <c r="G348" s="107"/>
      <c r="H348" s="107"/>
      <c r="I348" s="235"/>
      <c r="J348" s="440"/>
      <c r="K348" s="107"/>
      <c r="L348" s="107"/>
      <c r="N348" s="262"/>
      <c r="O348" s="391"/>
      <c r="P348" s="391"/>
      <c r="Q348" s="263"/>
      <c r="R348" s="237"/>
      <c r="S348" s="607"/>
      <c r="T348" s="264"/>
      <c r="U348" s="613"/>
      <c r="W348" s="437"/>
      <c r="AC348" s="258"/>
      <c r="AD348" s="258"/>
      <c r="AE348" s="255"/>
      <c r="AF348" s="258"/>
      <c r="AG348"/>
      <c r="AH348" s="258"/>
      <c r="AK348" s="258"/>
      <c r="AL348"/>
      <c r="AM348" s="258"/>
      <c r="AN348" s="258"/>
      <c r="AO348" s="258"/>
      <c r="AP348"/>
      <c r="AQ348" s="258"/>
      <c r="AR348" s="258"/>
      <c r="AS348" s="258"/>
      <c r="AT348" s="256"/>
      <c r="AU348" s="408"/>
      <c r="AV348" s="256"/>
      <c r="AW348" s="408"/>
    </row>
    <row r="349" spans="1:49" ht="14.4" customHeight="1" x14ac:dyDescent="0.3">
      <c r="A349" s="645"/>
      <c r="C349" s="107"/>
      <c r="D349" s="645"/>
      <c r="E349" s="107"/>
      <c r="F349" s="107"/>
      <c r="G349" s="107"/>
      <c r="H349" s="107"/>
      <c r="I349" s="235"/>
      <c r="J349" s="440"/>
      <c r="K349" s="107"/>
      <c r="L349" s="107"/>
      <c r="N349" s="262"/>
      <c r="O349" s="391"/>
      <c r="P349" s="391"/>
      <c r="Q349" s="263"/>
      <c r="R349" s="237"/>
      <c r="S349" s="607"/>
      <c r="T349" s="264"/>
      <c r="U349" s="613"/>
      <c r="W349" s="437"/>
      <c r="AC349" s="258"/>
      <c r="AD349" s="258"/>
      <c r="AE349" s="255"/>
      <c r="AF349" s="258"/>
      <c r="AG349"/>
      <c r="AH349" s="258"/>
      <c r="AK349" s="258"/>
      <c r="AL349"/>
      <c r="AM349" s="258"/>
      <c r="AN349" s="258"/>
      <c r="AO349" s="258"/>
      <c r="AP349"/>
      <c r="AQ349" s="258"/>
      <c r="AR349" s="258"/>
      <c r="AS349" s="258"/>
      <c r="AT349" s="256"/>
      <c r="AU349" s="408"/>
      <c r="AV349" s="256"/>
      <c r="AW349" s="408"/>
    </row>
    <row r="350" spans="1:49" ht="14.4" customHeight="1" x14ac:dyDescent="0.3">
      <c r="A350" s="645"/>
      <c r="C350" s="107"/>
      <c r="D350" s="645"/>
      <c r="E350" s="107"/>
      <c r="F350" s="107"/>
      <c r="G350" s="107"/>
      <c r="H350" s="107"/>
      <c r="I350" s="235"/>
      <c r="J350" s="440"/>
      <c r="K350" s="107"/>
      <c r="L350" s="107"/>
      <c r="N350" s="262"/>
      <c r="O350" s="391"/>
      <c r="P350" s="391"/>
      <c r="Q350" s="263"/>
      <c r="R350" s="237"/>
      <c r="S350" s="607"/>
      <c r="T350" s="264"/>
      <c r="U350" s="613"/>
      <c r="W350" s="437"/>
      <c r="AC350" s="258"/>
      <c r="AD350" s="258"/>
      <c r="AE350" s="255"/>
      <c r="AF350" s="258"/>
      <c r="AG350"/>
      <c r="AH350" s="258"/>
      <c r="AK350" s="258"/>
      <c r="AL350"/>
      <c r="AM350" s="258"/>
      <c r="AN350" s="258"/>
      <c r="AO350" s="258"/>
      <c r="AP350"/>
      <c r="AQ350" s="258"/>
      <c r="AR350" s="258"/>
      <c r="AS350" s="258"/>
      <c r="AT350" s="256"/>
      <c r="AU350" s="408"/>
      <c r="AV350" s="256"/>
      <c r="AW350" s="408"/>
    </row>
    <row r="351" spans="1:49" ht="14.4" customHeight="1" x14ac:dyDescent="0.3">
      <c r="A351" s="645"/>
      <c r="C351" s="107"/>
      <c r="D351" s="645"/>
      <c r="E351" s="107"/>
      <c r="F351" s="107"/>
      <c r="G351" s="107"/>
      <c r="H351" s="107"/>
      <c r="I351" s="235"/>
      <c r="J351" s="440"/>
      <c r="K351" s="107"/>
      <c r="L351" s="107"/>
      <c r="N351" s="262"/>
      <c r="O351" s="391"/>
      <c r="P351" s="391"/>
      <c r="Q351" s="263"/>
      <c r="R351" s="237"/>
      <c r="S351" s="607"/>
      <c r="T351" s="264"/>
      <c r="U351" s="253"/>
      <c r="W351" s="437"/>
      <c r="AC351" s="258"/>
      <c r="AD351" s="258"/>
      <c r="AE351" s="255"/>
      <c r="AF351" s="258"/>
      <c r="AG351"/>
      <c r="AH351" s="258"/>
      <c r="AK351" s="258"/>
      <c r="AL351"/>
      <c r="AM351" s="258"/>
      <c r="AN351" s="258"/>
      <c r="AO351" s="258"/>
      <c r="AP351"/>
      <c r="AQ351" s="258"/>
      <c r="AR351" s="258"/>
      <c r="AS351" s="258"/>
      <c r="AT351" s="256"/>
      <c r="AU351" s="408"/>
      <c r="AV351" s="256"/>
      <c r="AW351" s="408"/>
    </row>
    <row r="352" spans="1:49" ht="14.4" customHeight="1" x14ac:dyDescent="0.3">
      <c r="A352" s="645"/>
      <c r="C352" s="107"/>
      <c r="D352" s="645"/>
      <c r="E352" s="107"/>
      <c r="F352" s="107"/>
      <c r="G352" s="107"/>
      <c r="H352" s="107"/>
      <c r="I352" s="235"/>
      <c r="J352" s="440"/>
      <c r="K352" s="107"/>
      <c r="L352" s="107"/>
      <c r="N352" s="262"/>
      <c r="O352" s="391"/>
      <c r="P352" s="391"/>
      <c r="Q352" s="263"/>
      <c r="R352" s="237"/>
      <c r="S352" s="607"/>
      <c r="T352" s="264"/>
      <c r="U352" s="253"/>
      <c r="W352" s="437"/>
      <c r="AC352" s="258"/>
      <c r="AD352" s="258"/>
      <c r="AE352" s="255"/>
      <c r="AF352" s="258"/>
      <c r="AG352"/>
      <c r="AH352" s="258"/>
      <c r="AK352" s="258"/>
      <c r="AL352"/>
      <c r="AM352" s="258"/>
      <c r="AN352" s="258"/>
      <c r="AO352" s="258"/>
      <c r="AP352"/>
      <c r="AQ352" s="258"/>
      <c r="AR352" s="258"/>
      <c r="AS352" s="258"/>
      <c r="AT352" s="256"/>
      <c r="AU352" s="408"/>
      <c r="AV352" s="256"/>
      <c r="AW352" s="408"/>
    </row>
    <row r="353" spans="1:49" ht="14.4" customHeight="1" x14ac:dyDescent="0.3">
      <c r="A353" s="645"/>
      <c r="C353" s="107"/>
      <c r="D353" s="645"/>
      <c r="E353" s="107"/>
      <c r="F353" s="107"/>
      <c r="G353" s="107"/>
      <c r="H353" s="107"/>
      <c r="I353" s="235"/>
      <c r="J353" s="440"/>
      <c r="K353" s="107"/>
      <c r="L353" s="107"/>
      <c r="N353" s="262"/>
      <c r="O353" s="391"/>
      <c r="P353" s="391"/>
      <c r="S353" s="607"/>
      <c r="W353" s="437"/>
      <c r="AC353" s="258"/>
      <c r="AD353" s="258"/>
      <c r="AE353" s="255"/>
      <c r="AF353" s="258"/>
      <c r="AG353"/>
      <c r="AH353" s="258"/>
      <c r="AK353" s="258"/>
      <c r="AL353"/>
      <c r="AM353" s="258"/>
      <c r="AN353" s="258"/>
      <c r="AO353" s="258"/>
      <c r="AP353"/>
      <c r="AQ353" s="258"/>
      <c r="AR353" s="258"/>
      <c r="AS353" s="258"/>
      <c r="AT353" s="256"/>
      <c r="AU353" s="408"/>
      <c r="AV353" s="256"/>
      <c r="AW353" s="408"/>
    </row>
    <row r="354" spans="1:49" ht="14.4" customHeight="1" x14ac:dyDescent="0.3">
      <c r="A354" s="645"/>
      <c r="C354" s="107"/>
      <c r="D354" s="645"/>
      <c r="E354" s="107"/>
      <c r="F354" s="107"/>
      <c r="G354" s="107"/>
      <c r="H354" s="107"/>
      <c r="I354" s="235"/>
      <c r="J354" s="440"/>
      <c r="K354" s="107"/>
      <c r="L354" s="107"/>
      <c r="N354" s="262"/>
      <c r="O354" s="391"/>
      <c r="P354" s="391"/>
      <c r="S354" s="607"/>
      <c r="W354" s="437"/>
      <c r="AC354" s="258"/>
      <c r="AD354" s="258"/>
      <c r="AE354" s="255"/>
      <c r="AF354" s="258"/>
      <c r="AG354"/>
      <c r="AH354" s="258"/>
      <c r="AK354" s="258"/>
      <c r="AL354"/>
      <c r="AM354" s="258"/>
      <c r="AN354" s="258"/>
      <c r="AO354" s="258"/>
      <c r="AP354"/>
      <c r="AQ354" s="258"/>
      <c r="AR354" s="258"/>
      <c r="AS354" s="258"/>
      <c r="AT354" s="256"/>
      <c r="AU354" s="408"/>
      <c r="AV354" s="256"/>
      <c r="AW354" s="408"/>
    </row>
    <row r="355" spans="1:49" ht="14.4" customHeight="1" x14ac:dyDescent="0.3">
      <c r="A355" s="645"/>
      <c r="C355" s="107"/>
      <c r="D355" s="645"/>
      <c r="E355" s="107"/>
      <c r="F355" s="107"/>
      <c r="G355" s="107"/>
      <c r="H355" s="107"/>
      <c r="I355" s="235"/>
      <c r="J355" s="440"/>
      <c r="K355" s="107"/>
      <c r="L355" s="107"/>
      <c r="N355" s="262"/>
      <c r="O355" s="391"/>
      <c r="P355" s="391"/>
      <c r="S355" s="607"/>
      <c r="W355" s="437"/>
      <c r="AC355" s="258"/>
      <c r="AD355" s="258"/>
      <c r="AE355" s="255"/>
      <c r="AF355" s="258"/>
      <c r="AG355"/>
      <c r="AH355" s="258"/>
      <c r="AK355" s="258"/>
      <c r="AL355"/>
      <c r="AM355" s="258"/>
      <c r="AN355" s="258"/>
      <c r="AO355" s="258"/>
      <c r="AP355"/>
      <c r="AQ355" s="258"/>
      <c r="AR355" s="258"/>
      <c r="AS355" s="258"/>
      <c r="AT355" s="256"/>
      <c r="AU355" s="408"/>
      <c r="AV355" s="256"/>
      <c r="AW355" s="408"/>
    </row>
    <row r="356" spans="1:49" ht="14.4" customHeight="1" x14ac:dyDescent="0.3">
      <c r="A356" s="645"/>
      <c r="C356" s="107"/>
      <c r="D356" s="645"/>
      <c r="E356" s="107"/>
      <c r="F356" s="107"/>
      <c r="G356" s="107"/>
      <c r="H356" s="107"/>
      <c r="I356" s="235"/>
      <c r="J356" s="440"/>
      <c r="K356" s="107"/>
      <c r="L356" s="107"/>
      <c r="N356" s="262"/>
      <c r="O356" s="391"/>
      <c r="P356" s="391"/>
      <c r="S356" s="607"/>
      <c r="W356" s="437"/>
      <c r="AC356" s="258"/>
      <c r="AD356" s="258"/>
      <c r="AE356" s="255"/>
      <c r="AF356" s="258"/>
      <c r="AG356"/>
      <c r="AH356" s="258"/>
      <c r="AK356" s="258"/>
      <c r="AL356"/>
      <c r="AM356" s="258"/>
      <c r="AN356" s="258"/>
      <c r="AO356" s="258"/>
      <c r="AP356"/>
      <c r="AQ356" s="258"/>
      <c r="AR356" s="258"/>
      <c r="AS356" s="258"/>
      <c r="AT356" s="256"/>
      <c r="AU356" s="408"/>
      <c r="AV356" s="256"/>
      <c r="AW356" s="408"/>
    </row>
    <row r="357" spans="1:49" ht="14.4" customHeight="1" x14ac:dyDescent="0.3">
      <c r="A357" s="645"/>
      <c r="C357" s="107"/>
      <c r="D357" s="645"/>
      <c r="E357" s="107"/>
      <c r="F357" s="107"/>
      <c r="G357" s="107"/>
      <c r="H357" s="107"/>
      <c r="I357" s="235"/>
      <c r="J357" s="440"/>
      <c r="K357" s="107"/>
      <c r="L357" s="107"/>
      <c r="N357" s="262"/>
      <c r="O357" s="391"/>
      <c r="P357" s="391"/>
      <c r="S357" s="607"/>
      <c r="W357" s="437"/>
      <c r="AC357" s="258"/>
      <c r="AD357" s="258"/>
      <c r="AE357" s="255"/>
      <c r="AF357" s="258"/>
      <c r="AG357"/>
      <c r="AH357" s="258"/>
      <c r="AK357" s="258"/>
      <c r="AL357"/>
      <c r="AM357" s="258"/>
      <c r="AN357" s="258"/>
      <c r="AO357" s="258"/>
      <c r="AP357"/>
      <c r="AQ357" s="258"/>
      <c r="AR357" s="258"/>
      <c r="AS357" s="258"/>
      <c r="AT357" s="256"/>
      <c r="AU357" s="408"/>
      <c r="AV357" s="256"/>
      <c r="AW357" s="408"/>
    </row>
    <row r="358" spans="1:49" ht="14.4" customHeight="1" x14ac:dyDescent="0.3">
      <c r="A358" s="645"/>
      <c r="C358" s="107"/>
      <c r="D358" s="645"/>
      <c r="E358" s="107"/>
      <c r="F358" s="107"/>
      <c r="G358" s="107"/>
      <c r="H358" s="107"/>
      <c r="I358" s="235"/>
      <c r="J358" s="440"/>
      <c r="K358" s="107"/>
      <c r="L358" s="107"/>
      <c r="N358" s="262"/>
      <c r="O358" s="391"/>
      <c r="P358" s="391"/>
      <c r="S358" s="607"/>
      <c r="W358" s="437"/>
      <c r="AC358" s="258"/>
      <c r="AD358" s="258"/>
      <c r="AE358" s="255"/>
      <c r="AF358" s="258"/>
      <c r="AG358"/>
      <c r="AH358" s="258"/>
      <c r="AK358" s="258"/>
      <c r="AL358"/>
      <c r="AM358" s="258"/>
      <c r="AN358" s="258"/>
      <c r="AO358" s="258"/>
      <c r="AP358"/>
      <c r="AQ358" s="258"/>
      <c r="AR358" s="258"/>
      <c r="AS358" s="258"/>
      <c r="AT358" s="256"/>
      <c r="AU358" s="408"/>
      <c r="AV358" s="256"/>
      <c r="AW358" s="408"/>
    </row>
    <row r="359" spans="1:49" ht="14.4" customHeight="1" x14ac:dyDescent="0.3">
      <c r="A359" s="645"/>
      <c r="C359" s="107"/>
      <c r="D359" s="645"/>
      <c r="E359" s="107"/>
      <c r="F359" s="107"/>
      <c r="G359" s="107"/>
      <c r="H359" s="107"/>
      <c r="I359" s="235"/>
      <c r="J359" s="440"/>
      <c r="K359" s="107"/>
      <c r="L359" s="107"/>
      <c r="N359" s="262"/>
      <c r="O359" s="391"/>
      <c r="P359" s="391"/>
      <c r="S359" s="607"/>
      <c r="W359" s="437"/>
      <c r="AC359" s="258"/>
      <c r="AD359" s="258"/>
      <c r="AE359" s="255"/>
      <c r="AF359" s="258"/>
      <c r="AG359"/>
      <c r="AH359" s="258"/>
      <c r="AK359" s="258"/>
      <c r="AL359"/>
      <c r="AM359" s="258"/>
      <c r="AN359" s="258"/>
      <c r="AO359" s="258"/>
      <c r="AP359"/>
      <c r="AQ359" s="258"/>
      <c r="AR359" s="258"/>
      <c r="AS359" s="258"/>
      <c r="AT359" s="256"/>
      <c r="AU359" s="408"/>
      <c r="AV359" s="256"/>
      <c r="AW359" s="408"/>
    </row>
    <row r="360" spans="1:49" ht="14.4" customHeight="1" x14ac:dyDescent="0.3">
      <c r="A360" s="645"/>
      <c r="C360" s="107"/>
      <c r="D360" s="645"/>
      <c r="E360" s="107"/>
      <c r="F360" s="107"/>
      <c r="G360" s="107"/>
      <c r="H360" s="107"/>
      <c r="I360" s="235"/>
      <c r="J360" s="440"/>
      <c r="K360" s="107"/>
      <c r="L360" s="107"/>
      <c r="N360" s="262"/>
      <c r="O360" s="391"/>
      <c r="P360" s="391"/>
      <c r="S360" s="607"/>
      <c r="W360" s="437"/>
      <c r="AC360" s="258"/>
      <c r="AD360" s="258"/>
      <c r="AE360" s="255"/>
      <c r="AF360" s="258"/>
      <c r="AG360"/>
      <c r="AH360" s="258"/>
      <c r="AK360" s="258"/>
      <c r="AL360"/>
      <c r="AM360" s="258"/>
      <c r="AN360" s="258"/>
      <c r="AO360" s="258"/>
      <c r="AP360"/>
      <c r="AQ360" s="258"/>
      <c r="AR360" s="258"/>
      <c r="AS360" s="258"/>
      <c r="AT360" s="256"/>
      <c r="AU360" s="408"/>
      <c r="AV360" s="256"/>
      <c r="AW360" s="408"/>
    </row>
    <row r="361" spans="1:49" ht="14.4" customHeight="1" x14ac:dyDescent="0.3">
      <c r="A361" s="645"/>
      <c r="C361" s="107"/>
      <c r="D361" s="645"/>
      <c r="E361" s="107"/>
      <c r="F361" s="107"/>
      <c r="G361" s="107"/>
      <c r="H361" s="107"/>
      <c r="I361" s="235"/>
      <c r="J361" s="440"/>
      <c r="K361" s="107"/>
      <c r="L361" s="107"/>
      <c r="S361" s="607"/>
      <c r="W361" s="437"/>
      <c r="AC361" s="258"/>
      <c r="AD361" s="258"/>
      <c r="AE361" s="255"/>
      <c r="AF361" s="258"/>
      <c r="AG361"/>
      <c r="AH361" s="258"/>
      <c r="AK361" s="258"/>
      <c r="AL361"/>
      <c r="AM361" s="258"/>
      <c r="AN361" s="258"/>
      <c r="AO361" s="258"/>
      <c r="AP361"/>
      <c r="AQ361" s="258"/>
      <c r="AR361" s="258"/>
      <c r="AS361" s="258"/>
      <c r="AT361" s="256"/>
      <c r="AU361" s="408"/>
      <c r="AV361" s="256"/>
      <c r="AW361" s="408"/>
    </row>
    <row r="362" spans="1:49" ht="14.4" customHeight="1" x14ac:dyDescent="0.3">
      <c r="A362" s="645"/>
      <c r="C362" s="107"/>
      <c r="D362" s="645"/>
      <c r="E362" s="107"/>
      <c r="F362" s="107"/>
      <c r="G362" s="107"/>
      <c r="H362" s="107"/>
      <c r="I362" s="235"/>
      <c r="J362" s="440"/>
      <c r="K362" s="107"/>
      <c r="L362" s="107"/>
      <c r="S362" s="607"/>
      <c r="W362" s="437"/>
      <c r="AC362" s="258"/>
      <c r="AD362" s="258"/>
      <c r="AE362" s="255"/>
      <c r="AF362" s="258"/>
      <c r="AG362"/>
      <c r="AH362" s="258"/>
      <c r="AK362" s="258"/>
      <c r="AL362"/>
      <c r="AM362" s="258"/>
      <c r="AN362" s="258"/>
      <c r="AO362" s="258"/>
      <c r="AP362"/>
      <c r="AQ362" s="258"/>
      <c r="AR362" s="258"/>
      <c r="AS362" s="258"/>
      <c r="AT362" s="256"/>
      <c r="AU362" s="408"/>
      <c r="AV362" s="256"/>
      <c r="AW362" s="408"/>
    </row>
    <row r="363" spans="1:49" ht="14.4" customHeight="1" x14ac:dyDescent="0.3">
      <c r="A363" s="645"/>
      <c r="C363" s="107"/>
      <c r="D363" s="645"/>
      <c r="E363" s="107"/>
      <c r="F363" s="107"/>
      <c r="G363" s="107"/>
      <c r="H363" s="107"/>
      <c r="I363" s="235"/>
      <c r="J363" s="440"/>
      <c r="K363" s="107"/>
      <c r="L363" s="107"/>
      <c r="S363" s="607"/>
      <c r="W363" s="437"/>
      <c r="AC363" s="258"/>
      <c r="AD363" s="258"/>
      <c r="AE363" s="255"/>
      <c r="AF363" s="258"/>
      <c r="AG363"/>
      <c r="AH363" s="258"/>
      <c r="AK363" s="258"/>
      <c r="AL363"/>
      <c r="AM363" s="258"/>
      <c r="AN363" s="258"/>
      <c r="AO363" s="258"/>
      <c r="AP363"/>
      <c r="AQ363" s="258"/>
      <c r="AR363" s="258"/>
      <c r="AS363" s="258"/>
      <c r="AT363" s="256"/>
      <c r="AU363" s="408"/>
      <c r="AV363" s="256"/>
      <c r="AW363" s="408"/>
    </row>
    <row r="364" spans="1:49" ht="14.4" customHeight="1" x14ac:dyDescent="0.3">
      <c r="A364" s="645"/>
      <c r="C364" s="107"/>
      <c r="D364" s="645"/>
      <c r="E364" s="107"/>
      <c r="F364" s="107"/>
      <c r="G364" s="107"/>
      <c r="H364" s="107"/>
      <c r="I364" s="235"/>
      <c r="J364" s="440"/>
      <c r="K364" s="107"/>
      <c r="L364" s="107"/>
      <c r="S364" s="607"/>
      <c r="W364" s="437"/>
      <c r="AC364" s="258"/>
      <c r="AD364" s="258"/>
      <c r="AE364" s="255"/>
      <c r="AF364" s="258"/>
      <c r="AG364"/>
      <c r="AH364" s="258"/>
      <c r="AK364" s="258"/>
      <c r="AL364"/>
      <c r="AM364" s="258"/>
      <c r="AN364" s="258"/>
      <c r="AO364" s="258"/>
      <c r="AP364"/>
      <c r="AQ364" s="258"/>
      <c r="AR364" s="258"/>
      <c r="AS364" s="258"/>
      <c r="AT364" s="256"/>
      <c r="AU364" s="408"/>
      <c r="AV364" s="256"/>
      <c r="AW364" s="408"/>
    </row>
    <row r="365" spans="1:49" ht="14.4" customHeight="1" x14ac:dyDescent="0.3">
      <c r="A365" s="645"/>
      <c r="C365" s="107"/>
      <c r="D365" s="645"/>
      <c r="E365" s="107"/>
      <c r="F365" s="107"/>
      <c r="G365" s="107"/>
      <c r="H365" s="107"/>
      <c r="I365" s="235"/>
      <c r="J365" s="440"/>
      <c r="K365" s="107"/>
      <c r="L365" s="107"/>
      <c r="S365" s="607"/>
      <c r="W365" s="437"/>
      <c r="AC365" s="258"/>
      <c r="AD365" s="258"/>
      <c r="AE365" s="255"/>
      <c r="AF365" s="258"/>
      <c r="AG365"/>
      <c r="AH365" s="258"/>
      <c r="AK365" s="258"/>
      <c r="AL365"/>
      <c r="AM365" s="258"/>
      <c r="AN365" s="258"/>
      <c r="AO365" s="258"/>
      <c r="AP365"/>
      <c r="AQ365" s="258"/>
      <c r="AR365" s="258"/>
      <c r="AS365" s="258"/>
      <c r="AT365" s="256"/>
      <c r="AU365" s="408"/>
      <c r="AV365" s="256"/>
      <c r="AW365" s="408"/>
    </row>
    <row r="366" spans="1:49" ht="14.4" customHeight="1" x14ac:dyDescent="0.3">
      <c r="A366" s="645"/>
      <c r="C366" s="107"/>
      <c r="D366" s="645"/>
      <c r="E366" s="107"/>
      <c r="F366" s="107"/>
      <c r="G366" s="107"/>
      <c r="H366" s="107"/>
      <c r="I366" s="235"/>
      <c r="J366" s="440"/>
      <c r="K366" s="107"/>
      <c r="L366" s="107"/>
      <c r="S366" s="607"/>
      <c r="W366" s="437"/>
      <c r="AC366" s="258"/>
      <c r="AD366" s="258"/>
      <c r="AE366" s="255"/>
      <c r="AF366" s="258"/>
      <c r="AG366"/>
      <c r="AH366" s="258"/>
      <c r="AK366" s="258"/>
      <c r="AL366"/>
      <c r="AM366" s="258"/>
      <c r="AN366" s="258"/>
      <c r="AO366" s="258"/>
      <c r="AP366"/>
      <c r="AQ366" s="258"/>
      <c r="AR366" s="258"/>
      <c r="AS366" s="258"/>
      <c r="AT366" s="256"/>
      <c r="AU366" s="408"/>
      <c r="AV366" s="256"/>
      <c r="AW366" s="408"/>
    </row>
    <row r="367" spans="1:49" ht="14.4" customHeight="1" x14ac:dyDescent="0.3">
      <c r="A367" s="645"/>
      <c r="C367" s="107"/>
      <c r="D367" s="645"/>
      <c r="E367" s="107"/>
      <c r="F367" s="107"/>
      <c r="G367" s="107"/>
      <c r="H367" s="107"/>
      <c r="I367" s="235"/>
      <c r="J367" s="440"/>
      <c r="K367" s="107"/>
      <c r="L367" s="107"/>
      <c r="S367" s="607"/>
      <c r="W367" s="437"/>
      <c r="AC367" s="258"/>
      <c r="AD367" s="258"/>
      <c r="AE367" s="255"/>
      <c r="AF367" s="258"/>
      <c r="AG367"/>
      <c r="AH367" s="258"/>
      <c r="AK367" s="258"/>
      <c r="AL367"/>
      <c r="AM367" s="258"/>
      <c r="AN367" s="258"/>
      <c r="AO367" s="258"/>
      <c r="AP367"/>
      <c r="AQ367" s="258"/>
      <c r="AR367" s="258"/>
      <c r="AS367" s="258"/>
      <c r="AT367" s="256"/>
      <c r="AU367" s="408"/>
      <c r="AV367" s="256"/>
      <c r="AW367" s="408"/>
    </row>
    <row r="368" spans="1:49" ht="14.4" customHeight="1" x14ac:dyDescent="0.3">
      <c r="A368" s="645"/>
      <c r="C368" s="107"/>
      <c r="D368" s="645"/>
      <c r="E368" s="107"/>
      <c r="F368" s="107"/>
      <c r="G368" s="107"/>
      <c r="H368" s="107"/>
      <c r="I368" s="235"/>
      <c r="J368" s="440"/>
      <c r="K368" s="107"/>
      <c r="L368" s="107"/>
      <c r="S368" s="607"/>
      <c r="W368" s="437"/>
      <c r="AC368" s="258"/>
      <c r="AD368" s="258"/>
      <c r="AE368" s="255"/>
      <c r="AF368" s="258"/>
      <c r="AG368"/>
      <c r="AH368" s="258"/>
      <c r="AK368" s="258"/>
      <c r="AL368"/>
      <c r="AM368" s="258"/>
      <c r="AN368" s="258"/>
      <c r="AO368" s="258"/>
      <c r="AP368"/>
      <c r="AQ368" s="258"/>
      <c r="AR368" s="258"/>
      <c r="AS368" s="258"/>
      <c r="AT368" s="256"/>
      <c r="AU368" s="408"/>
      <c r="AV368" s="256"/>
      <c r="AW368" s="408"/>
    </row>
    <row r="369" spans="1:49" ht="14.4" customHeight="1" x14ac:dyDescent="0.3">
      <c r="A369" s="645"/>
      <c r="C369" s="107"/>
      <c r="D369" s="645"/>
      <c r="E369" s="107"/>
      <c r="F369" s="107"/>
      <c r="G369" s="107"/>
      <c r="H369" s="107"/>
      <c r="I369" s="235"/>
      <c r="J369" s="440"/>
      <c r="K369" s="107"/>
      <c r="L369" s="107"/>
      <c r="S369" s="607"/>
      <c r="W369" s="437"/>
      <c r="AC369" s="258"/>
      <c r="AD369" s="258"/>
      <c r="AE369" s="255"/>
      <c r="AF369" s="258"/>
      <c r="AG369"/>
      <c r="AH369" s="258"/>
      <c r="AK369" s="258"/>
      <c r="AL369"/>
      <c r="AM369" s="258"/>
      <c r="AN369" s="258"/>
      <c r="AO369" s="258"/>
      <c r="AP369"/>
      <c r="AQ369" s="258"/>
      <c r="AR369" s="258"/>
      <c r="AS369" s="258"/>
      <c r="AT369" s="256"/>
      <c r="AU369" s="408"/>
      <c r="AV369" s="256"/>
      <c r="AW369" s="408"/>
    </row>
    <row r="370" spans="1:49" ht="14.4" customHeight="1" x14ac:dyDescent="0.3">
      <c r="A370" s="645"/>
      <c r="C370" s="107"/>
      <c r="D370" s="645"/>
      <c r="E370" s="107"/>
      <c r="F370" s="107"/>
      <c r="G370" s="107"/>
      <c r="H370" s="107"/>
      <c r="I370" s="235"/>
      <c r="J370" s="440"/>
      <c r="K370" s="107"/>
      <c r="L370" s="107"/>
      <c r="S370" s="607"/>
      <c r="W370" s="437"/>
      <c r="AC370" s="258"/>
      <c r="AD370" s="258"/>
      <c r="AE370" s="255"/>
      <c r="AF370" s="258"/>
      <c r="AH370" s="258"/>
      <c r="AK370" s="258"/>
      <c r="AM370" s="258"/>
      <c r="AN370" s="258"/>
      <c r="AO370" s="258"/>
      <c r="AP370"/>
      <c r="AQ370" s="258"/>
      <c r="AR370" s="258"/>
      <c r="AS370" s="258"/>
      <c r="AT370" s="256"/>
      <c r="AU370" s="408"/>
      <c r="AV370" s="256"/>
      <c r="AW370" s="408"/>
    </row>
    <row r="371" spans="1:49" ht="14.4" customHeight="1" x14ac:dyDescent="0.3">
      <c r="A371" s="645"/>
      <c r="C371" s="107"/>
      <c r="D371" s="645"/>
      <c r="E371" s="107"/>
      <c r="F371" s="107"/>
      <c r="G371" s="107"/>
      <c r="H371" s="107"/>
      <c r="I371" s="235"/>
      <c r="J371" s="440"/>
      <c r="K371" s="107"/>
      <c r="L371" s="107"/>
      <c r="S371" s="607"/>
      <c r="W371" s="437"/>
      <c r="AC371" s="258"/>
      <c r="AD371" s="258"/>
      <c r="AE371" s="255"/>
      <c r="AF371" s="258"/>
      <c r="AH371" s="258"/>
      <c r="AK371" s="258"/>
      <c r="AM371" s="258"/>
      <c r="AN371" s="258"/>
      <c r="AO371" s="258"/>
      <c r="AQ371" s="258"/>
      <c r="AR371" s="258"/>
      <c r="AS371" s="258"/>
      <c r="AT371" s="256"/>
      <c r="AU371" s="408"/>
      <c r="AV371" s="256"/>
      <c r="AW371" s="408"/>
    </row>
    <row r="372" spans="1:49" ht="14.4" customHeight="1" x14ac:dyDescent="0.3">
      <c r="A372" s="645"/>
      <c r="C372" s="107"/>
      <c r="D372" s="645"/>
      <c r="E372" s="107"/>
      <c r="F372" s="107"/>
      <c r="G372" s="107"/>
      <c r="H372" s="107"/>
      <c r="I372" s="235"/>
      <c r="J372" s="440"/>
      <c r="K372" s="107"/>
      <c r="L372" s="107"/>
      <c r="S372" s="607"/>
      <c r="W372" s="437"/>
      <c r="AC372" s="258"/>
      <c r="AD372" s="258"/>
      <c r="AE372" s="255"/>
      <c r="AF372" s="258"/>
      <c r="AH372" s="258"/>
      <c r="AK372" s="258"/>
      <c r="AM372" s="258"/>
      <c r="AN372" s="258"/>
      <c r="AO372" s="258"/>
      <c r="AQ372" s="258"/>
      <c r="AR372" s="258"/>
      <c r="AS372" s="258"/>
      <c r="AT372" s="256"/>
      <c r="AU372" s="408"/>
      <c r="AV372" s="256"/>
      <c r="AW372" s="408"/>
    </row>
    <row r="373" spans="1:49" ht="14.4" customHeight="1" x14ac:dyDescent="0.3">
      <c r="A373" s="645"/>
      <c r="C373" s="107"/>
      <c r="D373" s="645"/>
      <c r="E373" s="107"/>
      <c r="F373" s="107"/>
      <c r="G373" s="107"/>
      <c r="H373" s="107"/>
      <c r="I373" s="235"/>
      <c r="J373" s="440"/>
      <c r="K373" s="107"/>
      <c r="L373" s="107"/>
      <c r="S373" s="607"/>
      <c r="W373" s="437"/>
      <c r="AC373" s="258"/>
      <c r="AD373" s="258"/>
      <c r="AE373" s="255"/>
      <c r="AF373" s="258"/>
      <c r="AH373" s="258"/>
      <c r="AK373" s="258"/>
      <c r="AM373" s="258"/>
      <c r="AN373" s="258"/>
      <c r="AO373" s="258"/>
      <c r="AQ373" s="258"/>
      <c r="AR373" s="258"/>
      <c r="AS373" s="258"/>
      <c r="AT373" s="256"/>
      <c r="AU373" s="408"/>
      <c r="AV373" s="256"/>
      <c r="AW373" s="408"/>
    </row>
    <row r="374" spans="1:49" ht="14.4" customHeight="1" x14ac:dyDescent="0.3">
      <c r="A374" s="645"/>
      <c r="C374" s="107"/>
      <c r="D374" s="645"/>
      <c r="E374" s="107"/>
      <c r="F374" s="107"/>
      <c r="G374" s="107"/>
      <c r="H374" s="107"/>
      <c r="I374" s="235"/>
      <c r="J374" s="440"/>
      <c r="K374" s="107"/>
      <c r="L374" s="107"/>
      <c r="S374" s="607"/>
      <c r="W374" s="437"/>
      <c r="AC374" s="258"/>
      <c r="AD374" s="258"/>
      <c r="AE374" s="255"/>
      <c r="AF374" s="258"/>
      <c r="AH374" s="258"/>
      <c r="AK374" s="258"/>
      <c r="AM374" s="258"/>
      <c r="AN374" s="258"/>
      <c r="AO374" s="258"/>
      <c r="AQ374" s="258"/>
      <c r="AR374" s="258"/>
      <c r="AS374" s="258"/>
      <c r="AT374" s="256"/>
      <c r="AU374" s="408"/>
      <c r="AV374" s="256"/>
      <c r="AW374" s="408"/>
    </row>
    <row r="375" spans="1:49" ht="14.4" customHeight="1" x14ac:dyDescent="0.3">
      <c r="A375" s="645"/>
      <c r="C375" s="107"/>
      <c r="D375" s="645"/>
      <c r="E375" s="107"/>
      <c r="F375" s="107"/>
      <c r="G375" s="107"/>
      <c r="H375" s="107"/>
      <c r="I375" s="235"/>
      <c r="J375" s="440"/>
      <c r="K375" s="107"/>
      <c r="L375" s="107"/>
      <c r="S375" s="607"/>
      <c r="W375" s="437"/>
      <c r="AC375" s="258"/>
      <c r="AD375" s="258"/>
      <c r="AE375" s="255"/>
      <c r="AF375" s="258"/>
      <c r="AH375" s="258"/>
      <c r="AK375" s="258"/>
      <c r="AM375" s="258"/>
      <c r="AN375" s="258"/>
      <c r="AO375" s="258"/>
      <c r="AQ375" s="258"/>
      <c r="AR375" s="258"/>
      <c r="AS375" s="258"/>
      <c r="AT375" s="256"/>
      <c r="AU375" s="408"/>
      <c r="AV375" s="256"/>
      <c r="AW375" s="408"/>
    </row>
    <row r="376" spans="1:49" ht="14.4" customHeight="1" x14ac:dyDescent="0.3">
      <c r="A376" s="645"/>
      <c r="C376" s="107"/>
      <c r="D376" s="645"/>
      <c r="E376" s="107"/>
      <c r="F376" s="107"/>
      <c r="G376" s="107"/>
      <c r="H376" s="107"/>
      <c r="I376" s="235"/>
      <c r="J376" s="440"/>
      <c r="K376" s="107"/>
      <c r="L376" s="107"/>
      <c r="S376" s="607"/>
      <c r="W376" s="437"/>
      <c r="AC376" s="258"/>
      <c r="AD376" s="258"/>
      <c r="AE376" s="255"/>
      <c r="AF376" s="258"/>
      <c r="AH376" s="258"/>
      <c r="AK376" s="258"/>
      <c r="AM376" s="258"/>
      <c r="AN376" s="258"/>
      <c r="AO376" s="258"/>
      <c r="AQ376" s="258"/>
      <c r="AR376" s="258"/>
      <c r="AS376" s="258"/>
      <c r="AT376" s="256"/>
      <c r="AU376" s="408"/>
      <c r="AV376" s="256"/>
      <c r="AW376" s="408"/>
    </row>
    <row r="377" spans="1:49" ht="14.4" customHeight="1" x14ac:dyDescent="0.3">
      <c r="A377" s="645"/>
      <c r="C377" s="107"/>
      <c r="D377" s="645"/>
      <c r="E377" s="107"/>
      <c r="F377" s="107"/>
      <c r="G377" s="107"/>
      <c r="H377" s="107"/>
      <c r="I377" s="235"/>
      <c r="J377" s="440"/>
      <c r="K377" s="107"/>
      <c r="L377" s="107"/>
      <c r="S377" s="607"/>
      <c r="W377" s="437"/>
      <c r="AC377" s="258"/>
      <c r="AD377" s="258"/>
      <c r="AE377" s="255"/>
      <c r="AF377" s="258"/>
      <c r="AH377" s="258"/>
      <c r="AK377" s="258"/>
      <c r="AM377" s="258"/>
      <c r="AN377" s="258"/>
      <c r="AO377" s="258"/>
      <c r="AQ377" s="258"/>
      <c r="AR377" s="258"/>
      <c r="AS377" s="258"/>
      <c r="AT377" s="256"/>
      <c r="AU377" s="408"/>
      <c r="AV377" s="256"/>
      <c r="AW377" s="408"/>
    </row>
    <row r="378" spans="1:49" ht="14.4" customHeight="1" x14ac:dyDescent="0.3">
      <c r="A378" s="645"/>
      <c r="C378" s="107"/>
      <c r="D378" s="645"/>
      <c r="E378" s="107"/>
      <c r="F378" s="107"/>
      <c r="G378" s="107"/>
      <c r="H378" s="107"/>
      <c r="I378" s="235"/>
      <c r="J378" s="440"/>
      <c r="K378" s="107"/>
      <c r="L378" s="107"/>
      <c r="S378" s="607"/>
      <c r="W378" s="437"/>
      <c r="AC378" s="258"/>
      <c r="AD378" s="258"/>
      <c r="AE378" s="255"/>
      <c r="AF378" s="258"/>
      <c r="AH378" s="258"/>
      <c r="AK378" s="258"/>
      <c r="AM378" s="258"/>
      <c r="AN378" s="258"/>
      <c r="AO378" s="258"/>
      <c r="AQ378" s="258"/>
      <c r="AR378" s="258"/>
      <c r="AS378" s="258"/>
      <c r="AT378" s="256"/>
      <c r="AU378" s="408"/>
      <c r="AV378" s="256"/>
      <c r="AW378" s="408"/>
    </row>
    <row r="379" spans="1:49" ht="14.4" customHeight="1" x14ac:dyDescent="0.3">
      <c r="A379" s="645"/>
      <c r="C379" s="107"/>
      <c r="D379" s="645"/>
      <c r="E379" s="107"/>
      <c r="F379" s="107"/>
      <c r="G379" s="107"/>
      <c r="H379" s="107"/>
      <c r="I379" s="235"/>
      <c r="J379" s="440"/>
      <c r="K379" s="107"/>
      <c r="L379" s="107"/>
      <c r="S379" s="607"/>
      <c r="W379" s="437"/>
      <c r="AC379" s="258"/>
      <c r="AD379" s="258"/>
      <c r="AE379" s="255"/>
      <c r="AF379" s="258"/>
      <c r="AH379" s="258"/>
      <c r="AK379" s="258"/>
      <c r="AM379" s="258"/>
      <c r="AN379" s="258"/>
      <c r="AO379" s="258"/>
      <c r="AQ379" s="258"/>
      <c r="AR379" s="258"/>
      <c r="AS379" s="258"/>
      <c r="AT379" s="256"/>
      <c r="AU379" s="408"/>
      <c r="AV379" s="256"/>
      <c r="AW379" s="408"/>
    </row>
    <row r="380" spans="1:49" ht="14.4" customHeight="1" x14ac:dyDescent="0.3">
      <c r="A380" s="645"/>
      <c r="C380" s="107"/>
      <c r="D380" s="645"/>
      <c r="E380" s="107"/>
      <c r="F380" s="107"/>
      <c r="G380" s="107"/>
      <c r="H380" s="107"/>
      <c r="I380" s="235"/>
      <c r="J380" s="440"/>
      <c r="K380" s="107"/>
      <c r="L380" s="107"/>
      <c r="S380" s="607"/>
      <c r="W380" s="437"/>
      <c r="AC380" s="258"/>
      <c r="AD380" s="258"/>
      <c r="AE380" s="255"/>
      <c r="AF380" s="258"/>
      <c r="AH380" s="258"/>
      <c r="AK380" s="258"/>
      <c r="AM380" s="258"/>
      <c r="AN380" s="258"/>
      <c r="AO380" s="258"/>
      <c r="AQ380" s="258"/>
      <c r="AR380" s="258"/>
      <c r="AS380" s="258"/>
      <c r="AT380" s="256"/>
      <c r="AU380" s="408"/>
      <c r="AV380" s="256"/>
      <c r="AW380" s="408"/>
    </row>
    <row r="381" spans="1:49" ht="14.4" customHeight="1" x14ac:dyDescent="0.3">
      <c r="A381" s="645"/>
      <c r="C381" s="107"/>
      <c r="D381" s="645"/>
      <c r="E381" s="107"/>
      <c r="F381" s="107"/>
      <c r="G381" s="107"/>
      <c r="H381" s="107"/>
      <c r="I381" s="235"/>
      <c r="J381" s="440"/>
      <c r="K381" s="107"/>
      <c r="L381" s="107"/>
      <c r="S381" s="607"/>
      <c r="W381" s="437"/>
      <c r="AC381" s="258"/>
      <c r="AD381" s="258"/>
      <c r="AE381" s="255"/>
      <c r="AF381" s="258"/>
      <c r="AH381" s="258"/>
      <c r="AK381" s="258"/>
      <c r="AM381" s="258"/>
      <c r="AN381" s="258"/>
      <c r="AO381" s="258"/>
      <c r="AQ381" s="258"/>
      <c r="AR381" s="258"/>
      <c r="AS381" s="258"/>
      <c r="AT381" s="256"/>
      <c r="AU381" s="408"/>
      <c r="AV381" s="256"/>
      <c r="AW381" s="408"/>
    </row>
    <row r="382" spans="1:49" ht="14.4" customHeight="1" x14ac:dyDescent="0.3">
      <c r="A382" s="645"/>
      <c r="C382" s="107"/>
      <c r="D382" s="645"/>
      <c r="E382" s="107"/>
      <c r="F382" s="107"/>
      <c r="G382" s="107"/>
      <c r="H382" s="107"/>
      <c r="I382" s="235"/>
      <c r="J382" s="440"/>
      <c r="K382" s="107"/>
      <c r="L382" s="107"/>
      <c r="S382" s="607"/>
      <c r="W382" s="437"/>
      <c r="AC382" s="258"/>
      <c r="AD382" s="258"/>
      <c r="AE382" s="255"/>
      <c r="AF382" s="258"/>
      <c r="AH382" s="258"/>
      <c r="AK382" s="258"/>
      <c r="AM382" s="258"/>
      <c r="AN382" s="258"/>
      <c r="AO382" s="258"/>
      <c r="AQ382" s="258"/>
      <c r="AR382" s="258"/>
      <c r="AS382" s="258"/>
      <c r="AT382" s="256"/>
      <c r="AU382" s="408"/>
      <c r="AV382" s="256"/>
      <c r="AW382" s="408"/>
    </row>
    <row r="383" spans="1:49" ht="14.4" customHeight="1" x14ac:dyDescent="0.3">
      <c r="A383" s="645"/>
      <c r="C383" s="107"/>
      <c r="D383" s="645"/>
      <c r="E383" s="107"/>
      <c r="F383" s="107"/>
      <c r="G383" s="107"/>
      <c r="H383" s="107"/>
      <c r="I383" s="235"/>
      <c r="J383" s="440"/>
      <c r="K383" s="107"/>
      <c r="L383" s="107"/>
      <c r="S383" s="607"/>
      <c r="W383" s="437"/>
      <c r="AC383" s="258"/>
      <c r="AD383" s="258"/>
      <c r="AE383" s="255"/>
      <c r="AF383" s="258"/>
      <c r="AH383" s="258"/>
      <c r="AK383" s="258"/>
      <c r="AM383" s="258"/>
      <c r="AN383" s="258"/>
      <c r="AO383" s="258"/>
      <c r="AQ383" s="258"/>
      <c r="AR383" s="258"/>
      <c r="AS383" s="258"/>
      <c r="AT383" s="256"/>
      <c r="AU383" s="408"/>
      <c r="AV383" s="256"/>
      <c r="AW383" s="408"/>
    </row>
    <row r="384" spans="1:49" ht="14.4" customHeight="1" x14ac:dyDescent="0.3">
      <c r="A384" s="645"/>
      <c r="C384" s="107"/>
      <c r="D384" s="645"/>
      <c r="E384" s="107"/>
      <c r="F384" s="107"/>
      <c r="G384" s="107"/>
      <c r="H384" s="107"/>
      <c r="I384" s="235"/>
      <c r="J384" s="440"/>
      <c r="K384" s="107"/>
      <c r="L384" s="107"/>
      <c r="S384" s="607"/>
      <c r="W384" s="437"/>
      <c r="AC384" s="258"/>
      <c r="AD384" s="258"/>
      <c r="AE384" s="255"/>
      <c r="AF384" s="258"/>
      <c r="AH384" s="258"/>
      <c r="AK384" s="258"/>
      <c r="AM384" s="258"/>
      <c r="AN384" s="258"/>
      <c r="AO384" s="258"/>
      <c r="AQ384" s="258"/>
      <c r="AR384" s="258"/>
      <c r="AS384" s="258"/>
      <c r="AT384" s="256"/>
      <c r="AU384" s="408"/>
      <c r="AV384" s="256"/>
      <c r="AW384" s="408"/>
    </row>
    <row r="385" spans="1:49" ht="14.4" customHeight="1" x14ac:dyDescent="0.3">
      <c r="A385" s="645"/>
      <c r="C385" s="107"/>
      <c r="D385" s="645"/>
      <c r="E385" s="107"/>
      <c r="F385" s="107"/>
      <c r="G385" s="107"/>
      <c r="H385" s="107"/>
      <c r="I385" s="235"/>
      <c r="J385" s="440"/>
      <c r="K385" s="107"/>
      <c r="L385" s="107"/>
      <c r="S385" s="607"/>
      <c r="W385" s="437"/>
      <c r="AC385" s="258"/>
      <c r="AD385" s="258"/>
      <c r="AE385" s="255"/>
      <c r="AF385" s="258"/>
      <c r="AH385" s="258"/>
      <c r="AK385" s="258"/>
      <c r="AM385" s="258"/>
      <c r="AN385" s="258"/>
      <c r="AO385" s="258"/>
      <c r="AQ385" s="258"/>
      <c r="AR385" s="258"/>
      <c r="AS385" s="258"/>
      <c r="AT385" s="256"/>
      <c r="AU385" s="408"/>
      <c r="AV385" s="256"/>
      <c r="AW385" s="408"/>
    </row>
    <row r="386" spans="1:49" ht="14.4" customHeight="1" x14ac:dyDescent="0.3">
      <c r="A386" s="645"/>
      <c r="C386" s="107"/>
      <c r="D386" s="645"/>
      <c r="E386" s="107"/>
      <c r="F386" s="107"/>
      <c r="G386" s="107"/>
      <c r="H386" s="107"/>
      <c r="I386" s="235"/>
      <c r="J386" s="440"/>
      <c r="K386" s="107"/>
      <c r="L386" s="107"/>
      <c r="S386" s="607"/>
      <c r="W386" s="437"/>
      <c r="AC386" s="258"/>
      <c r="AD386" s="258"/>
      <c r="AE386" s="255"/>
      <c r="AF386" s="258"/>
      <c r="AH386" s="258"/>
      <c r="AK386" s="258"/>
      <c r="AM386" s="258"/>
      <c r="AN386" s="258"/>
      <c r="AO386" s="258"/>
      <c r="AQ386" s="258"/>
      <c r="AR386" s="258"/>
      <c r="AS386" s="258"/>
      <c r="AT386" s="256"/>
      <c r="AU386" s="408"/>
      <c r="AV386" s="256"/>
      <c r="AW386" s="408"/>
    </row>
    <row r="387" spans="1:49" ht="14.4" customHeight="1" x14ac:dyDescent="0.3">
      <c r="A387" s="645"/>
      <c r="C387" s="107"/>
      <c r="D387" s="645"/>
      <c r="E387" s="107"/>
      <c r="F387" s="107"/>
      <c r="G387" s="107"/>
      <c r="H387" s="107"/>
      <c r="I387" s="235"/>
      <c r="J387" s="440"/>
      <c r="K387" s="107"/>
      <c r="L387" s="107"/>
      <c r="S387" s="607"/>
      <c r="W387" s="437"/>
      <c r="AC387" s="258"/>
      <c r="AD387" s="258"/>
      <c r="AE387" s="255"/>
      <c r="AF387" s="258"/>
      <c r="AH387" s="258"/>
      <c r="AK387" s="258"/>
      <c r="AM387" s="258"/>
      <c r="AN387" s="258"/>
      <c r="AO387" s="258"/>
      <c r="AQ387" s="258"/>
      <c r="AR387" s="258"/>
      <c r="AS387" s="258"/>
      <c r="AT387" s="256"/>
      <c r="AU387" s="408"/>
      <c r="AV387" s="256"/>
      <c r="AW387" s="408"/>
    </row>
    <row r="388" spans="1:49" ht="14.4" customHeight="1" x14ac:dyDescent="0.3">
      <c r="A388" s="645"/>
      <c r="C388" s="107"/>
      <c r="D388" s="645"/>
      <c r="E388" s="107"/>
      <c r="F388" s="107"/>
      <c r="G388" s="107"/>
      <c r="H388" s="107"/>
      <c r="I388" s="235"/>
      <c r="J388" s="440"/>
      <c r="K388" s="107"/>
      <c r="L388" s="107"/>
      <c r="S388" s="607"/>
      <c r="W388" s="437"/>
      <c r="AC388" s="258"/>
      <c r="AD388" s="258"/>
      <c r="AE388" s="255"/>
      <c r="AF388" s="258"/>
      <c r="AH388" s="258"/>
      <c r="AK388" s="258"/>
      <c r="AM388" s="258"/>
      <c r="AN388" s="258"/>
      <c r="AO388" s="258"/>
      <c r="AQ388" s="258"/>
      <c r="AR388" s="258"/>
      <c r="AS388" s="258"/>
      <c r="AT388" s="256"/>
      <c r="AU388" s="408"/>
      <c r="AV388" s="256"/>
      <c r="AW388" s="408"/>
    </row>
    <row r="389" spans="1:49" ht="14.4" customHeight="1" x14ac:dyDescent="0.3">
      <c r="A389" s="645"/>
      <c r="C389" s="107"/>
      <c r="D389" s="645"/>
      <c r="E389" s="107"/>
      <c r="F389" s="107"/>
      <c r="G389" s="107"/>
      <c r="H389" s="107"/>
      <c r="I389" s="235"/>
      <c r="J389" s="440"/>
      <c r="K389" s="107"/>
      <c r="L389" s="107"/>
      <c r="S389" s="607"/>
      <c r="W389" s="437"/>
      <c r="AC389" s="258"/>
      <c r="AD389" s="258"/>
      <c r="AE389" s="255"/>
      <c r="AF389" s="258"/>
      <c r="AH389" s="258"/>
      <c r="AK389" s="258"/>
      <c r="AM389" s="258"/>
      <c r="AN389" s="258"/>
      <c r="AO389" s="258"/>
      <c r="AQ389" s="258"/>
      <c r="AR389" s="258"/>
      <c r="AS389" s="258"/>
      <c r="AT389" s="256"/>
      <c r="AU389" s="408"/>
      <c r="AV389" s="256"/>
      <c r="AW389" s="408"/>
    </row>
    <row r="390" spans="1:49" ht="14.4" customHeight="1" x14ac:dyDescent="0.3">
      <c r="A390" s="645"/>
      <c r="C390" s="107"/>
      <c r="D390" s="645"/>
      <c r="E390" s="107"/>
      <c r="F390" s="107"/>
      <c r="G390" s="107"/>
      <c r="H390" s="107"/>
      <c r="I390" s="235"/>
      <c r="J390" s="440"/>
      <c r="K390" s="107"/>
      <c r="L390" s="107"/>
      <c r="S390" s="607"/>
      <c r="W390" s="437"/>
      <c r="AC390" s="258"/>
      <c r="AD390" s="258"/>
      <c r="AE390" s="255"/>
      <c r="AF390" s="258"/>
      <c r="AH390" s="258"/>
      <c r="AK390" s="258"/>
      <c r="AM390" s="258"/>
      <c r="AN390" s="258"/>
      <c r="AO390" s="258"/>
      <c r="AQ390" s="258"/>
      <c r="AR390" s="258"/>
      <c r="AS390" s="258"/>
      <c r="AT390" s="256"/>
      <c r="AU390" s="408"/>
      <c r="AV390" s="256"/>
      <c r="AW390" s="408"/>
    </row>
    <row r="391" spans="1:49" ht="14.4" customHeight="1" x14ac:dyDescent="0.3">
      <c r="A391" s="645"/>
      <c r="C391" s="107"/>
      <c r="D391" s="645"/>
      <c r="E391" s="107"/>
      <c r="F391" s="107"/>
      <c r="G391" s="107"/>
      <c r="H391" s="107"/>
      <c r="I391" s="235"/>
      <c r="J391" s="440"/>
      <c r="K391" s="107"/>
      <c r="L391" s="107"/>
      <c r="S391" s="607"/>
      <c r="W391" s="437"/>
      <c r="AC391" s="258"/>
      <c r="AD391" s="258"/>
      <c r="AE391" s="255"/>
      <c r="AF391" s="258"/>
      <c r="AH391" s="258"/>
      <c r="AK391" s="258"/>
      <c r="AM391" s="258"/>
      <c r="AN391" s="258"/>
      <c r="AO391" s="258"/>
      <c r="AQ391" s="258"/>
      <c r="AR391" s="258"/>
      <c r="AS391" s="258"/>
      <c r="AT391" s="256"/>
      <c r="AU391" s="408"/>
      <c r="AV391" s="256"/>
      <c r="AW391" s="408"/>
    </row>
    <row r="392" spans="1:49" ht="14.4" customHeight="1" x14ac:dyDescent="0.3">
      <c r="A392" s="645"/>
      <c r="C392" s="107"/>
      <c r="D392" s="645"/>
      <c r="E392" s="107"/>
      <c r="F392" s="107"/>
      <c r="G392" s="107"/>
      <c r="H392" s="107"/>
      <c r="I392" s="235"/>
      <c r="J392" s="440"/>
      <c r="K392" s="107"/>
      <c r="L392" s="107"/>
      <c r="S392" s="607"/>
      <c r="W392" s="437"/>
      <c r="AC392" s="258"/>
      <c r="AD392" s="258"/>
      <c r="AE392" s="255"/>
      <c r="AF392" s="258"/>
      <c r="AH392" s="258"/>
      <c r="AK392" s="258"/>
      <c r="AM392" s="258"/>
      <c r="AN392" s="258"/>
      <c r="AO392" s="258"/>
      <c r="AQ392" s="258"/>
      <c r="AR392" s="258"/>
      <c r="AS392" s="258"/>
      <c r="AT392" s="256"/>
      <c r="AU392" s="408"/>
      <c r="AV392" s="256"/>
      <c r="AW392" s="408"/>
    </row>
    <row r="393" spans="1:49" ht="14.4" customHeight="1" x14ac:dyDescent="0.3">
      <c r="A393" s="645"/>
      <c r="C393" s="107"/>
      <c r="D393" s="645"/>
      <c r="E393" s="107"/>
      <c r="F393" s="107"/>
      <c r="G393" s="107"/>
      <c r="H393" s="107"/>
      <c r="I393" s="235"/>
      <c r="J393" s="440"/>
      <c r="K393" s="107"/>
      <c r="L393" s="107"/>
      <c r="S393" s="607"/>
      <c r="W393" s="437"/>
      <c r="AC393" s="258"/>
      <c r="AD393" s="258"/>
      <c r="AE393" s="255"/>
      <c r="AF393" s="258"/>
      <c r="AH393" s="258"/>
      <c r="AK393" s="258"/>
      <c r="AM393" s="258"/>
      <c r="AN393" s="258"/>
      <c r="AO393" s="258"/>
      <c r="AQ393" s="258"/>
      <c r="AR393" s="258"/>
      <c r="AS393" s="258"/>
      <c r="AT393" s="256"/>
      <c r="AU393" s="408"/>
      <c r="AV393" s="256"/>
      <c r="AW393" s="408"/>
    </row>
    <row r="394" spans="1:49" ht="14.4" customHeight="1" x14ac:dyDescent="0.3">
      <c r="A394" s="645"/>
      <c r="C394" s="107"/>
      <c r="D394" s="645"/>
      <c r="E394" s="107"/>
      <c r="F394" s="107"/>
      <c r="G394" s="107"/>
      <c r="H394" s="107"/>
      <c r="I394" s="235"/>
      <c r="J394" s="440"/>
      <c r="K394" s="107"/>
      <c r="L394" s="107"/>
      <c r="S394" s="607"/>
      <c r="W394" s="437"/>
      <c r="AC394" s="258"/>
      <c r="AD394" s="258"/>
      <c r="AE394" s="255"/>
      <c r="AF394" s="258"/>
      <c r="AH394" s="258"/>
      <c r="AK394" s="258"/>
      <c r="AM394" s="258"/>
      <c r="AN394" s="258"/>
      <c r="AO394" s="258"/>
      <c r="AQ394" s="258"/>
      <c r="AR394" s="258"/>
      <c r="AS394" s="258"/>
      <c r="AT394" s="256"/>
      <c r="AU394" s="408"/>
      <c r="AV394" s="256"/>
      <c r="AW394" s="408"/>
    </row>
    <row r="395" spans="1:49" ht="14.4" customHeight="1" x14ac:dyDescent="0.3">
      <c r="A395" s="645"/>
      <c r="C395" s="107"/>
      <c r="D395" s="645"/>
      <c r="E395" s="107"/>
      <c r="F395" s="107"/>
      <c r="G395" s="107"/>
      <c r="H395" s="107"/>
      <c r="I395" s="235"/>
      <c r="J395" s="440"/>
      <c r="K395" s="107"/>
      <c r="L395" s="107"/>
      <c r="S395" s="607"/>
      <c r="W395" s="437"/>
      <c r="AC395" s="258"/>
      <c r="AD395" s="258"/>
      <c r="AE395" s="255"/>
      <c r="AF395" s="258"/>
      <c r="AH395" s="258"/>
      <c r="AK395" s="258"/>
      <c r="AM395" s="258"/>
      <c r="AN395" s="258"/>
      <c r="AO395" s="258"/>
      <c r="AQ395" s="258"/>
      <c r="AR395" s="258"/>
      <c r="AS395" s="258"/>
      <c r="AT395" s="256"/>
      <c r="AU395" s="408"/>
      <c r="AV395" s="256"/>
      <c r="AW395" s="408"/>
    </row>
    <row r="396" spans="1:49" ht="14.4" customHeight="1" x14ac:dyDescent="0.3">
      <c r="A396" s="645"/>
      <c r="C396" s="107"/>
      <c r="D396" s="645"/>
      <c r="E396" s="107"/>
      <c r="F396" s="107"/>
      <c r="G396" s="107"/>
      <c r="H396" s="107"/>
      <c r="I396" s="235"/>
      <c r="J396" s="440"/>
      <c r="K396" s="107"/>
      <c r="L396" s="107"/>
      <c r="S396" s="607"/>
      <c r="W396" s="437"/>
      <c r="AC396" s="258"/>
      <c r="AD396" s="258"/>
      <c r="AE396" s="255"/>
      <c r="AF396" s="258"/>
      <c r="AH396" s="258"/>
      <c r="AK396" s="258"/>
      <c r="AM396" s="258"/>
      <c r="AN396" s="258"/>
      <c r="AO396" s="258"/>
      <c r="AQ396" s="258"/>
      <c r="AR396" s="258"/>
      <c r="AS396" s="258"/>
      <c r="AT396" s="256"/>
      <c r="AU396" s="408"/>
      <c r="AV396" s="256"/>
      <c r="AW396" s="408"/>
    </row>
    <row r="397" spans="1:49" ht="14.4" customHeight="1" x14ac:dyDescent="0.3">
      <c r="A397" s="645"/>
      <c r="C397" s="107"/>
      <c r="D397" s="645"/>
      <c r="E397" s="107"/>
      <c r="F397" s="107"/>
      <c r="G397" s="107"/>
      <c r="H397" s="107"/>
      <c r="I397" s="235"/>
      <c r="J397" s="440"/>
      <c r="K397" s="107"/>
      <c r="L397" s="107"/>
      <c r="S397" s="607"/>
      <c r="W397" s="437"/>
      <c r="AC397" s="258"/>
      <c r="AD397" s="258"/>
      <c r="AE397" s="255"/>
      <c r="AF397" s="258"/>
      <c r="AH397" s="258"/>
      <c r="AK397" s="258"/>
      <c r="AM397" s="258"/>
      <c r="AN397" s="258"/>
      <c r="AO397" s="258"/>
      <c r="AQ397" s="258"/>
      <c r="AR397" s="258"/>
      <c r="AS397" s="258"/>
      <c r="AT397" s="256"/>
      <c r="AU397" s="408"/>
      <c r="AV397" s="256"/>
      <c r="AW397" s="408"/>
    </row>
    <row r="398" spans="1:49" ht="14.4" customHeight="1" x14ac:dyDescent="0.3">
      <c r="A398" s="645"/>
      <c r="C398" s="107"/>
      <c r="D398" s="645"/>
      <c r="E398" s="107"/>
      <c r="F398" s="107"/>
      <c r="G398" s="107"/>
      <c r="H398" s="107"/>
      <c r="I398" s="235"/>
      <c r="J398" s="440"/>
      <c r="K398" s="107"/>
      <c r="L398" s="107"/>
      <c r="S398" s="607"/>
      <c r="W398" s="437"/>
      <c r="AC398" s="258"/>
      <c r="AD398" s="258"/>
      <c r="AE398" s="255"/>
      <c r="AF398" s="258"/>
      <c r="AH398" s="258"/>
      <c r="AK398" s="258"/>
      <c r="AM398" s="258"/>
      <c r="AN398" s="258"/>
      <c r="AO398" s="258"/>
      <c r="AQ398" s="258"/>
      <c r="AR398" s="258"/>
      <c r="AS398" s="258"/>
      <c r="AT398" s="256"/>
      <c r="AU398" s="408"/>
      <c r="AV398" s="256"/>
      <c r="AW398" s="408"/>
    </row>
    <row r="399" spans="1:49" ht="14.4" customHeight="1" x14ac:dyDescent="0.3">
      <c r="A399" s="645"/>
      <c r="C399" s="39"/>
      <c r="D399" s="756"/>
      <c r="E399" s="39"/>
      <c r="F399" s="39"/>
      <c r="G399" s="39"/>
      <c r="H399" s="39"/>
      <c r="I399" s="100"/>
      <c r="J399" s="405"/>
      <c r="K399" s="39"/>
      <c r="L399" s="39"/>
      <c r="S399" s="607"/>
      <c r="W399" s="437"/>
      <c r="AC399" s="258"/>
      <c r="AD399" s="258"/>
      <c r="AE399" s="255"/>
      <c r="AF399" s="258"/>
      <c r="AH399" s="258"/>
      <c r="AK399" s="258"/>
      <c r="AM399" s="258"/>
      <c r="AN399" s="258"/>
      <c r="AO399" s="258"/>
      <c r="AQ399" s="258"/>
      <c r="AR399" s="258"/>
      <c r="AS399" s="258"/>
      <c r="AT399" s="256"/>
      <c r="AU399" s="408"/>
      <c r="AV399" s="256"/>
      <c r="AW399" s="408"/>
    </row>
    <row r="400" spans="1:49" ht="14.4" customHeight="1" x14ac:dyDescent="0.3">
      <c r="A400" s="645"/>
      <c r="C400" s="39"/>
      <c r="D400" s="756"/>
      <c r="E400" s="39"/>
      <c r="F400" s="39"/>
      <c r="G400" s="39"/>
      <c r="H400" s="39"/>
      <c r="I400" s="100"/>
      <c r="J400" s="405"/>
      <c r="K400" s="39"/>
      <c r="L400" s="39"/>
      <c r="S400" s="607"/>
      <c r="W400" s="437"/>
      <c r="AC400" s="258"/>
      <c r="AD400" s="258"/>
      <c r="AE400" s="255"/>
      <c r="AF400" s="258"/>
      <c r="AH400" s="258"/>
      <c r="AK400" s="258"/>
      <c r="AM400" s="258"/>
      <c r="AN400" s="258"/>
      <c r="AO400" s="258"/>
      <c r="AQ400" s="258"/>
      <c r="AR400" s="258"/>
      <c r="AS400" s="258"/>
      <c r="AT400" s="256"/>
      <c r="AU400" s="408"/>
      <c r="AV400" s="256"/>
      <c r="AW400" s="408"/>
    </row>
    <row r="401" spans="1:49" ht="14.4" customHeight="1" x14ac:dyDescent="0.3">
      <c r="A401" s="645"/>
      <c r="C401" s="39"/>
      <c r="D401" s="756"/>
      <c r="E401" s="39"/>
      <c r="F401" s="39"/>
      <c r="G401" s="39"/>
      <c r="H401" s="39"/>
      <c r="I401" s="100"/>
      <c r="J401" s="405"/>
      <c r="K401" s="39"/>
      <c r="L401" s="39"/>
      <c r="S401" s="607"/>
      <c r="W401" s="437"/>
      <c r="AC401" s="258"/>
      <c r="AD401" s="258"/>
      <c r="AE401" s="255"/>
      <c r="AF401" s="258"/>
      <c r="AH401" s="258"/>
      <c r="AK401" s="258"/>
      <c r="AM401" s="258"/>
      <c r="AN401" s="258"/>
      <c r="AO401" s="258"/>
      <c r="AQ401" s="258"/>
      <c r="AR401" s="258"/>
      <c r="AS401" s="258"/>
      <c r="AT401" s="256"/>
      <c r="AU401" s="408"/>
      <c r="AV401" s="256"/>
      <c r="AW401" s="408"/>
    </row>
    <row r="402" spans="1:49" ht="14.4" customHeight="1" x14ac:dyDescent="0.3">
      <c r="A402" s="645"/>
      <c r="C402" s="39"/>
      <c r="D402" s="756"/>
      <c r="E402" s="39"/>
      <c r="F402" s="39"/>
      <c r="G402" s="39"/>
      <c r="H402" s="39"/>
      <c r="I402" s="100"/>
      <c r="J402" s="405"/>
      <c r="K402" s="39"/>
      <c r="L402" s="39"/>
      <c r="S402" s="607"/>
      <c r="W402" s="437"/>
      <c r="AC402" s="258"/>
      <c r="AD402" s="258"/>
      <c r="AE402" s="255"/>
      <c r="AF402" s="258"/>
      <c r="AH402" s="258"/>
      <c r="AK402" s="258"/>
      <c r="AM402" s="258"/>
      <c r="AN402" s="258"/>
      <c r="AO402" s="258"/>
      <c r="AQ402" s="258"/>
      <c r="AR402" s="258"/>
      <c r="AS402" s="258"/>
      <c r="AT402" s="256"/>
      <c r="AU402" s="408"/>
      <c r="AV402" s="256"/>
      <c r="AW402" s="408"/>
    </row>
    <row r="403" spans="1:49" ht="14.4" customHeight="1" x14ac:dyDescent="0.3">
      <c r="A403" s="645"/>
      <c r="C403" s="39"/>
      <c r="D403" s="756"/>
      <c r="E403" s="39"/>
      <c r="F403" s="39"/>
      <c r="G403" s="39"/>
      <c r="H403" s="39"/>
      <c r="I403" s="100"/>
      <c r="J403" s="405"/>
      <c r="K403" s="39"/>
      <c r="L403" s="39"/>
      <c r="S403" s="607"/>
      <c r="W403" s="437"/>
      <c r="AC403" s="258"/>
      <c r="AD403" s="258"/>
      <c r="AE403" s="255"/>
      <c r="AF403" s="258"/>
      <c r="AH403" s="258"/>
      <c r="AK403" s="258"/>
      <c r="AM403" s="258"/>
      <c r="AN403" s="258"/>
      <c r="AO403" s="258"/>
      <c r="AQ403" s="258"/>
      <c r="AR403" s="258"/>
      <c r="AS403" s="258"/>
      <c r="AT403" s="256"/>
      <c r="AU403" s="408"/>
      <c r="AV403" s="256"/>
      <c r="AW403" s="408"/>
    </row>
    <row r="404" spans="1:49" ht="14.4" customHeight="1" x14ac:dyDescent="0.3">
      <c r="A404" s="645"/>
      <c r="C404" s="39"/>
      <c r="D404" s="756"/>
      <c r="E404" s="39"/>
      <c r="F404" s="39"/>
      <c r="G404" s="39"/>
      <c r="H404" s="39"/>
      <c r="I404" s="100"/>
      <c r="J404" s="405"/>
      <c r="K404" s="39"/>
      <c r="L404" s="39"/>
      <c r="S404" s="607"/>
      <c r="W404" s="437"/>
      <c r="AC404" s="258"/>
      <c r="AD404" s="258"/>
      <c r="AE404" s="255"/>
      <c r="AF404" s="258"/>
      <c r="AH404" s="258"/>
      <c r="AK404" s="258"/>
      <c r="AM404" s="258"/>
      <c r="AN404" s="258"/>
      <c r="AO404" s="258"/>
      <c r="AQ404" s="258"/>
      <c r="AR404" s="258"/>
      <c r="AS404" s="258"/>
      <c r="AT404" s="256"/>
      <c r="AU404" s="408"/>
      <c r="AV404" s="256"/>
      <c r="AW404" s="408"/>
    </row>
    <row r="405" spans="1:49" ht="14.4" customHeight="1" x14ac:dyDescent="0.3">
      <c r="A405" s="645"/>
      <c r="C405" s="39"/>
      <c r="D405" s="756"/>
      <c r="E405" s="39"/>
      <c r="F405" s="39"/>
      <c r="G405" s="39"/>
      <c r="H405" s="39"/>
      <c r="I405" s="100"/>
      <c r="J405" s="405"/>
      <c r="K405" s="39"/>
      <c r="L405" s="39"/>
      <c r="S405" s="607"/>
      <c r="W405" s="437"/>
      <c r="AC405" s="258"/>
      <c r="AD405" s="258"/>
      <c r="AE405" s="255"/>
      <c r="AF405" s="258"/>
      <c r="AH405" s="258"/>
      <c r="AK405" s="258"/>
      <c r="AM405" s="258"/>
      <c r="AN405" s="258"/>
      <c r="AO405" s="258"/>
      <c r="AQ405" s="258"/>
      <c r="AR405" s="258"/>
      <c r="AS405" s="258"/>
      <c r="AT405" s="256"/>
      <c r="AU405" s="408"/>
      <c r="AV405" s="256"/>
      <c r="AW405" s="408"/>
    </row>
    <row r="406" spans="1:49" ht="14.4" customHeight="1" x14ac:dyDescent="0.3">
      <c r="A406" s="645"/>
      <c r="C406" s="39"/>
      <c r="D406" s="756"/>
      <c r="E406" s="39"/>
      <c r="F406" s="39"/>
      <c r="G406" s="39"/>
      <c r="H406" s="39"/>
      <c r="I406" s="100"/>
      <c r="J406" s="405"/>
      <c r="K406" s="39"/>
      <c r="L406" s="39"/>
      <c r="S406" s="607"/>
      <c r="W406" s="437"/>
      <c r="AC406" s="258"/>
      <c r="AD406" s="258"/>
      <c r="AE406" s="255"/>
      <c r="AF406" s="258"/>
      <c r="AH406" s="258"/>
      <c r="AK406" s="258"/>
      <c r="AM406" s="258"/>
      <c r="AN406" s="258"/>
      <c r="AO406" s="258"/>
      <c r="AQ406" s="258"/>
      <c r="AR406" s="258"/>
      <c r="AS406" s="258"/>
      <c r="AT406" s="256"/>
      <c r="AU406" s="408"/>
      <c r="AV406" s="256"/>
      <c r="AW406" s="408"/>
    </row>
    <row r="407" spans="1:49" ht="14.4" customHeight="1" x14ac:dyDescent="0.3">
      <c r="A407" s="645"/>
      <c r="C407" s="39"/>
      <c r="D407" s="756"/>
      <c r="E407" s="39"/>
      <c r="F407" s="39"/>
      <c r="G407" s="39"/>
      <c r="H407" s="39"/>
      <c r="I407" s="100"/>
      <c r="J407" s="405"/>
      <c r="K407" s="39"/>
      <c r="L407" s="39"/>
      <c r="S407" s="607"/>
      <c r="W407" s="437"/>
      <c r="AC407" s="258"/>
      <c r="AD407" s="258"/>
      <c r="AE407" s="255"/>
      <c r="AF407" s="258"/>
      <c r="AH407" s="258"/>
      <c r="AK407" s="258"/>
      <c r="AM407" s="258"/>
      <c r="AN407" s="258"/>
      <c r="AO407" s="258"/>
      <c r="AQ407" s="258"/>
      <c r="AR407" s="258"/>
      <c r="AS407" s="258"/>
      <c r="AT407" s="256"/>
      <c r="AU407" s="408"/>
      <c r="AV407" s="256"/>
      <c r="AW407" s="408"/>
    </row>
    <row r="408" spans="1:49" ht="14.4" customHeight="1" x14ac:dyDescent="0.3">
      <c r="A408" s="645"/>
      <c r="C408" s="39"/>
      <c r="D408" s="756"/>
      <c r="E408" s="39"/>
      <c r="F408" s="39"/>
      <c r="G408" s="39"/>
      <c r="H408" s="39"/>
      <c r="I408" s="100"/>
      <c r="J408" s="405"/>
      <c r="K408" s="39"/>
      <c r="L408" s="39"/>
      <c r="S408" s="607"/>
      <c r="W408" s="437"/>
      <c r="AC408" s="258"/>
      <c r="AD408" s="258"/>
      <c r="AE408" s="255"/>
      <c r="AF408" s="258"/>
      <c r="AH408" s="258"/>
      <c r="AK408" s="258"/>
      <c r="AM408" s="258"/>
      <c r="AN408" s="258"/>
      <c r="AO408" s="258"/>
      <c r="AQ408" s="258"/>
      <c r="AR408" s="258"/>
      <c r="AS408" s="258"/>
      <c r="AT408" s="256"/>
      <c r="AU408" s="408"/>
      <c r="AV408" s="256"/>
      <c r="AW408" s="408"/>
    </row>
    <row r="409" spans="1:49" ht="14.4" customHeight="1" x14ac:dyDescent="0.3">
      <c r="A409" s="645"/>
      <c r="C409" s="39"/>
      <c r="D409" s="756"/>
      <c r="E409" s="39"/>
      <c r="F409" s="39"/>
      <c r="G409" s="39"/>
      <c r="H409" s="39"/>
      <c r="I409" s="100"/>
      <c r="J409" s="405"/>
      <c r="K409" s="39"/>
      <c r="L409" s="39"/>
      <c r="S409" s="607"/>
      <c r="W409" s="437"/>
      <c r="AC409" s="258"/>
      <c r="AD409" s="258"/>
      <c r="AE409" s="255"/>
      <c r="AF409" s="258"/>
      <c r="AH409" s="258"/>
      <c r="AK409" s="258"/>
      <c r="AM409" s="258"/>
      <c r="AN409" s="258"/>
      <c r="AO409" s="258"/>
      <c r="AQ409" s="258"/>
      <c r="AR409" s="258"/>
      <c r="AS409" s="258"/>
      <c r="AT409" s="256"/>
      <c r="AU409" s="408"/>
      <c r="AV409" s="256"/>
      <c r="AW409" s="408"/>
    </row>
    <row r="410" spans="1:49" ht="14.4" customHeight="1" x14ac:dyDescent="0.3">
      <c r="A410" s="645"/>
      <c r="C410" s="39"/>
      <c r="D410" s="756"/>
      <c r="E410" s="39"/>
      <c r="F410" s="39"/>
      <c r="G410" s="39"/>
      <c r="H410" s="39"/>
      <c r="I410" s="100"/>
      <c r="J410" s="405"/>
      <c r="K410" s="39"/>
      <c r="L410" s="39"/>
      <c r="S410" s="607"/>
      <c r="W410" s="437"/>
      <c r="AC410" s="258"/>
      <c r="AD410" s="258"/>
      <c r="AE410" s="255"/>
      <c r="AF410" s="258"/>
      <c r="AH410" s="258"/>
      <c r="AK410" s="258"/>
      <c r="AM410" s="258"/>
      <c r="AN410" s="258"/>
      <c r="AO410" s="258"/>
      <c r="AQ410" s="258"/>
      <c r="AR410" s="258"/>
      <c r="AS410" s="258"/>
      <c r="AT410" s="256"/>
      <c r="AU410" s="408"/>
      <c r="AV410" s="256"/>
      <c r="AW410" s="408"/>
    </row>
    <row r="411" spans="1:49" ht="14.4" customHeight="1" x14ac:dyDescent="0.3">
      <c r="A411" s="645"/>
      <c r="C411" s="39"/>
      <c r="D411" s="756"/>
      <c r="E411" s="39"/>
      <c r="F411" s="39"/>
      <c r="G411" s="39"/>
      <c r="H411" s="39"/>
      <c r="I411" s="100"/>
      <c r="J411" s="405"/>
      <c r="K411" s="39"/>
      <c r="L411" s="39"/>
      <c r="S411" s="607"/>
      <c r="W411" s="437"/>
      <c r="AC411" s="258"/>
      <c r="AD411" s="258"/>
      <c r="AE411" s="255"/>
      <c r="AF411" s="258"/>
      <c r="AH411" s="258"/>
      <c r="AK411" s="258"/>
      <c r="AM411" s="258"/>
      <c r="AN411" s="258"/>
      <c r="AO411" s="258"/>
      <c r="AQ411" s="258"/>
      <c r="AR411" s="258"/>
      <c r="AS411" s="258"/>
      <c r="AT411" s="256"/>
      <c r="AU411" s="408"/>
      <c r="AV411" s="256"/>
      <c r="AW411" s="408"/>
    </row>
    <row r="412" spans="1:49" ht="14.4" customHeight="1" x14ac:dyDescent="0.3">
      <c r="A412" s="645"/>
      <c r="C412" s="39"/>
      <c r="D412" s="756"/>
      <c r="E412" s="39"/>
      <c r="F412" s="39"/>
      <c r="G412" s="39"/>
      <c r="H412" s="39"/>
      <c r="I412" s="100"/>
      <c r="J412" s="405"/>
      <c r="K412" s="39"/>
      <c r="L412" s="39"/>
      <c r="S412" s="607"/>
      <c r="W412" s="437"/>
      <c r="AC412" s="258"/>
      <c r="AD412" s="258"/>
      <c r="AE412" s="255"/>
      <c r="AF412" s="258"/>
      <c r="AH412" s="258"/>
      <c r="AK412" s="258"/>
      <c r="AM412" s="258"/>
      <c r="AN412" s="258"/>
      <c r="AO412" s="258"/>
      <c r="AQ412" s="258"/>
      <c r="AR412" s="258"/>
      <c r="AS412" s="258"/>
      <c r="AT412" s="256"/>
      <c r="AU412" s="408"/>
      <c r="AV412" s="256"/>
      <c r="AW412" s="408"/>
    </row>
    <row r="413" spans="1:49" ht="14.4" customHeight="1" x14ac:dyDescent="0.3">
      <c r="A413" s="645"/>
      <c r="C413" s="39"/>
      <c r="D413" s="756"/>
      <c r="E413" s="39"/>
      <c r="F413" s="39"/>
      <c r="G413" s="39"/>
      <c r="H413" s="39"/>
      <c r="I413" s="100"/>
      <c r="J413" s="405"/>
      <c r="K413" s="39"/>
      <c r="L413" s="39"/>
      <c r="S413" s="607"/>
      <c r="W413" s="437"/>
      <c r="AC413" s="258"/>
      <c r="AD413" s="258"/>
      <c r="AE413" s="255"/>
      <c r="AF413" s="258"/>
      <c r="AH413" s="258"/>
      <c r="AK413" s="258"/>
      <c r="AM413" s="258"/>
      <c r="AN413" s="258"/>
      <c r="AO413" s="258"/>
      <c r="AQ413" s="258"/>
      <c r="AR413" s="258"/>
      <c r="AS413" s="258"/>
      <c r="AT413" s="256"/>
      <c r="AU413" s="408"/>
      <c r="AV413" s="256"/>
      <c r="AW413" s="408"/>
    </row>
    <row r="414" spans="1:49" ht="14.4" customHeight="1" x14ac:dyDescent="0.3">
      <c r="A414" s="645"/>
      <c r="C414" s="39"/>
      <c r="D414" s="756"/>
      <c r="E414" s="39"/>
      <c r="F414" s="39"/>
      <c r="G414" s="39"/>
      <c r="H414" s="39"/>
      <c r="I414" s="100"/>
      <c r="J414" s="405"/>
      <c r="K414" s="39"/>
      <c r="L414" s="39"/>
      <c r="S414" s="607"/>
      <c r="W414" s="437"/>
      <c r="AC414" s="258"/>
      <c r="AD414" s="258"/>
      <c r="AE414" s="255"/>
      <c r="AF414" s="258"/>
      <c r="AH414" s="258"/>
      <c r="AK414" s="258"/>
      <c r="AM414" s="258"/>
      <c r="AN414" s="258"/>
      <c r="AO414" s="258"/>
      <c r="AQ414" s="258"/>
      <c r="AR414" s="258"/>
      <c r="AS414" s="258"/>
      <c r="AT414" s="256"/>
      <c r="AU414" s="408"/>
      <c r="AV414" s="256"/>
      <c r="AW414" s="408"/>
    </row>
    <row r="415" spans="1:49" ht="14.4" customHeight="1" x14ac:dyDescent="0.3">
      <c r="A415" s="645"/>
      <c r="C415" s="39"/>
      <c r="D415" s="756"/>
      <c r="E415" s="39"/>
      <c r="F415" s="39"/>
      <c r="G415" s="39"/>
      <c r="H415" s="39"/>
      <c r="I415" s="100"/>
      <c r="J415" s="405"/>
      <c r="K415" s="39"/>
      <c r="L415" s="39"/>
      <c r="S415" s="607"/>
      <c r="W415" s="437"/>
      <c r="AC415" s="258"/>
      <c r="AD415" s="258"/>
      <c r="AE415" s="255"/>
      <c r="AF415" s="258"/>
      <c r="AH415" s="258"/>
      <c r="AK415" s="258"/>
      <c r="AM415" s="258"/>
      <c r="AN415" s="258"/>
      <c r="AO415" s="258"/>
      <c r="AQ415" s="258"/>
      <c r="AR415" s="258"/>
      <c r="AS415" s="258"/>
      <c r="AT415" s="256"/>
      <c r="AU415" s="408"/>
      <c r="AV415" s="256"/>
      <c r="AW415" s="408"/>
    </row>
    <row r="416" spans="1:49" ht="14.4" customHeight="1" x14ac:dyDescent="0.3">
      <c r="A416" s="645"/>
      <c r="C416" s="39"/>
      <c r="D416" s="756"/>
      <c r="E416" s="39"/>
      <c r="F416" s="39"/>
      <c r="G416" s="39"/>
      <c r="H416" s="39"/>
      <c r="I416" s="100"/>
      <c r="J416" s="405"/>
      <c r="K416" s="39"/>
      <c r="L416" s="39"/>
      <c r="S416" s="607"/>
      <c r="W416" s="437"/>
      <c r="AC416" s="258"/>
      <c r="AD416" s="258"/>
      <c r="AE416" s="255"/>
      <c r="AF416" s="258"/>
      <c r="AH416" s="258"/>
      <c r="AK416" s="258"/>
      <c r="AM416" s="258"/>
      <c r="AN416" s="258"/>
      <c r="AO416" s="258"/>
      <c r="AQ416" s="258"/>
      <c r="AR416" s="258"/>
      <c r="AS416" s="258"/>
      <c r="AT416" s="256"/>
      <c r="AU416" s="408"/>
      <c r="AV416" s="256"/>
      <c r="AW416" s="408"/>
    </row>
    <row r="417" spans="1:49" ht="14.4" customHeight="1" x14ac:dyDescent="0.3">
      <c r="A417" s="645"/>
      <c r="C417" s="39"/>
      <c r="D417" s="756"/>
      <c r="E417" s="39"/>
      <c r="F417" s="39"/>
      <c r="G417" s="39"/>
      <c r="H417" s="39"/>
      <c r="I417" s="100"/>
      <c r="J417" s="405"/>
      <c r="K417" s="39"/>
      <c r="L417" s="39"/>
      <c r="S417" s="607"/>
      <c r="W417" s="437"/>
      <c r="AC417" s="258"/>
      <c r="AD417" s="258"/>
      <c r="AE417" s="255"/>
      <c r="AF417" s="258"/>
      <c r="AH417" s="258"/>
      <c r="AK417" s="258"/>
      <c r="AM417" s="258"/>
      <c r="AN417" s="258"/>
      <c r="AO417" s="258"/>
      <c r="AQ417" s="258"/>
      <c r="AR417" s="258"/>
      <c r="AS417" s="258"/>
      <c r="AT417" s="256"/>
      <c r="AU417" s="408"/>
      <c r="AV417" s="256"/>
      <c r="AW417" s="408"/>
    </row>
    <row r="418" spans="1:49" ht="14.4" customHeight="1" x14ac:dyDescent="0.3">
      <c r="A418" s="645"/>
      <c r="C418" s="39"/>
      <c r="D418" s="756"/>
      <c r="E418" s="39"/>
      <c r="F418" s="39"/>
      <c r="G418" s="39"/>
      <c r="H418" s="39"/>
      <c r="I418" s="100"/>
      <c r="J418" s="405"/>
      <c r="K418" s="39"/>
      <c r="L418" s="39"/>
      <c r="S418" s="607"/>
      <c r="W418" s="437"/>
      <c r="AC418" s="258"/>
      <c r="AD418" s="258"/>
      <c r="AE418" s="255"/>
      <c r="AF418" s="258"/>
      <c r="AH418" s="258"/>
      <c r="AK418" s="258"/>
      <c r="AM418" s="258"/>
      <c r="AN418" s="258"/>
      <c r="AO418" s="258"/>
      <c r="AQ418" s="258"/>
      <c r="AR418" s="258"/>
      <c r="AS418" s="258"/>
      <c r="AT418" s="256"/>
      <c r="AU418" s="408"/>
      <c r="AV418" s="256"/>
      <c r="AW418" s="408"/>
    </row>
    <row r="419" spans="1:49" ht="14.4" customHeight="1" x14ac:dyDescent="0.3">
      <c r="A419" s="645"/>
      <c r="C419" s="39"/>
      <c r="D419" s="756"/>
      <c r="E419" s="39"/>
      <c r="F419" s="39"/>
      <c r="G419" s="39"/>
      <c r="H419" s="39"/>
      <c r="I419" s="100"/>
      <c r="J419" s="405"/>
      <c r="K419" s="39"/>
      <c r="L419" s="39"/>
      <c r="S419" s="607"/>
      <c r="W419" s="437"/>
      <c r="AC419" s="258"/>
      <c r="AD419" s="258"/>
      <c r="AE419" s="255"/>
      <c r="AF419" s="258"/>
      <c r="AH419" s="258"/>
      <c r="AK419" s="258"/>
      <c r="AM419" s="258"/>
      <c r="AN419" s="258"/>
      <c r="AO419" s="258"/>
      <c r="AQ419" s="258"/>
      <c r="AR419" s="258"/>
      <c r="AS419" s="258"/>
      <c r="AT419" s="256"/>
      <c r="AU419" s="408"/>
      <c r="AV419" s="256"/>
      <c r="AW419" s="408"/>
    </row>
    <row r="420" spans="1:49" ht="14.4" customHeight="1" x14ac:dyDescent="0.3">
      <c r="A420" s="645"/>
      <c r="C420" s="39"/>
      <c r="D420" s="756"/>
      <c r="E420" s="39"/>
      <c r="F420" s="39"/>
      <c r="G420" s="39"/>
      <c r="H420" s="39"/>
      <c r="I420" s="100"/>
      <c r="J420" s="405"/>
      <c r="K420" s="39"/>
      <c r="L420" s="39"/>
      <c r="S420" s="607"/>
      <c r="W420" s="437"/>
      <c r="AC420" s="258"/>
      <c r="AD420" s="258"/>
      <c r="AE420" s="255"/>
      <c r="AF420" s="258"/>
      <c r="AH420" s="258"/>
      <c r="AK420" s="258"/>
      <c r="AM420" s="258"/>
      <c r="AN420" s="258"/>
      <c r="AO420" s="258"/>
      <c r="AQ420" s="258"/>
      <c r="AR420" s="258"/>
      <c r="AS420" s="258"/>
      <c r="AT420" s="256"/>
      <c r="AU420" s="408"/>
      <c r="AV420" s="256"/>
      <c r="AW420" s="408"/>
    </row>
    <row r="421" spans="1:49" ht="14.4" customHeight="1" x14ac:dyDescent="0.3">
      <c r="A421" s="645"/>
      <c r="C421" s="39"/>
      <c r="D421" s="756"/>
      <c r="E421" s="39"/>
      <c r="F421" s="39"/>
      <c r="G421" s="39"/>
      <c r="H421" s="39"/>
      <c r="I421" s="100"/>
      <c r="J421" s="405"/>
      <c r="K421" s="39"/>
      <c r="L421" s="39"/>
      <c r="S421" s="607"/>
      <c r="W421" s="437"/>
      <c r="AC421" s="258"/>
      <c r="AD421" s="258"/>
      <c r="AE421" s="255"/>
      <c r="AF421" s="258"/>
      <c r="AH421" s="258"/>
      <c r="AK421" s="258"/>
      <c r="AM421" s="258"/>
      <c r="AN421" s="258"/>
      <c r="AO421" s="258"/>
      <c r="AQ421" s="258"/>
      <c r="AR421" s="258"/>
      <c r="AS421" s="258"/>
      <c r="AT421" s="256"/>
      <c r="AU421" s="408"/>
      <c r="AV421" s="256"/>
      <c r="AW421" s="408"/>
    </row>
    <row r="422" spans="1:49" ht="14.4" customHeight="1" x14ac:dyDescent="0.3">
      <c r="A422" s="645"/>
      <c r="C422" s="39"/>
      <c r="D422" s="756"/>
      <c r="E422" s="39"/>
      <c r="F422" s="39"/>
      <c r="G422" s="39"/>
      <c r="H422" s="39"/>
      <c r="I422" s="100"/>
      <c r="J422" s="405"/>
      <c r="K422" s="39"/>
      <c r="L422" s="39"/>
      <c r="S422" s="607"/>
      <c r="W422" s="437"/>
      <c r="AC422" s="258"/>
      <c r="AD422" s="258"/>
      <c r="AE422" s="255"/>
      <c r="AF422" s="258"/>
      <c r="AH422" s="258"/>
      <c r="AK422" s="258"/>
      <c r="AM422" s="258"/>
      <c r="AN422" s="258"/>
      <c r="AO422" s="258"/>
      <c r="AQ422" s="258"/>
      <c r="AR422" s="258"/>
      <c r="AS422" s="258"/>
      <c r="AT422" s="256"/>
      <c r="AU422" s="408"/>
      <c r="AV422" s="256"/>
      <c r="AW422" s="408"/>
    </row>
    <row r="423" spans="1:49" ht="14.4" customHeight="1" x14ac:dyDescent="0.3">
      <c r="A423" s="645"/>
      <c r="C423" s="39"/>
      <c r="D423" s="756"/>
      <c r="E423" s="39"/>
      <c r="F423" s="39"/>
      <c r="G423" s="39"/>
      <c r="H423" s="39"/>
      <c r="I423" s="100"/>
      <c r="J423" s="405"/>
      <c r="K423" s="39"/>
      <c r="L423" s="39"/>
      <c r="S423" s="607"/>
      <c r="W423" s="437"/>
      <c r="AC423" s="258"/>
      <c r="AD423" s="258"/>
      <c r="AE423" s="255"/>
      <c r="AF423" s="258"/>
      <c r="AH423" s="258"/>
      <c r="AK423" s="258"/>
      <c r="AM423" s="258"/>
      <c r="AN423" s="258"/>
      <c r="AO423" s="258"/>
      <c r="AQ423" s="258"/>
      <c r="AR423" s="258"/>
      <c r="AS423" s="258"/>
      <c r="AT423" s="256"/>
      <c r="AU423" s="408"/>
      <c r="AV423" s="256"/>
      <c r="AW423" s="408"/>
    </row>
    <row r="424" spans="1:49" ht="14.4" customHeight="1" x14ac:dyDescent="0.3">
      <c r="A424" s="645"/>
      <c r="C424" s="39"/>
      <c r="D424" s="756"/>
      <c r="E424" s="39"/>
      <c r="F424" s="39"/>
      <c r="G424" s="39"/>
      <c r="H424" s="39"/>
      <c r="I424" s="100"/>
      <c r="J424" s="405"/>
      <c r="K424" s="39"/>
      <c r="L424" s="39"/>
      <c r="S424" s="607"/>
      <c r="W424" s="437"/>
      <c r="AC424" s="258"/>
      <c r="AD424" s="258"/>
      <c r="AE424" s="255"/>
      <c r="AF424" s="258"/>
      <c r="AH424" s="258"/>
      <c r="AK424" s="258"/>
      <c r="AM424" s="258"/>
      <c r="AN424" s="258"/>
      <c r="AO424" s="258"/>
      <c r="AQ424" s="258"/>
      <c r="AR424" s="258"/>
      <c r="AS424" s="258"/>
      <c r="AT424" s="256"/>
      <c r="AU424" s="408"/>
      <c r="AV424" s="256"/>
      <c r="AW424" s="408"/>
    </row>
    <row r="425" spans="1:49" ht="14.4" customHeight="1" x14ac:dyDescent="0.3">
      <c r="A425" s="645"/>
      <c r="C425" s="39"/>
      <c r="D425" s="756"/>
      <c r="E425" s="39"/>
      <c r="F425" s="39"/>
      <c r="G425" s="39"/>
      <c r="H425" s="39"/>
      <c r="I425" s="100"/>
      <c r="J425" s="405"/>
      <c r="K425" s="39"/>
      <c r="L425" s="39"/>
      <c r="S425" s="607"/>
      <c r="W425" s="437"/>
      <c r="AC425" s="258"/>
      <c r="AD425" s="258"/>
      <c r="AE425" s="255"/>
      <c r="AF425" s="258"/>
      <c r="AH425" s="258"/>
      <c r="AK425" s="258"/>
      <c r="AM425" s="258"/>
      <c r="AN425" s="258"/>
      <c r="AO425" s="258"/>
      <c r="AQ425" s="258"/>
      <c r="AR425" s="258"/>
      <c r="AS425" s="258"/>
      <c r="AT425" s="256"/>
      <c r="AU425" s="408"/>
      <c r="AV425" s="256"/>
      <c r="AW425" s="408"/>
    </row>
    <row r="426" spans="1:49" ht="14.4" customHeight="1" x14ac:dyDescent="0.3">
      <c r="A426" s="645"/>
      <c r="C426" s="39"/>
      <c r="D426" s="756"/>
      <c r="E426" s="39"/>
      <c r="F426" s="39"/>
      <c r="G426" s="39"/>
      <c r="H426" s="39"/>
      <c r="I426" s="100"/>
      <c r="J426" s="405"/>
      <c r="K426" s="39"/>
      <c r="L426" s="39"/>
      <c r="S426" s="607"/>
      <c r="W426" s="437"/>
      <c r="AC426" s="258"/>
      <c r="AD426" s="258"/>
      <c r="AE426" s="255"/>
      <c r="AF426" s="258"/>
      <c r="AH426" s="258"/>
      <c r="AK426" s="258"/>
      <c r="AM426" s="258"/>
      <c r="AN426" s="258"/>
      <c r="AO426" s="258"/>
      <c r="AQ426" s="258"/>
      <c r="AR426" s="258"/>
      <c r="AS426" s="258"/>
      <c r="AT426" s="256"/>
      <c r="AU426" s="408"/>
      <c r="AV426" s="256"/>
      <c r="AW426" s="408"/>
    </row>
    <row r="427" spans="1:49" ht="14.4" customHeight="1" x14ac:dyDescent="0.3">
      <c r="A427" s="645"/>
      <c r="C427" s="39"/>
      <c r="D427" s="756"/>
      <c r="E427" s="39"/>
      <c r="F427" s="39"/>
      <c r="G427" s="39"/>
      <c r="H427" s="39"/>
      <c r="I427" s="100"/>
      <c r="J427" s="405"/>
      <c r="K427" s="39"/>
      <c r="L427" s="39"/>
      <c r="S427" s="607"/>
      <c r="W427" s="437"/>
      <c r="AC427" s="258"/>
      <c r="AD427" s="258"/>
      <c r="AE427" s="255"/>
      <c r="AF427" s="258"/>
      <c r="AH427" s="258"/>
      <c r="AK427" s="258"/>
      <c r="AM427" s="258"/>
      <c r="AN427" s="258"/>
      <c r="AO427" s="258"/>
      <c r="AQ427" s="258"/>
      <c r="AR427" s="258"/>
      <c r="AS427" s="258"/>
      <c r="AT427" s="256"/>
      <c r="AU427" s="408"/>
      <c r="AV427" s="256"/>
      <c r="AW427" s="408"/>
    </row>
    <row r="428" spans="1:49" ht="14.4" customHeight="1" x14ac:dyDescent="0.3">
      <c r="A428" s="645"/>
      <c r="C428" s="39"/>
      <c r="D428" s="756"/>
      <c r="E428" s="39"/>
      <c r="F428" s="39"/>
      <c r="G428" s="39"/>
      <c r="H428" s="39"/>
      <c r="I428" s="100"/>
      <c r="J428" s="405"/>
      <c r="K428" s="39"/>
      <c r="L428" s="39"/>
      <c r="S428" s="607"/>
      <c r="W428" s="437"/>
      <c r="AC428" s="258"/>
      <c r="AD428" s="258"/>
      <c r="AE428" s="255"/>
      <c r="AF428" s="258"/>
      <c r="AH428" s="258"/>
      <c r="AK428" s="258"/>
      <c r="AM428" s="258"/>
      <c r="AN428" s="258"/>
      <c r="AO428" s="258"/>
      <c r="AQ428" s="258"/>
      <c r="AR428" s="258"/>
      <c r="AS428" s="258"/>
      <c r="AT428" s="256"/>
      <c r="AU428" s="408"/>
      <c r="AV428" s="256"/>
      <c r="AW428" s="408"/>
    </row>
    <row r="429" spans="1:49" ht="14.4" customHeight="1" x14ac:dyDescent="0.3">
      <c r="A429" s="645"/>
      <c r="C429" s="39"/>
      <c r="D429" s="756"/>
      <c r="E429" s="39"/>
      <c r="F429" s="39"/>
      <c r="G429" s="39"/>
      <c r="H429" s="39"/>
      <c r="I429" s="100"/>
      <c r="J429" s="405"/>
      <c r="K429" s="39"/>
      <c r="L429" s="39"/>
      <c r="S429" s="607"/>
      <c r="W429" s="437"/>
      <c r="AC429" s="258"/>
      <c r="AD429" s="258"/>
      <c r="AE429" s="255"/>
      <c r="AF429" s="258"/>
      <c r="AH429" s="258"/>
      <c r="AK429" s="258"/>
      <c r="AM429" s="258"/>
      <c r="AN429" s="258"/>
      <c r="AO429" s="258"/>
      <c r="AQ429" s="258"/>
      <c r="AR429" s="258"/>
      <c r="AS429" s="258"/>
      <c r="AT429" s="256"/>
      <c r="AU429" s="408"/>
      <c r="AV429" s="256"/>
      <c r="AW429" s="408"/>
    </row>
    <row r="430" spans="1:49" ht="14.4" customHeight="1" x14ac:dyDescent="0.3">
      <c r="A430" s="645"/>
      <c r="C430" s="39"/>
      <c r="D430" s="756"/>
      <c r="E430" s="39"/>
      <c r="F430" s="39"/>
      <c r="G430" s="39"/>
      <c r="H430" s="39"/>
      <c r="I430" s="100"/>
      <c r="J430" s="405"/>
      <c r="K430" s="39"/>
      <c r="L430" s="39"/>
      <c r="S430" s="607"/>
      <c r="W430" s="437"/>
      <c r="AC430" s="258"/>
      <c r="AD430" s="258"/>
      <c r="AE430" s="255"/>
      <c r="AF430" s="258"/>
      <c r="AH430" s="258"/>
      <c r="AK430" s="258"/>
      <c r="AM430" s="258"/>
      <c r="AN430" s="258"/>
      <c r="AO430" s="258"/>
      <c r="AQ430" s="258"/>
      <c r="AR430" s="258"/>
      <c r="AS430" s="258"/>
      <c r="AT430" s="256"/>
      <c r="AU430" s="408"/>
      <c r="AV430" s="256"/>
      <c r="AW430" s="408"/>
    </row>
    <row r="431" spans="1:49" ht="14.4" customHeight="1" x14ac:dyDescent="0.3">
      <c r="A431" s="645"/>
      <c r="C431" s="39"/>
      <c r="D431" s="756"/>
      <c r="E431" s="39"/>
      <c r="F431" s="39"/>
      <c r="G431" s="39"/>
      <c r="H431" s="39"/>
      <c r="I431" s="100"/>
      <c r="J431" s="405"/>
      <c r="K431" s="39"/>
      <c r="L431" s="39"/>
      <c r="S431" s="607"/>
      <c r="W431" s="437"/>
      <c r="AC431" s="258"/>
      <c r="AD431" s="258"/>
      <c r="AE431" s="255"/>
      <c r="AF431" s="258"/>
      <c r="AH431" s="258"/>
      <c r="AK431" s="258"/>
      <c r="AM431" s="258"/>
      <c r="AN431" s="258"/>
      <c r="AO431" s="258"/>
      <c r="AQ431" s="258"/>
      <c r="AR431" s="258"/>
      <c r="AS431" s="258"/>
      <c r="AT431" s="256"/>
      <c r="AU431" s="408"/>
      <c r="AV431" s="256"/>
      <c r="AW431" s="408"/>
    </row>
    <row r="432" spans="1:49" ht="14.4" customHeight="1" x14ac:dyDescent="0.3">
      <c r="A432" s="645"/>
      <c r="C432" s="39"/>
      <c r="D432" s="756"/>
      <c r="E432" s="39"/>
      <c r="F432" s="39"/>
      <c r="G432" s="39"/>
      <c r="H432" s="39"/>
      <c r="I432" s="100"/>
      <c r="J432" s="405"/>
      <c r="K432" s="39"/>
      <c r="L432" s="39"/>
      <c r="S432" s="607"/>
      <c r="W432" s="437"/>
      <c r="AC432" s="258"/>
      <c r="AD432" s="258"/>
      <c r="AE432" s="255"/>
      <c r="AF432" s="258"/>
      <c r="AH432" s="258"/>
      <c r="AK432" s="258"/>
      <c r="AM432" s="258"/>
      <c r="AN432" s="258"/>
      <c r="AO432" s="258"/>
      <c r="AQ432" s="258"/>
      <c r="AR432" s="258"/>
      <c r="AS432" s="258"/>
      <c r="AT432" s="256"/>
      <c r="AU432" s="408"/>
      <c r="AV432" s="256"/>
      <c r="AW432" s="408"/>
    </row>
    <row r="433" spans="1:49" ht="14.4" customHeight="1" x14ac:dyDescent="0.3">
      <c r="A433" s="645"/>
      <c r="C433" s="39"/>
      <c r="D433" s="756"/>
      <c r="E433" s="39"/>
      <c r="F433" s="39"/>
      <c r="G433" s="39"/>
      <c r="H433" s="39"/>
      <c r="I433" s="100"/>
      <c r="J433" s="405"/>
      <c r="K433" s="39"/>
      <c r="L433" s="39"/>
      <c r="S433" s="607"/>
      <c r="W433" s="437"/>
      <c r="AC433" s="258"/>
      <c r="AD433" s="258"/>
      <c r="AE433" s="255"/>
      <c r="AF433" s="258"/>
      <c r="AH433" s="258"/>
      <c r="AK433" s="258"/>
      <c r="AM433" s="258"/>
      <c r="AN433" s="258"/>
      <c r="AO433" s="258"/>
      <c r="AQ433" s="258"/>
      <c r="AR433" s="258"/>
      <c r="AS433" s="258"/>
      <c r="AT433" s="256"/>
      <c r="AU433" s="408"/>
      <c r="AV433" s="256"/>
      <c r="AW433" s="408"/>
    </row>
    <row r="434" spans="1:49" ht="14.4" customHeight="1" x14ac:dyDescent="0.3">
      <c r="A434" s="645"/>
      <c r="C434" s="39"/>
      <c r="D434" s="756"/>
      <c r="E434" s="39"/>
      <c r="F434" s="39"/>
      <c r="G434" s="39"/>
      <c r="H434" s="39"/>
      <c r="I434" s="100"/>
      <c r="J434" s="405"/>
      <c r="K434" s="39"/>
      <c r="L434" s="39"/>
      <c r="S434" s="607"/>
      <c r="W434" s="437"/>
      <c r="AC434" s="258"/>
      <c r="AD434" s="258"/>
      <c r="AE434" s="255"/>
      <c r="AF434" s="258"/>
      <c r="AH434" s="258"/>
      <c r="AK434" s="258"/>
      <c r="AM434" s="258"/>
      <c r="AN434" s="258"/>
      <c r="AO434" s="258"/>
      <c r="AQ434" s="258"/>
      <c r="AR434" s="258"/>
      <c r="AS434" s="258"/>
      <c r="AT434" s="256"/>
      <c r="AU434" s="408"/>
      <c r="AV434" s="256"/>
      <c r="AW434" s="408"/>
    </row>
    <row r="435" spans="1:49" ht="14.4" customHeight="1" x14ac:dyDescent="0.3">
      <c r="A435" s="645"/>
      <c r="C435" s="39"/>
      <c r="D435" s="756"/>
      <c r="E435" s="39"/>
      <c r="F435" s="39"/>
      <c r="G435" s="39"/>
      <c r="H435" s="39"/>
      <c r="I435" s="100"/>
      <c r="J435" s="405"/>
      <c r="K435" s="39"/>
      <c r="L435" s="39"/>
      <c r="S435" s="607"/>
      <c r="W435" s="437"/>
      <c r="AC435" s="258"/>
      <c r="AD435" s="258"/>
      <c r="AE435" s="255"/>
      <c r="AF435" s="258"/>
      <c r="AH435" s="258"/>
      <c r="AK435" s="258"/>
      <c r="AM435" s="258"/>
      <c r="AN435" s="258"/>
      <c r="AO435" s="258"/>
      <c r="AQ435" s="258"/>
      <c r="AR435" s="258"/>
      <c r="AS435" s="258"/>
      <c r="AT435" s="256"/>
      <c r="AU435" s="408"/>
      <c r="AV435" s="256"/>
      <c r="AW435" s="408"/>
    </row>
    <row r="436" spans="1:49" ht="14.4" customHeight="1" x14ac:dyDescent="0.3">
      <c r="A436" s="645"/>
      <c r="C436" s="39"/>
      <c r="D436" s="756"/>
      <c r="E436" s="39"/>
      <c r="F436" s="39"/>
      <c r="G436" s="39"/>
      <c r="H436" s="39"/>
      <c r="I436" s="100"/>
      <c r="J436" s="405"/>
      <c r="K436" s="39"/>
      <c r="L436" s="39"/>
      <c r="S436" s="607"/>
      <c r="W436" s="437"/>
      <c r="AC436" s="258"/>
      <c r="AD436" s="258"/>
      <c r="AE436" s="255"/>
      <c r="AF436" s="258"/>
      <c r="AH436" s="258"/>
      <c r="AK436" s="258"/>
      <c r="AM436" s="258"/>
      <c r="AN436" s="258"/>
      <c r="AO436" s="258"/>
      <c r="AQ436" s="258"/>
      <c r="AR436" s="258"/>
      <c r="AS436" s="258"/>
      <c r="AT436" s="256"/>
      <c r="AU436" s="408"/>
      <c r="AV436" s="256"/>
      <c r="AW436" s="408"/>
    </row>
    <row r="437" spans="1:49" ht="14.4" customHeight="1" x14ac:dyDescent="0.3">
      <c r="A437" s="645"/>
      <c r="C437" s="39"/>
      <c r="D437" s="756"/>
      <c r="E437" s="39"/>
      <c r="F437" s="39"/>
      <c r="G437" s="39"/>
      <c r="H437" s="39"/>
      <c r="I437" s="100"/>
      <c r="J437" s="405"/>
      <c r="K437" s="39"/>
      <c r="L437" s="39"/>
      <c r="S437" s="607"/>
      <c r="W437" s="437"/>
      <c r="AC437" s="258"/>
      <c r="AD437" s="258"/>
      <c r="AE437" s="255"/>
      <c r="AF437" s="258"/>
      <c r="AH437" s="258"/>
      <c r="AK437" s="258"/>
      <c r="AM437" s="258"/>
      <c r="AN437" s="258"/>
      <c r="AO437" s="258"/>
      <c r="AQ437" s="258"/>
      <c r="AR437" s="258"/>
      <c r="AS437" s="258"/>
      <c r="AT437" s="256"/>
      <c r="AU437" s="408"/>
      <c r="AV437" s="256"/>
      <c r="AW437" s="408"/>
    </row>
    <row r="438" spans="1:49" ht="14.4" customHeight="1" x14ac:dyDescent="0.3">
      <c r="A438" s="645"/>
      <c r="C438" s="39"/>
      <c r="D438" s="756"/>
      <c r="E438" s="39"/>
      <c r="F438" s="39"/>
      <c r="G438" s="39"/>
      <c r="H438" s="39"/>
      <c r="I438" s="100"/>
      <c r="J438" s="405"/>
      <c r="K438" s="39"/>
      <c r="L438" s="39"/>
      <c r="S438" s="607"/>
      <c r="W438" s="437"/>
      <c r="AC438" s="258"/>
      <c r="AD438" s="258"/>
      <c r="AE438" s="255"/>
      <c r="AF438" s="258"/>
      <c r="AH438" s="258"/>
      <c r="AK438" s="258"/>
      <c r="AM438" s="258"/>
      <c r="AN438" s="258"/>
      <c r="AO438" s="258"/>
      <c r="AQ438" s="258"/>
      <c r="AR438" s="258"/>
      <c r="AS438" s="258"/>
      <c r="AT438" s="256"/>
      <c r="AU438" s="408"/>
      <c r="AV438" s="256"/>
      <c r="AW438" s="408"/>
    </row>
    <row r="439" spans="1:49" ht="14.4" customHeight="1" x14ac:dyDescent="0.3">
      <c r="A439" s="645"/>
      <c r="C439" s="39"/>
      <c r="D439" s="756"/>
      <c r="E439" s="39"/>
      <c r="F439" s="39"/>
      <c r="G439" s="39"/>
      <c r="H439" s="39"/>
      <c r="I439" s="100"/>
      <c r="J439" s="405"/>
      <c r="K439" s="39"/>
      <c r="L439" s="39"/>
      <c r="S439" s="607"/>
      <c r="W439" s="437"/>
      <c r="AC439" s="258"/>
      <c r="AD439" s="258"/>
      <c r="AE439" s="255"/>
      <c r="AF439" s="258"/>
      <c r="AH439" s="258"/>
      <c r="AK439" s="258"/>
      <c r="AM439" s="258"/>
      <c r="AN439" s="258"/>
      <c r="AO439" s="258"/>
      <c r="AQ439" s="258"/>
      <c r="AR439" s="258"/>
      <c r="AS439" s="258"/>
      <c r="AT439" s="256"/>
      <c r="AU439" s="408"/>
      <c r="AV439" s="256"/>
      <c r="AW439" s="408"/>
    </row>
    <row r="440" spans="1:49" ht="14.4" customHeight="1" x14ac:dyDescent="0.3">
      <c r="A440" s="645"/>
      <c r="C440" s="39"/>
      <c r="D440" s="756"/>
      <c r="E440" s="39"/>
      <c r="F440" s="39"/>
      <c r="G440" s="39"/>
      <c r="H440" s="39"/>
      <c r="I440" s="100"/>
      <c r="J440" s="405"/>
      <c r="K440" s="39"/>
      <c r="L440" s="39"/>
      <c r="S440" s="607"/>
      <c r="W440" s="437"/>
      <c r="AC440" s="258"/>
      <c r="AD440" s="258"/>
      <c r="AE440" s="255"/>
      <c r="AF440" s="258"/>
      <c r="AH440" s="258"/>
      <c r="AK440" s="258"/>
      <c r="AM440" s="258"/>
      <c r="AN440" s="258"/>
      <c r="AO440" s="258"/>
      <c r="AQ440" s="258"/>
      <c r="AR440" s="258"/>
      <c r="AS440" s="258"/>
      <c r="AT440" s="256"/>
      <c r="AU440" s="408"/>
      <c r="AV440" s="256"/>
      <c r="AW440" s="408"/>
    </row>
    <row r="441" spans="1:49" ht="14.4" customHeight="1" x14ac:dyDescent="0.3">
      <c r="A441" s="645"/>
      <c r="C441" s="39"/>
      <c r="D441" s="756"/>
      <c r="E441" s="39"/>
      <c r="F441" s="39"/>
      <c r="G441" s="39"/>
      <c r="H441" s="39"/>
      <c r="I441" s="100"/>
      <c r="J441" s="405"/>
      <c r="K441" s="39"/>
      <c r="L441" s="39"/>
      <c r="S441" s="607"/>
      <c r="W441" s="437"/>
      <c r="AC441" s="258"/>
      <c r="AD441" s="258"/>
      <c r="AE441" s="255"/>
      <c r="AF441" s="258"/>
      <c r="AH441" s="258"/>
      <c r="AK441" s="258"/>
      <c r="AM441" s="258"/>
      <c r="AN441" s="258"/>
      <c r="AO441" s="258"/>
      <c r="AQ441" s="258"/>
      <c r="AR441" s="258"/>
      <c r="AS441" s="258"/>
      <c r="AT441" s="256"/>
      <c r="AU441" s="408"/>
      <c r="AV441" s="256"/>
      <c r="AW441" s="408"/>
    </row>
    <row r="442" spans="1:49" ht="14.4" customHeight="1" x14ac:dyDescent="0.3">
      <c r="A442" s="645"/>
      <c r="C442" s="39"/>
      <c r="D442" s="756"/>
      <c r="E442" s="39"/>
      <c r="F442" s="39"/>
      <c r="G442" s="39"/>
      <c r="H442" s="39"/>
      <c r="I442" s="100"/>
      <c r="J442" s="405"/>
      <c r="K442" s="39"/>
      <c r="L442" s="39"/>
      <c r="S442" s="607"/>
      <c r="W442" s="437"/>
      <c r="AC442" s="258"/>
      <c r="AD442" s="258"/>
      <c r="AE442" s="255"/>
      <c r="AF442" s="258"/>
      <c r="AH442" s="258"/>
      <c r="AK442" s="258"/>
      <c r="AM442" s="258"/>
      <c r="AN442" s="258"/>
      <c r="AO442" s="258"/>
      <c r="AQ442" s="258"/>
      <c r="AR442" s="258"/>
      <c r="AS442" s="258"/>
      <c r="AT442" s="256"/>
      <c r="AU442" s="408"/>
      <c r="AV442" s="256"/>
      <c r="AW442" s="408"/>
    </row>
    <row r="443" spans="1:49" ht="14.4" customHeight="1" x14ac:dyDescent="0.3">
      <c r="A443" s="645"/>
      <c r="C443" s="39"/>
      <c r="D443" s="756"/>
      <c r="E443" s="39"/>
      <c r="F443" s="39"/>
      <c r="G443" s="39"/>
      <c r="H443" s="39"/>
      <c r="I443" s="100"/>
      <c r="J443" s="405"/>
      <c r="K443" s="39"/>
      <c r="L443" s="39"/>
      <c r="S443" s="607"/>
      <c r="W443" s="437"/>
      <c r="AC443" s="258"/>
      <c r="AD443" s="258"/>
      <c r="AE443" s="255"/>
      <c r="AF443" s="258"/>
      <c r="AH443" s="258"/>
      <c r="AK443" s="258"/>
      <c r="AM443" s="258"/>
      <c r="AN443" s="258"/>
      <c r="AO443" s="258"/>
      <c r="AQ443" s="258"/>
      <c r="AR443" s="258"/>
      <c r="AS443" s="258"/>
      <c r="AT443" s="256"/>
      <c r="AU443" s="408"/>
      <c r="AV443" s="256"/>
      <c r="AW443" s="408"/>
    </row>
    <row r="444" spans="1:49" ht="14.4" customHeight="1" x14ac:dyDescent="0.3">
      <c r="A444" s="645"/>
      <c r="C444" s="39"/>
      <c r="D444" s="756"/>
      <c r="E444" s="39"/>
      <c r="F444" s="39"/>
      <c r="G444" s="39"/>
      <c r="H444" s="39"/>
      <c r="I444" s="100"/>
      <c r="J444" s="405"/>
      <c r="K444" s="39"/>
      <c r="L444" s="39"/>
      <c r="S444" s="607"/>
      <c r="W444" s="437"/>
      <c r="AC444" s="258"/>
      <c r="AD444" s="258"/>
      <c r="AE444" s="255"/>
      <c r="AF444" s="258"/>
      <c r="AH444" s="258"/>
      <c r="AK444" s="258"/>
      <c r="AM444" s="258"/>
      <c r="AN444" s="258"/>
      <c r="AO444" s="258"/>
      <c r="AQ444" s="258"/>
      <c r="AR444" s="258"/>
      <c r="AS444" s="258"/>
      <c r="AT444" s="256"/>
      <c r="AU444" s="408"/>
      <c r="AV444" s="256"/>
      <c r="AW444" s="408"/>
    </row>
    <row r="445" spans="1:49" ht="14.4" customHeight="1" x14ac:dyDescent="0.3">
      <c r="A445" s="645"/>
      <c r="C445" s="39"/>
      <c r="D445" s="756"/>
      <c r="E445" s="39"/>
      <c r="F445" s="39"/>
      <c r="G445" s="39"/>
      <c r="H445" s="39"/>
      <c r="I445" s="100"/>
      <c r="J445" s="405"/>
      <c r="K445" s="39"/>
      <c r="L445" s="39"/>
      <c r="S445" s="607"/>
      <c r="W445" s="437"/>
      <c r="AC445" s="258"/>
      <c r="AD445" s="258"/>
      <c r="AE445" s="255"/>
      <c r="AF445" s="258"/>
      <c r="AH445" s="258"/>
      <c r="AK445" s="258"/>
      <c r="AM445" s="258"/>
      <c r="AN445" s="258"/>
      <c r="AO445" s="258"/>
      <c r="AQ445" s="258"/>
      <c r="AR445" s="258"/>
      <c r="AS445" s="258"/>
      <c r="AT445" s="256"/>
      <c r="AU445" s="408"/>
      <c r="AV445" s="256"/>
      <c r="AW445" s="408"/>
    </row>
    <row r="446" spans="1:49" ht="14.4" customHeight="1" x14ac:dyDescent="0.3">
      <c r="A446" s="645"/>
      <c r="C446" s="39"/>
      <c r="D446" s="756"/>
      <c r="E446" s="39"/>
      <c r="F446" s="39"/>
      <c r="G446" s="39"/>
      <c r="H446" s="39"/>
      <c r="I446" s="100"/>
      <c r="J446" s="405"/>
      <c r="K446" s="39"/>
      <c r="L446" s="39"/>
      <c r="S446" s="607"/>
      <c r="W446" s="437"/>
      <c r="AC446" s="258"/>
      <c r="AD446" s="258"/>
      <c r="AE446" s="255"/>
      <c r="AF446" s="258"/>
      <c r="AH446" s="258"/>
      <c r="AK446" s="258"/>
      <c r="AM446" s="258"/>
      <c r="AN446" s="258"/>
      <c r="AO446" s="258"/>
      <c r="AQ446" s="258"/>
      <c r="AR446" s="258"/>
      <c r="AS446" s="258"/>
      <c r="AT446" s="256"/>
      <c r="AU446" s="408"/>
      <c r="AV446" s="256"/>
      <c r="AW446" s="408"/>
    </row>
    <row r="447" spans="1:49" ht="14.4" customHeight="1" x14ac:dyDescent="0.3">
      <c r="A447" s="645"/>
      <c r="C447" s="39"/>
      <c r="D447" s="756"/>
      <c r="E447" s="39"/>
      <c r="F447" s="39"/>
      <c r="G447" s="39"/>
      <c r="H447" s="39"/>
      <c r="I447" s="100"/>
      <c r="J447" s="405"/>
      <c r="K447" s="39"/>
      <c r="L447" s="39"/>
      <c r="S447" s="607"/>
      <c r="W447" s="437"/>
      <c r="AC447" s="258"/>
      <c r="AD447" s="258"/>
      <c r="AE447" s="255"/>
      <c r="AF447" s="258"/>
      <c r="AH447" s="258"/>
      <c r="AK447" s="258"/>
      <c r="AM447" s="258"/>
      <c r="AN447" s="258"/>
      <c r="AO447" s="258"/>
      <c r="AQ447" s="258"/>
      <c r="AR447" s="258"/>
      <c r="AS447" s="258"/>
      <c r="AT447" s="256"/>
      <c r="AU447" s="408"/>
      <c r="AV447" s="256"/>
      <c r="AW447" s="408"/>
    </row>
    <row r="448" spans="1:49" ht="14.4" customHeight="1" x14ac:dyDescent="0.3">
      <c r="A448" s="645"/>
      <c r="C448" s="39"/>
      <c r="D448" s="756"/>
      <c r="E448" s="39"/>
      <c r="F448" s="39"/>
      <c r="G448" s="39"/>
      <c r="H448" s="39"/>
      <c r="I448" s="100"/>
      <c r="J448" s="405"/>
      <c r="K448" s="39"/>
      <c r="L448" s="39"/>
      <c r="S448" s="607"/>
      <c r="W448" s="437"/>
      <c r="AC448" s="258"/>
      <c r="AD448" s="258"/>
      <c r="AE448" s="255"/>
      <c r="AF448" s="258"/>
      <c r="AH448" s="258"/>
      <c r="AK448" s="258"/>
      <c r="AM448" s="258"/>
      <c r="AN448" s="258"/>
      <c r="AO448" s="258"/>
      <c r="AQ448" s="258"/>
      <c r="AR448" s="258"/>
      <c r="AS448" s="258"/>
      <c r="AT448" s="256"/>
      <c r="AU448" s="408"/>
      <c r="AV448" s="256"/>
      <c r="AW448" s="408"/>
    </row>
    <row r="449" spans="1:49" ht="14.4" customHeight="1" x14ac:dyDescent="0.3">
      <c r="A449" s="645"/>
      <c r="C449" s="39"/>
      <c r="D449" s="756"/>
      <c r="E449" s="39"/>
      <c r="F449" s="39"/>
      <c r="G449" s="39"/>
      <c r="H449" s="39"/>
      <c r="I449" s="100"/>
      <c r="J449" s="405"/>
      <c r="K449" s="39"/>
      <c r="L449" s="39"/>
      <c r="S449" s="607"/>
      <c r="W449" s="437"/>
      <c r="AC449" s="258"/>
      <c r="AD449" s="258"/>
      <c r="AE449" s="255"/>
      <c r="AF449" s="258"/>
      <c r="AH449" s="258"/>
      <c r="AK449" s="258"/>
      <c r="AM449" s="258"/>
      <c r="AN449" s="258"/>
      <c r="AO449" s="258"/>
      <c r="AQ449" s="258"/>
      <c r="AR449" s="258"/>
      <c r="AS449" s="258"/>
      <c r="AT449" s="256"/>
      <c r="AU449" s="408"/>
      <c r="AV449" s="256"/>
      <c r="AW449" s="408"/>
    </row>
    <row r="450" spans="1:49" ht="14.4" customHeight="1" x14ac:dyDescent="0.3">
      <c r="A450" s="645"/>
      <c r="C450" s="39"/>
      <c r="D450" s="756"/>
      <c r="E450" s="39"/>
      <c r="F450" s="39"/>
      <c r="G450" s="39"/>
      <c r="H450" s="39"/>
      <c r="I450" s="100"/>
      <c r="J450" s="405"/>
      <c r="K450" s="39"/>
      <c r="L450" s="39"/>
      <c r="S450" s="607"/>
      <c r="W450" s="437"/>
      <c r="AC450" s="258"/>
      <c r="AD450" s="258"/>
      <c r="AE450" s="255"/>
      <c r="AF450" s="258"/>
      <c r="AH450" s="258"/>
      <c r="AK450" s="258"/>
      <c r="AM450" s="258"/>
      <c r="AN450" s="258"/>
      <c r="AO450" s="258"/>
      <c r="AQ450" s="258"/>
      <c r="AR450" s="258"/>
      <c r="AS450" s="258"/>
      <c r="AT450" s="256"/>
      <c r="AU450" s="408"/>
      <c r="AV450" s="256"/>
      <c r="AW450" s="408"/>
    </row>
    <row r="451" spans="1:49" ht="14.4" customHeight="1" x14ac:dyDescent="0.3">
      <c r="C451" s="39"/>
      <c r="D451" s="756"/>
      <c r="E451" s="39"/>
      <c r="F451" s="39"/>
      <c r="G451" s="39"/>
      <c r="H451" s="39"/>
      <c r="I451" s="100"/>
      <c r="J451" s="405"/>
      <c r="K451" s="39"/>
      <c r="L451" s="39"/>
      <c r="S451" s="607"/>
      <c r="W451" s="437"/>
      <c r="AC451" s="258"/>
      <c r="AD451" s="258"/>
      <c r="AE451" s="255"/>
      <c r="AF451" s="258"/>
      <c r="AH451" s="258"/>
      <c r="AK451" s="258"/>
      <c r="AM451" s="258"/>
      <c r="AN451" s="258"/>
      <c r="AO451" s="258"/>
      <c r="AQ451" s="258"/>
      <c r="AR451" s="258"/>
      <c r="AS451" s="258"/>
      <c r="AT451" s="256"/>
      <c r="AU451" s="408"/>
      <c r="AV451" s="256"/>
      <c r="AW451" s="408"/>
    </row>
    <row r="452" spans="1:49" ht="14.4" customHeight="1" x14ac:dyDescent="0.3">
      <c r="C452" s="39"/>
      <c r="D452" s="756"/>
      <c r="E452" s="39"/>
      <c r="F452" s="39"/>
      <c r="G452" s="39"/>
      <c r="H452" s="39"/>
      <c r="I452" s="100"/>
      <c r="J452" s="405"/>
      <c r="K452" s="39"/>
      <c r="L452" s="39"/>
      <c r="S452" s="607"/>
      <c r="W452" s="390"/>
      <c r="AE452" s="258"/>
    </row>
    <row r="453" spans="1:49" ht="14.4" customHeight="1" x14ac:dyDescent="0.3">
      <c r="C453" s="39"/>
      <c r="D453" s="756"/>
      <c r="E453" s="39"/>
      <c r="F453" s="39"/>
      <c r="G453" s="39"/>
      <c r="H453" s="39"/>
      <c r="I453" s="100"/>
      <c r="J453" s="405"/>
      <c r="K453" s="39"/>
      <c r="L453" s="39"/>
      <c r="S453" s="607"/>
      <c r="W453" s="390"/>
      <c r="AE453" s="258"/>
    </row>
    <row r="454" spans="1:49" ht="14.4" customHeight="1" x14ac:dyDescent="0.3">
      <c r="C454" s="39"/>
      <c r="D454" s="756"/>
      <c r="E454" s="39"/>
      <c r="F454" s="39"/>
      <c r="G454" s="39"/>
      <c r="H454" s="39"/>
      <c r="I454" s="100"/>
      <c r="J454" s="405"/>
      <c r="K454" s="39"/>
      <c r="L454" s="39"/>
      <c r="S454" s="607"/>
      <c r="W454" s="390"/>
      <c r="AE454" s="258"/>
    </row>
    <row r="455" spans="1:49" ht="14.4" customHeight="1" x14ac:dyDescent="0.3">
      <c r="C455" s="39"/>
      <c r="D455" s="756"/>
      <c r="E455" s="39"/>
      <c r="F455" s="39"/>
      <c r="G455" s="39"/>
      <c r="H455" s="39"/>
      <c r="I455" s="100"/>
      <c r="J455" s="405"/>
      <c r="K455" s="39"/>
      <c r="L455" s="39"/>
      <c r="S455" s="607"/>
      <c r="W455" s="390"/>
      <c r="AE455" s="258"/>
    </row>
    <row r="456" spans="1:49" ht="14.4" customHeight="1" x14ac:dyDescent="0.3">
      <c r="C456" s="39"/>
      <c r="D456" s="756"/>
      <c r="E456" s="39"/>
      <c r="F456" s="39"/>
      <c r="G456" s="39"/>
      <c r="H456" s="39"/>
      <c r="I456" s="100"/>
      <c r="J456" s="405"/>
      <c r="K456" s="39"/>
      <c r="L456" s="39"/>
      <c r="S456" s="607"/>
      <c r="W456" s="390"/>
      <c r="AE456" s="258"/>
    </row>
    <row r="457" spans="1:49" ht="14.4" customHeight="1" x14ac:dyDescent="0.3">
      <c r="C457" s="39"/>
      <c r="D457" s="756"/>
      <c r="E457" s="39"/>
      <c r="F457" s="39"/>
      <c r="G457" s="39"/>
      <c r="H457" s="39"/>
      <c r="I457" s="100"/>
      <c r="J457" s="405"/>
      <c r="K457" s="39"/>
      <c r="L457" s="39"/>
      <c r="S457" s="607"/>
      <c r="W457" s="390"/>
      <c r="AE457" s="258"/>
    </row>
    <row r="458" spans="1:49" ht="14.4" customHeight="1" x14ac:dyDescent="0.3">
      <c r="C458" s="39"/>
      <c r="D458" s="756"/>
      <c r="E458" s="39"/>
      <c r="F458" s="39"/>
      <c r="G458" s="39"/>
      <c r="H458" s="39"/>
      <c r="I458" s="100"/>
      <c r="J458" s="405"/>
      <c r="K458" s="39"/>
      <c r="L458" s="39"/>
      <c r="S458" s="607"/>
      <c r="W458" s="390"/>
      <c r="AE458" s="258"/>
    </row>
    <row r="459" spans="1:49" ht="14.4" customHeight="1" x14ac:dyDescent="0.3">
      <c r="C459" s="39"/>
      <c r="D459" s="756"/>
      <c r="E459" s="39"/>
      <c r="F459" s="39"/>
      <c r="G459" s="39"/>
      <c r="H459" s="39"/>
      <c r="I459" s="100"/>
      <c r="J459" s="405"/>
      <c r="K459" s="39"/>
      <c r="L459" s="39"/>
      <c r="S459" s="607"/>
      <c r="W459" s="390"/>
      <c r="AE459" s="258"/>
    </row>
    <row r="460" spans="1:49" ht="14.4" customHeight="1" x14ac:dyDescent="0.3">
      <c r="C460" s="39"/>
      <c r="D460" s="756"/>
      <c r="E460" s="39"/>
      <c r="F460" s="39"/>
      <c r="G460" s="39"/>
      <c r="H460" s="39"/>
      <c r="I460" s="100"/>
      <c r="J460" s="405"/>
      <c r="K460" s="39"/>
      <c r="L460" s="39"/>
      <c r="S460" s="607"/>
      <c r="W460" s="390"/>
      <c r="AE460" s="258"/>
    </row>
    <row r="461" spans="1:49" ht="14.4" customHeight="1" x14ac:dyDescent="0.3">
      <c r="C461" s="39"/>
      <c r="D461" s="756"/>
      <c r="E461" s="39"/>
      <c r="F461" s="39"/>
      <c r="G461" s="39"/>
      <c r="H461" s="39"/>
      <c r="I461" s="100"/>
      <c r="J461" s="405"/>
      <c r="K461" s="39"/>
      <c r="L461" s="39"/>
      <c r="S461" s="607"/>
      <c r="W461" s="390"/>
      <c r="AE461" s="258"/>
    </row>
    <row r="462" spans="1:49" ht="14.4" customHeight="1" x14ac:dyDescent="0.3">
      <c r="C462" s="39"/>
      <c r="D462" s="756"/>
      <c r="E462" s="39"/>
      <c r="F462" s="39"/>
      <c r="G462" s="39"/>
      <c r="H462" s="39"/>
      <c r="I462" s="100"/>
      <c r="J462" s="405"/>
      <c r="K462" s="39"/>
      <c r="L462" s="39"/>
      <c r="S462" s="607"/>
      <c r="W462" s="390"/>
      <c r="AE462" s="258"/>
    </row>
    <row r="463" spans="1:49" ht="14.4" customHeight="1" x14ac:dyDescent="0.3">
      <c r="C463" s="39"/>
      <c r="D463" s="756"/>
      <c r="E463" s="39"/>
      <c r="F463" s="39"/>
      <c r="G463" s="39"/>
      <c r="H463" s="39"/>
      <c r="I463" s="100"/>
      <c r="J463" s="405"/>
      <c r="K463" s="39"/>
      <c r="L463" s="39"/>
      <c r="S463" s="607"/>
      <c r="W463" s="390"/>
      <c r="AE463" s="258"/>
    </row>
    <row r="464" spans="1:49" ht="14.4" customHeight="1" x14ac:dyDescent="0.3">
      <c r="C464" s="39"/>
      <c r="D464" s="756"/>
      <c r="E464" s="39"/>
      <c r="F464" s="39"/>
      <c r="G464" s="39"/>
      <c r="H464" s="39"/>
      <c r="I464" s="100"/>
      <c r="J464" s="405"/>
      <c r="K464" s="39"/>
      <c r="L464" s="39"/>
      <c r="S464" s="607"/>
      <c r="W464" s="390"/>
      <c r="AE464" s="258"/>
    </row>
    <row r="465" spans="3:31" ht="14.4" customHeight="1" x14ac:dyDescent="0.3">
      <c r="C465" s="39"/>
      <c r="D465" s="756"/>
      <c r="E465" s="39"/>
      <c r="F465" s="39"/>
      <c r="G465" s="39"/>
      <c r="H465" s="39"/>
      <c r="I465" s="100"/>
      <c r="J465" s="405"/>
      <c r="K465" s="39"/>
      <c r="L465" s="39"/>
      <c r="S465" s="607"/>
      <c r="W465" s="390"/>
      <c r="AE465" s="258"/>
    </row>
    <row r="466" spans="3:31" ht="14.4" customHeight="1" x14ac:dyDescent="0.3">
      <c r="C466" s="39"/>
      <c r="D466" s="756"/>
      <c r="E466" s="39"/>
      <c r="F466" s="39"/>
      <c r="G466" s="39"/>
      <c r="H466" s="39"/>
      <c r="I466" s="100"/>
      <c r="J466" s="405"/>
      <c r="K466" s="39"/>
      <c r="L466" s="39"/>
      <c r="S466" s="607"/>
      <c r="W466" s="390"/>
      <c r="AE466" s="258"/>
    </row>
    <row r="467" spans="3:31" ht="14.4" customHeight="1" x14ac:dyDescent="0.3">
      <c r="C467" s="39"/>
      <c r="D467" s="756"/>
      <c r="E467" s="39"/>
      <c r="F467" s="39"/>
      <c r="G467" s="39"/>
      <c r="H467" s="39"/>
      <c r="I467" s="100"/>
      <c r="J467" s="405"/>
      <c r="K467" s="39"/>
      <c r="L467" s="39"/>
      <c r="S467" s="607"/>
      <c r="W467" s="390"/>
      <c r="AE467" s="258"/>
    </row>
    <row r="468" spans="3:31" ht="14.4" customHeight="1" x14ac:dyDescent="0.3">
      <c r="C468" s="39"/>
      <c r="D468" s="756"/>
      <c r="E468" s="39"/>
      <c r="F468" s="39"/>
      <c r="G468" s="39"/>
      <c r="H468" s="39"/>
      <c r="I468" s="100"/>
      <c r="J468" s="405"/>
      <c r="K468" s="39"/>
      <c r="L468" s="39"/>
      <c r="S468" s="607"/>
      <c r="W468" s="390"/>
      <c r="AE468" s="258"/>
    </row>
    <row r="469" spans="3:31" ht="14.4" customHeight="1" x14ac:dyDescent="0.3">
      <c r="C469" s="39"/>
      <c r="D469" s="756"/>
      <c r="E469" s="39"/>
      <c r="F469" s="39"/>
      <c r="G469" s="39"/>
      <c r="H469" s="39"/>
      <c r="I469" s="100"/>
      <c r="J469" s="405"/>
      <c r="K469" s="39"/>
      <c r="L469" s="39"/>
      <c r="S469" s="607"/>
      <c r="W469" s="390"/>
      <c r="AE469" s="258"/>
    </row>
    <row r="470" spans="3:31" ht="14.4" customHeight="1" x14ac:dyDescent="0.3">
      <c r="C470" s="39"/>
      <c r="D470" s="756"/>
      <c r="E470" s="39"/>
      <c r="F470" s="39"/>
      <c r="G470" s="39"/>
      <c r="H470" s="39"/>
      <c r="I470" s="100"/>
      <c r="J470" s="405"/>
      <c r="K470" s="39"/>
      <c r="L470" s="39"/>
      <c r="S470" s="607"/>
      <c r="W470" s="390"/>
      <c r="AE470" s="258"/>
    </row>
    <row r="471" spans="3:31" ht="14.4" customHeight="1" x14ac:dyDescent="0.3">
      <c r="C471" s="39"/>
      <c r="D471" s="756"/>
      <c r="E471" s="39"/>
      <c r="F471" s="39"/>
      <c r="G471" s="39"/>
      <c r="H471" s="39"/>
      <c r="I471" s="100"/>
      <c r="J471" s="405"/>
      <c r="K471" s="39"/>
      <c r="L471" s="39"/>
      <c r="S471" s="607"/>
      <c r="W471" s="390"/>
      <c r="AE471" s="258"/>
    </row>
    <row r="472" spans="3:31" ht="14.4" customHeight="1" x14ac:dyDescent="0.3">
      <c r="C472" s="39"/>
      <c r="D472" s="756"/>
      <c r="E472" s="39"/>
      <c r="F472" s="39"/>
      <c r="G472" s="39"/>
      <c r="H472" s="39"/>
      <c r="I472" s="100"/>
      <c r="J472" s="405"/>
      <c r="K472" s="39"/>
      <c r="L472" s="39"/>
      <c r="S472" s="607"/>
      <c r="W472" s="390"/>
      <c r="AE472" s="258"/>
    </row>
    <row r="473" spans="3:31" ht="14.4" customHeight="1" x14ac:dyDescent="0.3">
      <c r="C473" s="39"/>
      <c r="D473" s="756"/>
      <c r="E473" s="39"/>
      <c r="F473" s="39"/>
      <c r="G473" s="39"/>
      <c r="H473" s="39"/>
      <c r="I473" s="100"/>
      <c r="J473" s="405"/>
      <c r="K473" s="39"/>
      <c r="L473" s="39"/>
      <c r="S473" s="607"/>
      <c r="W473" s="390"/>
      <c r="AE473" s="258"/>
    </row>
    <row r="474" spans="3:31" ht="14.4" customHeight="1" x14ac:dyDescent="0.3">
      <c r="C474" s="39"/>
      <c r="D474" s="756"/>
      <c r="E474" s="39"/>
      <c r="F474" s="39"/>
      <c r="G474" s="39"/>
      <c r="H474" s="39"/>
      <c r="I474" s="100"/>
      <c r="J474" s="405"/>
      <c r="K474" s="39"/>
      <c r="L474" s="39"/>
      <c r="S474" s="607"/>
      <c r="W474" s="390"/>
      <c r="AE474" s="258"/>
    </row>
    <row r="475" spans="3:31" ht="14.4" customHeight="1" x14ac:dyDescent="0.3">
      <c r="C475" s="39"/>
      <c r="D475" s="756"/>
      <c r="E475" s="39"/>
      <c r="F475" s="39"/>
      <c r="G475" s="39"/>
      <c r="H475" s="39"/>
      <c r="I475" s="100"/>
      <c r="J475" s="405"/>
      <c r="K475" s="39"/>
      <c r="L475" s="39"/>
      <c r="S475" s="607"/>
      <c r="W475" s="390"/>
      <c r="AE475" s="258"/>
    </row>
    <row r="476" spans="3:31" ht="14.4" customHeight="1" x14ac:dyDescent="0.3">
      <c r="C476" s="39"/>
      <c r="D476" s="756"/>
      <c r="E476" s="39"/>
      <c r="F476" s="39"/>
      <c r="G476" s="39"/>
      <c r="H476" s="39"/>
      <c r="I476" s="100"/>
      <c r="J476" s="405"/>
      <c r="K476" s="39"/>
      <c r="L476" s="39"/>
      <c r="S476" s="607"/>
      <c r="W476" s="390"/>
      <c r="AE476" s="258"/>
    </row>
    <row r="477" spans="3:31" ht="14.4" customHeight="1" x14ac:dyDescent="0.3">
      <c r="C477" s="39"/>
      <c r="D477" s="756"/>
      <c r="E477" s="39"/>
      <c r="F477" s="39"/>
      <c r="G477" s="39"/>
      <c r="H477" s="39"/>
      <c r="I477" s="100"/>
      <c r="J477" s="405"/>
      <c r="K477" s="39"/>
      <c r="L477" s="39"/>
      <c r="S477" s="607"/>
      <c r="W477" s="390"/>
      <c r="AE477" s="258"/>
    </row>
    <row r="478" spans="3:31" ht="14.4" customHeight="1" x14ac:dyDescent="0.3">
      <c r="C478" s="39"/>
      <c r="D478" s="756"/>
      <c r="E478" s="39"/>
      <c r="F478" s="39"/>
      <c r="G478" s="39"/>
      <c r="H478" s="39"/>
      <c r="I478" s="100"/>
      <c r="J478" s="405"/>
      <c r="K478" s="39"/>
      <c r="L478" s="39"/>
      <c r="S478" s="607"/>
      <c r="W478" s="390"/>
      <c r="AE478" s="258"/>
    </row>
    <row r="479" spans="3:31" ht="14.4" customHeight="1" x14ac:dyDescent="0.3">
      <c r="C479" s="39"/>
      <c r="D479" s="756"/>
      <c r="E479" s="39"/>
      <c r="F479" s="39"/>
      <c r="G479" s="39"/>
      <c r="H479" s="39"/>
      <c r="I479" s="100"/>
      <c r="J479" s="405"/>
      <c r="K479" s="39"/>
      <c r="L479" s="39"/>
      <c r="S479" s="607"/>
      <c r="W479" s="390"/>
      <c r="AE479" s="258"/>
    </row>
    <row r="480" spans="3:31" ht="14.4" customHeight="1" x14ac:dyDescent="0.3">
      <c r="C480" s="39"/>
      <c r="D480" s="756"/>
      <c r="E480" s="39"/>
      <c r="F480" s="39"/>
      <c r="G480" s="39"/>
      <c r="H480" s="39"/>
      <c r="I480" s="100"/>
      <c r="J480" s="405"/>
      <c r="K480" s="39"/>
      <c r="L480" s="39"/>
      <c r="S480" s="607"/>
      <c r="W480" s="390"/>
      <c r="AE480" s="258"/>
    </row>
    <row r="481" spans="3:31" ht="14.4" customHeight="1" x14ac:dyDescent="0.3">
      <c r="C481" s="39"/>
      <c r="D481" s="756"/>
      <c r="E481" s="39"/>
      <c r="F481" s="39"/>
      <c r="G481" s="39"/>
      <c r="H481" s="39"/>
      <c r="I481" s="100"/>
      <c r="J481" s="405"/>
      <c r="K481" s="39"/>
      <c r="L481" s="39"/>
      <c r="S481" s="607"/>
      <c r="W481" s="390"/>
      <c r="AE481" s="258"/>
    </row>
    <row r="482" spans="3:31" ht="14.4" customHeight="1" x14ac:dyDescent="0.3">
      <c r="C482" s="39"/>
      <c r="D482" s="756"/>
      <c r="E482" s="39"/>
      <c r="F482" s="39"/>
      <c r="G482" s="39"/>
      <c r="H482" s="39"/>
      <c r="I482" s="100"/>
      <c r="J482" s="405"/>
      <c r="K482" s="39"/>
      <c r="L482" s="39"/>
      <c r="S482" s="607"/>
      <c r="W482" s="390"/>
      <c r="AE482" s="258"/>
    </row>
    <row r="483" spans="3:31" ht="14.4" customHeight="1" x14ac:dyDescent="0.3">
      <c r="C483" s="39"/>
      <c r="D483" s="756"/>
      <c r="E483" s="39"/>
      <c r="F483" s="39"/>
      <c r="G483" s="39"/>
      <c r="H483" s="39"/>
      <c r="I483" s="100"/>
      <c r="J483" s="405"/>
      <c r="K483" s="39"/>
      <c r="L483" s="39"/>
      <c r="S483" s="607"/>
      <c r="W483" s="390"/>
      <c r="AE483" s="258"/>
    </row>
    <row r="484" spans="3:31" ht="14.4" customHeight="1" x14ac:dyDescent="0.3">
      <c r="C484" s="39"/>
      <c r="D484" s="756"/>
      <c r="E484" s="39"/>
      <c r="F484" s="39"/>
      <c r="G484" s="39"/>
      <c r="H484" s="39"/>
      <c r="I484" s="100"/>
      <c r="J484" s="405"/>
      <c r="K484" s="39"/>
      <c r="L484" s="39"/>
      <c r="S484" s="607"/>
      <c r="W484" s="390"/>
      <c r="AE484" s="258"/>
    </row>
    <row r="485" spans="3:31" ht="14.4" customHeight="1" x14ac:dyDescent="0.3">
      <c r="C485" s="39"/>
      <c r="D485" s="756"/>
      <c r="E485" s="39"/>
      <c r="F485" s="39"/>
      <c r="G485" s="39"/>
      <c r="H485" s="39"/>
      <c r="I485" s="100"/>
      <c r="J485" s="405"/>
      <c r="K485" s="39"/>
      <c r="L485" s="39"/>
      <c r="S485" s="607"/>
      <c r="W485" s="390"/>
      <c r="AE485" s="258"/>
    </row>
    <row r="486" spans="3:31" ht="14.4" customHeight="1" x14ac:dyDescent="0.3">
      <c r="C486" s="39"/>
      <c r="D486" s="756"/>
      <c r="E486" s="39"/>
      <c r="F486" s="39"/>
      <c r="G486" s="39"/>
      <c r="H486" s="39"/>
      <c r="I486" s="100"/>
      <c r="J486" s="405"/>
      <c r="K486" s="39"/>
      <c r="L486" s="39"/>
      <c r="S486" s="607"/>
      <c r="W486" s="390"/>
      <c r="AE486" s="258"/>
    </row>
    <row r="487" spans="3:31" ht="14.4" customHeight="1" x14ac:dyDescent="0.3">
      <c r="C487" s="39"/>
      <c r="D487" s="756"/>
      <c r="E487" s="39"/>
      <c r="F487" s="39"/>
      <c r="G487" s="39"/>
      <c r="H487" s="39"/>
      <c r="I487" s="100"/>
      <c r="J487" s="405"/>
      <c r="K487" s="39"/>
      <c r="L487" s="39"/>
      <c r="S487" s="607"/>
      <c r="W487" s="390"/>
      <c r="AE487" s="258"/>
    </row>
    <row r="488" spans="3:31" ht="14.4" customHeight="1" x14ac:dyDescent="0.3">
      <c r="C488" s="39"/>
      <c r="D488" s="756"/>
      <c r="E488" s="39"/>
      <c r="F488" s="39"/>
      <c r="G488" s="39"/>
      <c r="H488" s="39"/>
      <c r="I488" s="100"/>
      <c r="J488" s="405"/>
      <c r="K488" s="39"/>
      <c r="L488" s="39"/>
      <c r="S488" s="607"/>
      <c r="W488" s="390"/>
      <c r="AE488" s="258"/>
    </row>
    <row r="489" spans="3:31" ht="14.4" customHeight="1" x14ac:dyDescent="0.3">
      <c r="C489" s="39"/>
      <c r="D489" s="756"/>
      <c r="E489" s="39"/>
      <c r="F489" s="39"/>
      <c r="G489" s="39"/>
      <c r="H489" s="39"/>
      <c r="I489" s="100"/>
      <c r="J489" s="405"/>
      <c r="K489" s="39"/>
      <c r="L489" s="39"/>
      <c r="S489" s="607"/>
      <c r="W489" s="390"/>
      <c r="AE489" s="258"/>
    </row>
    <row r="490" spans="3:31" ht="14.4" customHeight="1" x14ac:dyDescent="0.3">
      <c r="C490" s="39"/>
      <c r="D490" s="756"/>
      <c r="E490" s="39"/>
      <c r="F490" s="39"/>
      <c r="G490" s="39"/>
      <c r="H490" s="39"/>
      <c r="I490" s="100"/>
      <c r="J490" s="405"/>
      <c r="K490" s="39"/>
      <c r="L490" s="39"/>
      <c r="S490" s="607"/>
      <c r="W490" s="390"/>
      <c r="AE490" s="258"/>
    </row>
    <row r="491" spans="3:31" ht="14.4" customHeight="1" x14ac:dyDescent="0.3">
      <c r="C491" s="39"/>
      <c r="D491" s="756"/>
      <c r="E491" s="39"/>
      <c r="F491" s="39"/>
      <c r="G491" s="39"/>
      <c r="H491" s="39"/>
      <c r="I491" s="100"/>
      <c r="J491" s="405"/>
      <c r="K491" s="39"/>
      <c r="L491" s="39"/>
      <c r="S491" s="607"/>
      <c r="W491" s="390"/>
      <c r="AE491" s="258"/>
    </row>
    <row r="492" spans="3:31" ht="14.4" customHeight="1" x14ac:dyDescent="0.3">
      <c r="C492" s="39"/>
      <c r="D492" s="756"/>
      <c r="E492" s="39"/>
      <c r="F492" s="39"/>
      <c r="G492" s="39"/>
      <c r="H492" s="39"/>
      <c r="I492" s="100"/>
      <c r="J492" s="405"/>
      <c r="K492" s="39"/>
      <c r="L492" s="39"/>
      <c r="S492" s="607"/>
      <c r="W492" s="390"/>
      <c r="AE492" s="258"/>
    </row>
    <row r="493" spans="3:31" ht="14.4" customHeight="1" x14ac:dyDescent="0.3">
      <c r="C493" s="39"/>
      <c r="D493" s="756"/>
      <c r="E493" s="39"/>
      <c r="F493" s="39"/>
      <c r="G493" s="39"/>
      <c r="H493" s="39"/>
      <c r="I493" s="100"/>
      <c r="J493" s="405"/>
      <c r="K493" s="39"/>
      <c r="L493" s="39"/>
      <c r="S493" s="607"/>
      <c r="W493" s="390"/>
      <c r="AE493" s="258"/>
    </row>
    <row r="494" spans="3:31" ht="14.4" customHeight="1" x14ac:dyDescent="0.3">
      <c r="C494" s="39"/>
      <c r="D494" s="756"/>
      <c r="E494" s="39"/>
      <c r="F494" s="39"/>
      <c r="G494" s="39"/>
      <c r="H494" s="39"/>
      <c r="I494" s="100"/>
      <c r="J494" s="405"/>
      <c r="K494" s="39"/>
      <c r="L494" s="39"/>
      <c r="S494" s="607"/>
      <c r="W494" s="390"/>
      <c r="AE494" s="258"/>
    </row>
    <row r="495" spans="3:31" ht="14.4" customHeight="1" x14ac:dyDescent="0.3">
      <c r="C495" s="39"/>
      <c r="D495" s="756"/>
      <c r="E495" s="39"/>
      <c r="F495" s="39"/>
      <c r="G495" s="39"/>
      <c r="H495" s="39"/>
      <c r="I495" s="100"/>
      <c r="J495" s="405"/>
      <c r="K495" s="39"/>
      <c r="L495" s="39"/>
      <c r="S495" s="607"/>
      <c r="W495" s="390"/>
      <c r="AE495" s="258"/>
    </row>
    <row r="496" spans="3:31" ht="14.4" customHeight="1" x14ac:dyDescent="0.3">
      <c r="C496" s="39"/>
      <c r="D496" s="756"/>
      <c r="E496" s="39"/>
      <c r="F496" s="39"/>
      <c r="G496" s="39"/>
      <c r="H496" s="39"/>
      <c r="I496" s="100"/>
      <c r="J496" s="405"/>
      <c r="K496" s="39"/>
      <c r="L496" s="39"/>
      <c r="W496" s="390"/>
      <c r="AE496" s="258"/>
    </row>
    <row r="497" spans="3:42" ht="14.4" customHeight="1" x14ac:dyDescent="0.3">
      <c r="C497" s="39"/>
      <c r="D497" s="756"/>
      <c r="E497" s="39"/>
      <c r="F497" s="39"/>
      <c r="G497" s="39"/>
      <c r="H497" s="39"/>
      <c r="I497" s="100"/>
      <c r="J497" s="405"/>
      <c r="K497" s="39"/>
      <c r="L497" s="39"/>
      <c r="W497" s="390"/>
      <c r="AE497" s="258"/>
    </row>
    <row r="498" spans="3:42" ht="14.4" customHeight="1" x14ac:dyDescent="0.3">
      <c r="C498" s="39"/>
      <c r="D498" s="756"/>
      <c r="E498" s="39"/>
      <c r="F498" s="39"/>
      <c r="G498" s="39"/>
      <c r="H498" s="39"/>
      <c r="I498" s="100"/>
      <c r="J498" s="405"/>
      <c r="K498" s="39"/>
      <c r="L498" s="39"/>
      <c r="W498" s="390"/>
      <c r="AE498" s="258"/>
    </row>
    <row r="499" spans="3:42" ht="14.4" customHeight="1" x14ac:dyDescent="0.3">
      <c r="C499" s="39"/>
      <c r="D499" s="756"/>
      <c r="E499" s="39"/>
      <c r="F499" s="39"/>
      <c r="G499" s="39"/>
      <c r="H499" s="39"/>
      <c r="I499" s="100"/>
      <c r="J499" s="405"/>
      <c r="K499" s="39"/>
      <c r="L499" s="39"/>
      <c r="W499" s="390"/>
      <c r="AE499" s="258"/>
    </row>
    <row r="500" spans="3:42" ht="14.4" customHeight="1" x14ac:dyDescent="0.3">
      <c r="C500" s="39"/>
      <c r="D500" s="756"/>
      <c r="E500" s="236"/>
      <c r="F500" s="39"/>
      <c r="G500" s="39"/>
      <c r="H500" s="39"/>
      <c r="I500" s="100"/>
      <c r="J500" s="405"/>
      <c r="K500" s="39"/>
      <c r="L500" s="39"/>
      <c r="W500" s="390"/>
      <c r="AE500" s="390"/>
      <c r="AJ500" s="437"/>
      <c r="AL500" s="438"/>
      <c r="AP500" s="437"/>
    </row>
    <row r="501" spans="3:42" ht="14.4" customHeight="1" x14ac:dyDescent="0.3">
      <c r="C501" s="39"/>
      <c r="D501" s="756"/>
      <c r="E501" s="39"/>
      <c r="F501" s="39"/>
      <c r="G501" s="39"/>
      <c r="H501" s="39"/>
      <c r="I501" s="100"/>
      <c r="J501" s="405"/>
      <c r="K501" s="39"/>
      <c r="L501" s="39"/>
      <c r="W501" s="390"/>
      <c r="AE501" s="390"/>
      <c r="AJ501" s="437"/>
      <c r="AL501" s="438"/>
      <c r="AP501" s="437"/>
    </row>
    <row r="502" spans="3:42" ht="14.4" customHeight="1" x14ac:dyDescent="0.3">
      <c r="C502" s="39"/>
      <c r="D502" s="756"/>
      <c r="E502" s="39"/>
      <c r="F502" s="39"/>
      <c r="G502" s="39"/>
      <c r="H502" s="39"/>
      <c r="I502" s="100"/>
      <c r="J502" s="405"/>
      <c r="K502" s="39"/>
      <c r="L502" s="39"/>
      <c r="W502" s="390"/>
      <c r="AE502" s="258"/>
    </row>
    <row r="503" spans="3:42" ht="14.4" customHeight="1" x14ac:dyDescent="0.3">
      <c r="C503" s="39"/>
      <c r="D503" s="756"/>
      <c r="E503" s="39"/>
      <c r="F503" s="39"/>
      <c r="G503" s="39"/>
      <c r="H503" s="39"/>
      <c r="I503" s="100"/>
      <c r="J503" s="405"/>
      <c r="K503" s="39"/>
      <c r="L503" s="39"/>
      <c r="W503" s="390"/>
      <c r="AE503" s="258"/>
    </row>
    <row r="504" spans="3:42" ht="14.4" customHeight="1" x14ac:dyDescent="0.3">
      <c r="C504" s="39"/>
      <c r="D504" s="756"/>
      <c r="E504" s="39"/>
      <c r="F504" s="39"/>
      <c r="G504" s="39"/>
      <c r="H504" s="39"/>
      <c r="I504" s="100"/>
      <c r="J504" s="405"/>
      <c r="K504" s="39"/>
      <c r="L504" s="39"/>
      <c r="W504" s="390"/>
      <c r="AE504" s="258"/>
    </row>
    <row r="505" spans="3:42" ht="14.4" customHeight="1" x14ac:dyDescent="0.3">
      <c r="C505" s="39"/>
      <c r="D505" s="756"/>
      <c r="E505" s="39"/>
      <c r="F505" s="39"/>
      <c r="G505" s="39"/>
      <c r="H505" s="39"/>
      <c r="I505" s="100"/>
      <c r="J505" s="405"/>
      <c r="K505" s="39"/>
      <c r="L505" s="39"/>
      <c r="W505" s="390"/>
      <c r="AE505" s="258"/>
    </row>
    <row r="506" spans="3:42" ht="14.4" customHeight="1" x14ac:dyDescent="0.3">
      <c r="C506" s="39"/>
      <c r="D506" s="756"/>
      <c r="E506" s="39"/>
      <c r="F506" s="39"/>
      <c r="G506" s="39"/>
      <c r="H506" s="39"/>
      <c r="I506" s="100"/>
      <c r="J506" s="405"/>
      <c r="K506" s="39"/>
      <c r="L506" s="39"/>
      <c r="W506" s="390"/>
      <c r="AE506" s="258"/>
    </row>
    <row r="507" spans="3:42" ht="14.4" customHeight="1" x14ac:dyDescent="0.3">
      <c r="C507" s="39"/>
      <c r="D507" s="756"/>
      <c r="E507" s="39"/>
      <c r="F507" s="39"/>
      <c r="G507" s="39"/>
      <c r="H507" s="39"/>
      <c r="I507" s="100"/>
      <c r="J507" s="405"/>
      <c r="K507" s="39"/>
      <c r="L507" s="39"/>
      <c r="W507" s="390"/>
      <c r="AE507" s="258"/>
    </row>
    <row r="508" spans="3:42" ht="14.4" customHeight="1" x14ac:dyDescent="0.3">
      <c r="C508" s="39"/>
      <c r="D508" s="756"/>
      <c r="E508" s="39"/>
      <c r="F508" s="39"/>
      <c r="G508" s="39"/>
      <c r="H508" s="39"/>
      <c r="I508" s="100"/>
      <c r="J508" s="405"/>
      <c r="K508" s="39"/>
      <c r="L508" s="39"/>
      <c r="W508" s="390"/>
      <c r="AE508" s="258"/>
    </row>
    <row r="509" spans="3:42" ht="14.4" customHeight="1" x14ac:dyDescent="0.3">
      <c r="C509" s="39"/>
      <c r="D509" s="756"/>
      <c r="E509" s="39"/>
      <c r="F509" s="39"/>
      <c r="G509" s="39"/>
      <c r="H509" s="39"/>
      <c r="I509" s="100"/>
      <c r="J509" s="405"/>
      <c r="K509" s="39"/>
      <c r="L509" s="39"/>
      <c r="W509" s="390"/>
      <c r="AE509" s="258"/>
    </row>
    <row r="510" spans="3:42" ht="14.4" customHeight="1" x14ac:dyDescent="0.3">
      <c r="C510" s="39"/>
      <c r="D510" s="756"/>
      <c r="E510" s="39"/>
      <c r="F510" s="39"/>
      <c r="G510" s="39"/>
      <c r="H510" s="39"/>
      <c r="I510" s="100"/>
      <c r="J510" s="405"/>
      <c r="K510" s="39"/>
      <c r="L510" s="39"/>
      <c r="W510" s="390"/>
      <c r="AE510" s="258"/>
    </row>
    <row r="511" spans="3:42" ht="14.4" customHeight="1" x14ac:dyDescent="0.3">
      <c r="C511" s="39"/>
      <c r="D511" s="756"/>
      <c r="E511" s="39"/>
      <c r="F511" s="39"/>
      <c r="G511" s="39"/>
      <c r="H511" s="39"/>
      <c r="I511" s="100"/>
      <c r="J511" s="405"/>
      <c r="K511" s="39"/>
      <c r="L511" s="39"/>
      <c r="W511" s="390"/>
      <c r="AE511" s="258"/>
    </row>
    <row r="512" spans="3:42" ht="14.4" customHeight="1" x14ac:dyDescent="0.3">
      <c r="C512" s="39"/>
      <c r="D512" s="756"/>
      <c r="E512" s="39"/>
      <c r="F512" s="39"/>
      <c r="G512" s="39"/>
      <c r="H512" s="39"/>
      <c r="I512" s="100"/>
      <c r="J512" s="405"/>
      <c r="K512" s="39"/>
      <c r="L512" s="39"/>
      <c r="W512" s="390"/>
      <c r="AE512" s="258"/>
    </row>
    <row r="513" spans="3:31" ht="14.4" customHeight="1" x14ac:dyDescent="0.3">
      <c r="C513" s="39"/>
      <c r="D513" s="756"/>
      <c r="E513" s="39"/>
      <c r="F513" s="39"/>
      <c r="G513" s="39"/>
      <c r="H513" s="39"/>
      <c r="I513" s="100"/>
      <c r="J513" s="405"/>
      <c r="K513" s="39"/>
      <c r="L513" s="39"/>
      <c r="W513" s="390"/>
      <c r="AE513" s="258"/>
    </row>
    <row r="514" spans="3:31" ht="14.4" customHeight="1" x14ac:dyDescent="0.3">
      <c r="C514" s="39"/>
      <c r="D514" s="756"/>
      <c r="E514" s="39"/>
      <c r="F514" s="39"/>
      <c r="G514" s="39"/>
      <c r="H514" s="39"/>
      <c r="I514" s="100"/>
      <c r="J514" s="405"/>
      <c r="K514" s="39"/>
      <c r="L514" s="39"/>
      <c r="W514" s="390"/>
      <c r="AE514" s="258"/>
    </row>
    <row r="515" spans="3:31" ht="14.4" customHeight="1" x14ac:dyDescent="0.3">
      <c r="C515" s="39"/>
      <c r="D515" s="756"/>
      <c r="E515" s="39"/>
      <c r="F515" s="39"/>
      <c r="G515" s="39"/>
      <c r="H515" s="39"/>
      <c r="I515" s="100"/>
      <c r="J515" s="405"/>
      <c r="K515" s="39"/>
      <c r="L515" s="39"/>
      <c r="W515" s="390"/>
      <c r="AE515" s="258"/>
    </row>
    <row r="516" spans="3:31" ht="14.4" customHeight="1" x14ac:dyDescent="0.3">
      <c r="C516" s="39"/>
      <c r="D516" s="756"/>
      <c r="E516" s="39"/>
      <c r="F516" s="39"/>
      <c r="G516" s="39"/>
      <c r="H516" s="39"/>
      <c r="I516" s="100"/>
      <c r="J516" s="405"/>
      <c r="K516" s="39"/>
      <c r="L516" s="39"/>
      <c r="W516" s="390"/>
      <c r="AE516" s="258"/>
    </row>
    <row r="517" spans="3:31" ht="14.4" customHeight="1" x14ac:dyDescent="0.3">
      <c r="C517" s="39"/>
      <c r="D517" s="756"/>
      <c r="E517" s="39"/>
      <c r="F517" s="39"/>
      <c r="G517" s="39"/>
      <c r="H517" s="39"/>
      <c r="I517" s="100"/>
      <c r="J517" s="405"/>
      <c r="K517" s="39"/>
      <c r="L517" s="39"/>
      <c r="W517" s="390"/>
      <c r="AE517" s="258"/>
    </row>
    <row r="518" spans="3:31" ht="14.4" customHeight="1" x14ac:dyDescent="0.3">
      <c r="C518" s="39"/>
      <c r="D518" s="756"/>
      <c r="E518" s="39"/>
      <c r="F518" s="39"/>
      <c r="G518" s="39"/>
      <c r="H518" s="39"/>
      <c r="I518" s="100"/>
      <c r="J518" s="405"/>
      <c r="K518" s="39"/>
      <c r="L518" s="39"/>
      <c r="W518" s="390"/>
      <c r="AE518" s="258"/>
    </row>
    <row r="519" spans="3:31" ht="14.4" customHeight="1" x14ac:dyDescent="0.3">
      <c r="C519" s="39"/>
      <c r="D519" s="756"/>
      <c r="E519" s="39"/>
      <c r="F519" s="39"/>
      <c r="G519" s="39"/>
      <c r="H519" s="39"/>
      <c r="I519" s="100"/>
      <c r="J519" s="405"/>
      <c r="K519" s="39"/>
      <c r="L519" s="39"/>
      <c r="W519" s="390"/>
      <c r="AE519" s="258"/>
    </row>
    <row r="520" spans="3:31" ht="14.4" customHeight="1" x14ac:dyDescent="0.3">
      <c r="C520" s="39"/>
      <c r="D520" s="756"/>
      <c r="E520" s="39"/>
      <c r="F520" s="39"/>
      <c r="G520" s="39"/>
      <c r="H520" s="39"/>
      <c r="I520" s="100"/>
      <c r="J520" s="405"/>
      <c r="K520" s="39"/>
      <c r="L520" s="39"/>
      <c r="W520" s="390"/>
      <c r="AE520" s="258"/>
    </row>
    <row r="521" spans="3:31" ht="14.4" customHeight="1" x14ac:dyDescent="0.3">
      <c r="C521" s="39"/>
      <c r="D521" s="756"/>
      <c r="E521" s="39"/>
      <c r="F521" s="39"/>
      <c r="G521" s="39"/>
      <c r="H521" s="39"/>
      <c r="I521" s="100"/>
      <c r="J521" s="405"/>
      <c r="K521" s="39"/>
      <c r="L521" s="39"/>
      <c r="W521" s="390"/>
      <c r="AE521" s="258"/>
    </row>
    <row r="522" spans="3:31" ht="14.4" customHeight="1" x14ac:dyDescent="0.3">
      <c r="C522" s="39"/>
      <c r="D522" s="756"/>
      <c r="E522" s="39"/>
      <c r="F522" s="39"/>
      <c r="G522" s="39"/>
      <c r="H522" s="39"/>
      <c r="I522" s="100"/>
      <c r="J522" s="405"/>
      <c r="K522" s="39"/>
      <c r="L522" s="39"/>
      <c r="W522" s="390"/>
      <c r="AE522" s="258"/>
    </row>
    <row r="523" spans="3:31" ht="14.4" customHeight="1" x14ac:dyDescent="0.3">
      <c r="C523" s="39"/>
      <c r="D523" s="756"/>
      <c r="E523" s="39"/>
      <c r="F523" s="39"/>
      <c r="G523" s="39"/>
      <c r="H523" s="39"/>
      <c r="I523" s="100"/>
      <c r="J523" s="405"/>
      <c r="K523" s="39"/>
      <c r="L523" s="39"/>
      <c r="W523" s="390"/>
      <c r="AE523" s="258"/>
    </row>
    <row r="524" spans="3:31" ht="14.4" customHeight="1" x14ac:dyDescent="0.3">
      <c r="C524" s="39"/>
      <c r="D524" s="756"/>
      <c r="E524" s="39"/>
      <c r="F524" s="39"/>
      <c r="G524" s="39"/>
      <c r="H524" s="39"/>
      <c r="I524" s="100"/>
      <c r="J524" s="405"/>
      <c r="K524" s="39"/>
      <c r="L524" s="39"/>
      <c r="W524" s="390"/>
      <c r="AE524" s="258"/>
    </row>
    <row r="525" spans="3:31" ht="14.4" customHeight="1" x14ac:dyDescent="0.3">
      <c r="C525" s="39"/>
      <c r="D525" s="756"/>
      <c r="E525" s="39"/>
      <c r="F525" s="39"/>
      <c r="G525" s="39"/>
      <c r="H525" s="39"/>
      <c r="I525" s="100"/>
      <c r="J525" s="405"/>
      <c r="K525" s="39"/>
      <c r="L525" s="39"/>
      <c r="W525" s="390"/>
      <c r="AE525" s="258"/>
    </row>
    <row r="526" spans="3:31" ht="14.4" customHeight="1" x14ac:dyDescent="0.3">
      <c r="C526" s="39"/>
      <c r="D526" s="756"/>
      <c r="E526" s="39"/>
      <c r="F526" s="39"/>
      <c r="G526" s="39"/>
      <c r="H526" s="39"/>
      <c r="I526" s="100"/>
      <c r="J526" s="405"/>
      <c r="K526" s="39"/>
      <c r="L526" s="39"/>
      <c r="W526" s="390"/>
      <c r="AE526" s="258"/>
    </row>
    <row r="527" spans="3:31" ht="14.4" customHeight="1" x14ac:dyDescent="0.3">
      <c r="C527" s="39"/>
      <c r="D527" s="756"/>
      <c r="E527" s="39"/>
      <c r="F527" s="39"/>
      <c r="G527" s="39"/>
      <c r="H527" s="39"/>
      <c r="I527" s="100"/>
      <c r="J527" s="405"/>
      <c r="K527" s="39"/>
      <c r="L527" s="39"/>
      <c r="W527" s="390"/>
      <c r="AE527" s="258"/>
    </row>
    <row r="528" spans="3:31" ht="14.4" customHeight="1" x14ac:dyDescent="0.3">
      <c r="C528" s="39"/>
      <c r="D528" s="756"/>
      <c r="E528" s="39"/>
      <c r="F528" s="39"/>
      <c r="G528" s="39"/>
      <c r="H528" s="39"/>
      <c r="I528" s="100"/>
      <c r="J528" s="405"/>
      <c r="K528" s="39"/>
      <c r="L528" s="39"/>
      <c r="W528" s="390"/>
      <c r="AE528" s="258"/>
    </row>
    <row r="529" spans="3:31" ht="14.4" customHeight="1" x14ac:dyDescent="0.3">
      <c r="C529" s="39"/>
      <c r="D529" s="756"/>
      <c r="E529" s="39"/>
      <c r="F529" s="39"/>
      <c r="G529" s="39"/>
      <c r="H529" s="39"/>
      <c r="I529" s="100"/>
      <c r="J529" s="405"/>
      <c r="K529" s="39"/>
      <c r="L529" s="39"/>
      <c r="W529" s="390"/>
      <c r="AE529" s="258"/>
    </row>
    <row r="530" spans="3:31" ht="14.4" customHeight="1" x14ac:dyDescent="0.3">
      <c r="C530" s="39"/>
      <c r="D530" s="756"/>
      <c r="E530" s="39"/>
      <c r="F530" s="39"/>
      <c r="G530" s="39"/>
      <c r="H530" s="39"/>
      <c r="I530" s="100"/>
      <c r="J530" s="405"/>
      <c r="K530" s="39"/>
      <c r="L530" s="39"/>
      <c r="W530" s="390"/>
      <c r="AE530" s="258"/>
    </row>
    <row r="531" spans="3:31" ht="14.4" customHeight="1" x14ac:dyDescent="0.3">
      <c r="C531" s="39"/>
      <c r="D531" s="756"/>
      <c r="E531" s="39"/>
      <c r="F531" s="39"/>
      <c r="G531" s="39"/>
      <c r="H531" s="39"/>
      <c r="I531" s="100"/>
      <c r="J531" s="405"/>
      <c r="K531" s="39"/>
      <c r="L531" s="39"/>
      <c r="W531" s="390"/>
      <c r="AE531" s="258"/>
    </row>
    <row r="532" spans="3:31" ht="14.4" customHeight="1" x14ac:dyDescent="0.3">
      <c r="C532" s="39"/>
      <c r="D532" s="756"/>
      <c r="E532" s="39"/>
      <c r="F532" s="39"/>
      <c r="G532" s="39"/>
      <c r="H532" s="39"/>
      <c r="I532" s="100"/>
      <c r="J532" s="405"/>
      <c r="K532" s="39"/>
      <c r="L532" s="39"/>
      <c r="W532" s="390"/>
      <c r="AE532" s="258"/>
    </row>
    <row r="533" spans="3:31" ht="14.4" customHeight="1" x14ac:dyDescent="0.3">
      <c r="C533" s="39"/>
      <c r="D533" s="756"/>
      <c r="E533" s="39"/>
      <c r="F533" s="39"/>
      <c r="G533" s="39"/>
      <c r="H533" s="39"/>
      <c r="I533" s="100"/>
      <c r="J533" s="405"/>
      <c r="K533" s="39"/>
      <c r="L533" s="39"/>
      <c r="W533" s="390"/>
      <c r="AE533" s="258"/>
    </row>
    <row r="534" spans="3:31" ht="14.4" customHeight="1" x14ac:dyDescent="0.3">
      <c r="C534" s="39"/>
      <c r="D534" s="756"/>
      <c r="E534" s="39"/>
      <c r="F534" s="39"/>
      <c r="G534" s="39"/>
      <c r="H534" s="39"/>
      <c r="I534" s="100"/>
      <c r="J534" s="405"/>
      <c r="K534" s="39"/>
      <c r="L534" s="39"/>
      <c r="W534" s="390"/>
      <c r="AE534" s="258"/>
    </row>
    <row r="535" spans="3:31" ht="14.4" customHeight="1" x14ac:dyDescent="0.3">
      <c r="C535" s="39"/>
      <c r="D535" s="756"/>
      <c r="E535" s="39"/>
      <c r="F535" s="39"/>
      <c r="G535" s="39"/>
      <c r="H535" s="39"/>
      <c r="I535" s="100"/>
      <c r="J535" s="405"/>
      <c r="K535" s="39"/>
      <c r="L535" s="39"/>
      <c r="W535" s="390"/>
      <c r="AE535" s="258"/>
    </row>
    <row r="536" spans="3:31" ht="14.4" customHeight="1" x14ac:dyDescent="0.3">
      <c r="C536" s="39"/>
      <c r="D536" s="756"/>
      <c r="E536" s="39"/>
      <c r="F536" s="39"/>
      <c r="G536" s="39"/>
      <c r="H536" s="39"/>
      <c r="I536" s="100"/>
      <c r="J536" s="405"/>
      <c r="K536" s="39"/>
      <c r="L536" s="39"/>
      <c r="W536" s="390"/>
      <c r="AE536" s="258"/>
    </row>
    <row r="537" spans="3:31" ht="14.4" customHeight="1" x14ac:dyDescent="0.3">
      <c r="C537" s="39"/>
      <c r="D537" s="756"/>
      <c r="E537" s="39"/>
      <c r="F537" s="39"/>
      <c r="G537" s="39"/>
      <c r="H537" s="39"/>
      <c r="I537" s="100"/>
      <c r="J537" s="405"/>
      <c r="K537" s="39"/>
      <c r="L537" s="39"/>
      <c r="W537" s="390"/>
      <c r="AE537" s="258"/>
    </row>
    <row r="538" spans="3:31" ht="14.4" customHeight="1" x14ac:dyDescent="0.3">
      <c r="C538" s="39"/>
      <c r="D538" s="756"/>
      <c r="E538" s="39"/>
      <c r="F538" s="39"/>
      <c r="G538" s="39"/>
      <c r="H538" s="39"/>
      <c r="I538" s="100"/>
      <c r="J538" s="405"/>
      <c r="K538" s="39"/>
      <c r="L538" s="39"/>
      <c r="W538" s="390"/>
      <c r="AE538" s="258"/>
    </row>
    <row r="539" spans="3:31" ht="14.4" customHeight="1" x14ac:dyDescent="0.3">
      <c r="C539" s="39"/>
      <c r="D539" s="756"/>
      <c r="E539" s="39"/>
      <c r="F539" s="39"/>
      <c r="G539" s="39"/>
      <c r="H539" s="39"/>
      <c r="I539" s="100"/>
      <c r="J539" s="405"/>
      <c r="K539" s="39"/>
      <c r="L539" s="39"/>
      <c r="W539" s="390"/>
      <c r="AE539" s="258"/>
    </row>
    <row r="540" spans="3:31" ht="14.4" customHeight="1" x14ac:dyDescent="0.3">
      <c r="C540" s="39"/>
      <c r="D540" s="756"/>
      <c r="E540" s="39"/>
      <c r="F540" s="39"/>
      <c r="G540" s="39"/>
      <c r="H540" s="39"/>
      <c r="I540" s="100"/>
      <c r="J540" s="405"/>
      <c r="K540" s="39"/>
      <c r="L540" s="39"/>
      <c r="W540" s="390"/>
      <c r="AE540" s="258"/>
    </row>
    <row r="541" spans="3:31" ht="14.4" customHeight="1" x14ac:dyDescent="0.3">
      <c r="C541" s="39"/>
      <c r="D541" s="756"/>
      <c r="E541" s="39"/>
      <c r="F541" s="39"/>
      <c r="G541" s="39"/>
      <c r="H541" s="39"/>
      <c r="I541" s="100"/>
      <c r="J541" s="405"/>
      <c r="K541" s="39"/>
      <c r="L541" s="39"/>
      <c r="W541" s="390"/>
      <c r="AE541" s="258"/>
    </row>
    <row r="542" spans="3:31" ht="14.4" customHeight="1" x14ac:dyDescent="0.3">
      <c r="C542" s="39"/>
      <c r="D542" s="756"/>
      <c r="E542" s="39"/>
      <c r="F542" s="39"/>
      <c r="G542" s="39"/>
      <c r="H542" s="39"/>
      <c r="I542" s="100"/>
      <c r="J542" s="405"/>
      <c r="K542" s="39"/>
      <c r="L542" s="39"/>
      <c r="W542" s="390"/>
      <c r="AE542" s="258"/>
    </row>
    <row r="543" spans="3:31" ht="14.4" customHeight="1" x14ac:dyDescent="0.3">
      <c r="C543" s="39"/>
      <c r="D543" s="756"/>
      <c r="E543" s="39"/>
      <c r="F543" s="39"/>
      <c r="G543" s="39"/>
      <c r="H543" s="39"/>
      <c r="I543" s="100"/>
      <c r="J543" s="405"/>
      <c r="K543" s="39"/>
      <c r="L543" s="39"/>
      <c r="W543" s="390"/>
      <c r="AE543" s="258"/>
    </row>
    <row r="544" spans="3:31" ht="14.4" customHeight="1" x14ac:dyDescent="0.3">
      <c r="C544" s="39"/>
      <c r="D544" s="756"/>
      <c r="E544" s="39"/>
      <c r="F544" s="39"/>
      <c r="G544" s="39"/>
      <c r="H544" s="39"/>
      <c r="I544" s="100"/>
      <c r="J544" s="405"/>
      <c r="K544" s="39"/>
      <c r="L544" s="39"/>
      <c r="W544" s="390"/>
      <c r="AE544" s="258"/>
    </row>
    <row r="545" spans="3:31" ht="14.4" customHeight="1" x14ac:dyDescent="0.3">
      <c r="C545" s="39"/>
      <c r="D545" s="756"/>
      <c r="E545" s="39"/>
      <c r="F545" s="39"/>
      <c r="G545" s="39"/>
      <c r="H545" s="39"/>
      <c r="I545" s="100"/>
      <c r="J545" s="405"/>
      <c r="K545" s="39"/>
      <c r="L545" s="39"/>
      <c r="W545" s="390"/>
      <c r="AE545" s="258"/>
    </row>
    <row r="546" spans="3:31" ht="14.4" customHeight="1" x14ac:dyDescent="0.3">
      <c r="C546" s="39"/>
      <c r="D546" s="756"/>
      <c r="E546" s="39"/>
      <c r="F546" s="39"/>
      <c r="G546" s="39"/>
      <c r="H546" s="39"/>
      <c r="I546" s="100"/>
      <c r="J546" s="405"/>
      <c r="K546" s="39"/>
      <c r="L546" s="39"/>
      <c r="W546" s="390"/>
      <c r="AE546" s="258"/>
    </row>
    <row r="547" spans="3:31" ht="14.4" customHeight="1" x14ac:dyDescent="0.3">
      <c r="C547" s="39"/>
      <c r="D547" s="756"/>
      <c r="E547" s="39"/>
      <c r="F547" s="39"/>
      <c r="G547" s="39"/>
      <c r="H547" s="39"/>
      <c r="I547" s="100"/>
      <c r="J547" s="405"/>
      <c r="K547" s="39"/>
      <c r="L547" s="39"/>
      <c r="W547" s="390"/>
      <c r="AE547" s="258"/>
    </row>
    <row r="548" spans="3:31" ht="14.4" customHeight="1" x14ac:dyDescent="0.3">
      <c r="C548" s="39"/>
      <c r="D548" s="756"/>
      <c r="E548" s="39"/>
      <c r="F548" s="39"/>
      <c r="G548" s="39"/>
      <c r="H548" s="39"/>
      <c r="I548" s="100"/>
      <c r="J548" s="405"/>
      <c r="K548" s="39"/>
      <c r="L548" s="39"/>
      <c r="W548" s="390"/>
      <c r="AE548" s="258"/>
    </row>
    <row r="549" spans="3:31" ht="14.4" customHeight="1" x14ac:dyDescent="0.3">
      <c r="C549" s="39"/>
      <c r="D549" s="756"/>
      <c r="E549" s="39"/>
      <c r="F549" s="39"/>
      <c r="G549" s="39"/>
      <c r="H549" s="39"/>
      <c r="I549" s="100"/>
      <c r="J549" s="405"/>
      <c r="K549" s="39"/>
      <c r="L549" s="39"/>
      <c r="W549" s="390"/>
      <c r="AE549" s="258"/>
    </row>
    <row r="550" spans="3:31" ht="14.4" customHeight="1" x14ac:dyDescent="0.3">
      <c r="C550" s="39"/>
      <c r="D550" s="756"/>
      <c r="E550" s="39"/>
      <c r="F550" s="39"/>
      <c r="G550" s="39"/>
      <c r="H550" s="39"/>
      <c r="I550" s="100"/>
      <c r="J550" s="405"/>
      <c r="K550" s="39"/>
      <c r="L550" s="39"/>
      <c r="W550" s="390"/>
      <c r="AE550" s="258"/>
    </row>
    <row r="551" spans="3:31" ht="14.4" customHeight="1" x14ac:dyDescent="0.3">
      <c r="C551" s="39"/>
      <c r="D551" s="756"/>
      <c r="E551" s="39"/>
      <c r="F551" s="39"/>
      <c r="G551" s="39"/>
      <c r="H551" s="39"/>
      <c r="I551" s="100"/>
      <c r="J551" s="405"/>
      <c r="K551" s="39"/>
      <c r="L551" s="39"/>
      <c r="W551" s="390"/>
      <c r="AE551" s="258"/>
    </row>
    <row r="552" spans="3:31" ht="14.4" customHeight="1" x14ac:dyDescent="0.3">
      <c r="C552" s="39"/>
      <c r="D552" s="756"/>
      <c r="E552" s="39"/>
      <c r="F552" s="39"/>
      <c r="G552" s="39"/>
      <c r="H552" s="39"/>
      <c r="I552" s="100"/>
      <c r="J552" s="405"/>
      <c r="K552" s="39"/>
      <c r="L552" s="39"/>
      <c r="W552" s="390"/>
      <c r="AE552" s="258"/>
    </row>
    <row r="553" spans="3:31" ht="14.4" customHeight="1" x14ac:dyDescent="0.3">
      <c r="C553" s="39"/>
      <c r="D553" s="756"/>
      <c r="E553" s="39"/>
      <c r="F553" s="39"/>
      <c r="G553" s="39"/>
      <c r="H553" s="39"/>
      <c r="I553" s="100"/>
      <c r="J553" s="405"/>
      <c r="K553" s="39"/>
      <c r="L553" s="39"/>
      <c r="W553" s="390"/>
      <c r="AE553" s="258"/>
    </row>
    <row r="554" spans="3:31" ht="14.4" customHeight="1" x14ac:dyDescent="0.3">
      <c r="C554" s="39"/>
      <c r="D554" s="756"/>
      <c r="E554" s="39"/>
      <c r="F554" s="39"/>
      <c r="G554" s="39"/>
      <c r="H554" s="39"/>
      <c r="I554" s="100"/>
      <c r="J554" s="405"/>
      <c r="K554" s="39"/>
      <c r="L554" s="39"/>
      <c r="W554" s="390"/>
      <c r="AE554" s="258"/>
    </row>
    <row r="555" spans="3:31" ht="14.4" customHeight="1" x14ac:dyDescent="0.3">
      <c r="C555" s="39"/>
      <c r="D555" s="756"/>
      <c r="E555" s="39"/>
      <c r="F555" s="39"/>
      <c r="G555" s="39"/>
      <c r="H555" s="39"/>
      <c r="I555" s="100"/>
      <c r="J555" s="405"/>
      <c r="K555" s="39"/>
      <c r="L555" s="39"/>
      <c r="W555" s="390"/>
      <c r="AE555" s="258"/>
    </row>
    <row r="556" spans="3:31" ht="14.4" customHeight="1" x14ac:dyDescent="0.3">
      <c r="C556" s="39"/>
      <c r="D556" s="756"/>
      <c r="E556" s="39"/>
      <c r="F556" s="39"/>
      <c r="G556" s="39"/>
      <c r="H556" s="39"/>
      <c r="I556" s="100"/>
      <c r="J556" s="405"/>
      <c r="K556" s="39"/>
      <c r="L556" s="39"/>
      <c r="W556" s="390"/>
      <c r="AE556" s="258"/>
    </row>
    <row r="557" spans="3:31" ht="14.4" customHeight="1" x14ac:dyDescent="0.3">
      <c r="C557" s="39"/>
      <c r="D557" s="756"/>
      <c r="E557" s="39"/>
      <c r="F557" s="39"/>
      <c r="G557" s="39"/>
      <c r="H557" s="39"/>
      <c r="I557" s="100"/>
      <c r="J557" s="405"/>
      <c r="K557" s="39"/>
      <c r="L557" s="39"/>
      <c r="W557" s="390"/>
      <c r="AE557" s="258"/>
    </row>
    <row r="558" spans="3:31" ht="14.4" customHeight="1" x14ac:dyDescent="0.3">
      <c r="C558" s="39"/>
      <c r="D558" s="756"/>
      <c r="E558" s="39"/>
      <c r="F558" s="39"/>
      <c r="G558" s="39"/>
      <c r="H558" s="39"/>
      <c r="I558" s="100"/>
      <c r="J558" s="405"/>
      <c r="K558" s="39"/>
      <c r="L558" s="39"/>
      <c r="W558" s="390"/>
      <c r="AE558" s="258"/>
    </row>
    <row r="559" spans="3:31" ht="14.4" customHeight="1" x14ac:dyDescent="0.3">
      <c r="C559" s="39"/>
      <c r="D559" s="756"/>
      <c r="E559" s="39"/>
      <c r="F559" s="39"/>
      <c r="G559" s="39"/>
      <c r="H559" s="39"/>
      <c r="I559" s="100"/>
      <c r="J559" s="405"/>
      <c r="K559" s="39"/>
      <c r="L559" s="39"/>
      <c r="W559" s="390"/>
      <c r="AE559" s="258"/>
    </row>
    <row r="560" spans="3:31" ht="14.4" customHeight="1" x14ac:dyDescent="0.3">
      <c r="C560" s="39"/>
      <c r="D560" s="756"/>
      <c r="E560" s="39"/>
      <c r="F560" s="39"/>
      <c r="G560" s="39"/>
      <c r="H560" s="39"/>
      <c r="I560" s="100"/>
      <c r="J560" s="405"/>
      <c r="K560" s="39"/>
      <c r="L560" s="39"/>
      <c r="W560" s="390"/>
      <c r="AE560" s="258"/>
    </row>
    <row r="561" spans="3:31" ht="14.4" customHeight="1" x14ac:dyDescent="0.3">
      <c r="C561" s="39"/>
      <c r="D561" s="756"/>
      <c r="E561" s="39"/>
      <c r="F561" s="39"/>
      <c r="G561" s="39"/>
      <c r="H561" s="39"/>
      <c r="I561" s="100"/>
      <c r="J561" s="405"/>
      <c r="K561" s="39"/>
      <c r="L561" s="39"/>
      <c r="W561" s="390"/>
      <c r="AE561" s="258"/>
    </row>
    <row r="562" spans="3:31" ht="14.4" customHeight="1" x14ac:dyDescent="0.3">
      <c r="C562" s="39"/>
      <c r="D562" s="756"/>
      <c r="E562" s="39"/>
      <c r="F562" s="39"/>
      <c r="G562" s="39"/>
      <c r="H562" s="39"/>
      <c r="I562" s="100"/>
      <c r="J562" s="405"/>
      <c r="K562" s="39"/>
      <c r="L562" s="39"/>
      <c r="W562" s="390"/>
      <c r="AE562" s="258"/>
    </row>
    <row r="563" spans="3:31" ht="14.4" customHeight="1" x14ac:dyDescent="0.3">
      <c r="C563" s="39"/>
      <c r="D563" s="756"/>
      <c r="E563" s="39"/>
      <c r="F563" s="39"/>
      <c r="G563" s="39"/>
      <c r="H563" s="39"/>
      <c r="I563" s="100"/>
      <c r="J563" s="405"/>
      <c r="K563" s="39"/>
      <c r="L563" s="39"/>
      <c r="W563" s="390"/>
      <c r="AE563" s="258"/>
    </row>
    <row r="564" spans="3:31" ht="14.4" customHeight="1" x14ac:dyDescent="0.3">
      <c r="C564" s="39"/>
      <c r="D564" s="756"/>
      <c r="E564" s="39"/>
      <c r="F564" s="39"/>
      <c r="G564" s="39"/>
      <c r="H564" s="39"/>
      <c r="I564" s="100"/>
      <c r="J564" s="405"/>
      <c r="K564" s="39"/>
      <c r="L564" s="39"/>
      <c r="W564" s="390"/>
      <c r="AE564" s="258"/>
    </row>
    <row r="565" spans="3:31" ht="14.4" customHeight="1" x14ac:dyDescent="0.3">
      <c r="C565" s="39"/>
      <c r="D565" s="756"/>
      <c r="E565" s="39"/>
      <c r="F565" s="39"/>
      <c r="G565" s="39"/>
      <c r="H565" s="39"/>
      <c r="I565" s="100"/>
      <c r="J565" s="405"/>
      <c r="K565" s="39"/>
      <c r="L565" s="39"/>
      <c r="W565" s="390"/>
      <c r="AE565" s="258"/>
    </row>
    <row r="566" spans="3:31" ht="14.4" customHeight="1" x14ac:dyDescent="0.3">
      <c r="C566" s="39"/>
      <c r="D566" s="756"/>
      <c r="E566" s="39"/>
      <c r="F566" s="39"/>
      <c r="G566" s="39"/>
      <c r="H566" s="39"/>
      <c r="I566" s="100"/>
      <c r="J566" s="405"/>
      <c r="K566" s="39"/>
      <c r="L566" s="39"/>
      <c r="W566" s="390"/>
      <c r="AE566" s="258"/>
    </row>
    <row r="567" spans="3:31" ht="14.4" customHeight="1" x14ac:dyDescent="0.3">
      <c r="C567" s="39"/>
      <c r="D567" s="756"/>
      <c r="E567" s="39"/>
      <c r="F567" s="39"/>
      <c r="G567" s="39"/>
      <c r="H567" s="39"/>
      <c r="I567" s="100"/>
      <c r="J567" s="405"/>
      <c r="K567" s="39"/>
      <c r="L567" s="39"/>
      <c r="W567" s="390"/>
      <c r="AE567" s="258"/>
    </row>
    <row r="568" spans="3:31" ht="14.4" customHeight="1" x14ac:dyDescent="0.3">
      <c r="C568" s="39"/>
      <c r="D568" s="756"/>
      <c r="E568" s="39"/>
      <c r="F568" s="39"/>
      <c r="G568" s="39"/>
      <c r="H568" s="39"/>
      <c r="I568" s="100"/>
      <c r="J568" s="405"/>
      <c r="K568" s="39"/>
      <c r="L568" s="39"/>
      <c r="W568" s="390"/>
      <c r="AE568" s="258"/>
    </row>
    <row r="569" spans="3:31" ht="14.4" customHeight="1" x14ac:dyDescent="0.3">
      <c r="C569" s="39"/>
      <c r="D569" s="756"/>
      <c r="E569" s="39"/>
      <c r="F569" s="39"/>
      <c r="G569" s="39"/>
      <c r="H569" s="39"/>
      <c r="I569" s="100"/>
      <c r="J569" s="405"/>
      <c r="K569" s="39"/>
      <c r="L569" s="39"/>
      <c r="W569" s="390"/>
      <c r="AE569" s="258"/>
    </row>
    <row r="570" spans="3:31" ht="14.4" customHeight="1" x14ac:dyDescent="0.3">
      <c r="C570" s="39"/>
      <c r="D570" s="756"/>
      <c r="E570" s="39"/>
      <c r="F570" s="39"/>
      <c r="G570" s="39"/>
      <c r="H570" s="39"/>
      <c r="I570" s="100"/>
      <c r="J570" s="405"/>
      <c r="K570" s="39"/>
      <c r="L570" s="39"/>
      <c r="W570" s="390"/>
      <c r="AE570" s="258"/>
    </row>
    <row r="571" spans="3:31" ht="14.4" customHeight="1" x14ac:dyDescent="0.3">
      <c r="C571" s="39"/>
      <c r="D571" s="756"/>
      <c r="E571" s="39"/>
      <c r="F571" s="39"/>
      <c r="G571" s="39"/>
      <c r="H571" s="39"/>
      <c r="I571" s="100"/>
      <c r="J571" s="405"/>
      <c r="K571" s="39"/>
      <c r="L571" s="39"/>
      <c r="W571" s="390"/>
      <c r="AE571" s="258"/>
    </row>
    <row r="572" spans="3:31" ht="14.4" customHeight="1" x14ac:dyDescent="0.3">
      <c r="C572" s="39"/>
      <c r="D572" s="756"/>
      <c r="E572" s="39"/>
      <c r="F572" s="39"/>
      <c r="G572" s="39"/>
      <c r="H572" s="39"/>
      <c r="I572" s="100"/>
      <c r="J572" s="405"/>
      <c r="K572" s="39"/>
      <c r="L572" s="39"/>
      <c r="W572" s="390"/>
      <c r="AE572" s="258"/>
    </row>
    <row r="573" spans="3:31" ht="14.4" customHeight="1" x14ac:dyDescent="0.3">
      <c r="C573" s="39"/>
      <c r="D573" s="756"/>
      <c r="E573" s="39"/>
      <c r="F573" s="39"/>
      <c r="G573" s="39"/>
      <c r="H573" s="39"/>
      <c r="I573" s="100"/>
      <c r="J573" s="405"/>
      <c r="K573" s="39"/>
      <c r="L573" s="39"/>
      <c r="W573" s="390"/>
      <c r="AE573" s="258"/>
    </row>
    <row r="574" spans="3:31" ht="14.4" customHeight="1" x14ac:dyDescent="0.3">
      <c r="C574" s="39"/>
      <c r="D574" s="756"/>
      <c r="E574" s="39"/>
      <c r="F574" s="39"/>
      <c r="G574" s="39"/>
      <c r="H574" s="39"/>
      <c r="I574" s="100"/>
      <c r="J574" s="405"/>
      <c r="K574" s="39"/>
      <c r="L574" s="39"/>
      <c r="W574" s="390"/>
      <c r="AE574" s="258"/>
    </row>
    <row r="575" spans="3:31" ht="14.4" customHeight="1" x14ac:dyDescent="0.3">
      <c r="C575" s="39"/>
      <c r="D575" s="756"/>
      <c r="E575" s="39"/>
      <c r="F575" s="39"/>
      <c r="G575" s="39"/>
      <c r="H575" s="39"/>
      <c r="I575" s="100"/>
      <c r="J575" s="405"/>
      <c r="K575" s="39"/>
      <c r="L575" s="39"/>
      <c r="W575" s="390"/>
      <c r="AE575" s="258"/>
    </row>
    <row r="576" spans="3:31" ht="14.4" customHeight="1" x14ac:dyDescent="0.3">
      <c r="C576" s="39"/>
      <c r="D576" s="756"/>
      <c r="E576" s="39"/>
      <c r="F576" s="39"/>
      <c r="G576" s="39"/>
      <c r="H576" s="39"/>
      <c r="I576" s="100"/>
      <c r="J576" s="405"/>
      <c r="K576" s="39"/>
      <c r="L576" s="39"/>
      <c r="W576" s="390"/>
      <c r="AE576" s="258"/>
    </row>
    <row r="577" spans="3:31" ht="14.4" customHeight="1" x14ac:dyDescent="0.3">
      <c r="C577" s="39"/>
      <c r="D577" s="756"/>
      <c r="E577" s="39"/>
      <c r="F577" s="39"/>
      <c r="G577" s="39"/>
      <c r="H577" s="39"/>
      <c r="I577" s="100"/>
      <c r="J577" s="405"/>
      <c r="K577" s="39"/>
      <c r="L577" s="39"/>
      <c r="W577" s="390"/>
      <c r="AE577" s="258"/>
    </row>
    <row r="578" spans="3:31" ht="14.4" customHeight="1" x14ac:dyDescent="0.3">
      <c r="C578" s="39"/>
      <c r="D578" s="756"/>
      <c r="E578" s="39"/>
      <c r="F578" s="39"/>
      <c r="G578" s="39"/>
      <c r="H578" s="39"/>
      <c r="I578" s="100"/>
      <c r="J578" s="405"/>
      <c r="K578" s="39"/>
      <c r="L578" s="39"/>
      <c r="W578" s="390"/>
      <c r="AE578" s="258"/>
    </row>
    <row r="579" spans="3:31" ht="14.4" customHeight="1" x14ac:dyDescent="0.3">
      <c r="C579" s="39"/>
      <c r="D579" s="756"/>
      <c r="E579" s="39"/>
      <c r="F579" s="39"/>
      <c r="G579" s="39"/>
      <c r="H579" s="39"/>
      <c r="I579" s="100"/>
      <c r="J579" s="405"/>
      <c r="K579" s="39"/>
      <c r="L579" s="39"/>
      <c r="W579" s="390"/>
      <c r="AE579" s="258"/>
    </row>
    <row r="580" spans="3:31" ht="14.4" customHeight="1" x14ac:dyDescent="0.3">
      <c r="C580" s="39"/>
      <c r="D580" s="756"/>
      <c r="E580" s="39"/>
      <c r="F580" s="39"/>
      <c r="G580" s="39"/>
      <c r="H580" s="39"/>
      <c r="I580" s="100"/>
      <c r="J580" s="405"/>
      <c r="K580" s="39"/>
      <c r="L580" s="39"/>
      <c r="W580" s="390"/>
      <c r="AE580" s="258"/>
    </row>
    <row r="581" spans="3:31" ht="14.4" customHeight="1" x14ac:dyDescent="0.3">
      <c r="C581" s="39"/>
      <c r="D581" s="756"/>
      <c r="E581" s="39"/>
      <c r="F581" s="39"/>
      <c r="G581" s="39"/>
      <c r="H581" s="39"/>
      <c r="I581" s="100"/>
      <c r="J581" s="405"/>
      <c r="K581" s="39"/>
      <c r="L581" s="39"/>
      <c r="W581" s="390"/>
      <c r="AE581" s="258"/>
    </row>
    <row r="582" spans="3:31" ht="14.4" customHeight="1" x14ac:dyDescent="0.3">
      <c r="C582" s="39"/>
      <c r="D582" s="756"/>
      <c r="E582" s="39"/>
      <c r="F582" s="39"/>
      <c r="G582" s="39"/>
      <c r="H582" s="39"/>
      <c r="I582" s="100"/>
      <c r="J582" s="405"/>
      <c r="K582" s="39"/>
      <c r="L582" s="39"/>
      <c r="W582" s="390"/>
      <c r="AE582" s="258"/>
    </row>
    <row r="583" spans="3:31" ht="14.4" customHeight="1" x14ac:dyDescent="0.3">
      <c r="C583" s="39"/>
      <c r="D583" s="756"/>
      <c r="E583" s="39"/>
      <c r="F583" s="39"/>
      <c r="G583" s="39"/>
      <c r="H583" s="39"/>
      <c r="I583" s="100"/>
      <c r="J583" s="405"/>
      <c r="K583" s="39"/>
      <c r="L583" s="39"/>
      <c r="W583" s="390"/>
      <c r="AE583" s="258"/>
    </row>
    <row r="584" spans="3:31" ht="14.4" customHeight="1" x14ac:dyDescent="0.3">
      <c r="C584" s="39"/>
      <c r="D584" s="756"/>
      <c r="E584" s="39"/>
      <c r="F584" s="39"/>
      <c r="G584" s="39"/>
      <c r="H584" s="39"/>
      <c r="I584" s="100"/>
      <c r="J584" s="405"/>
      <c r="K584" s="39"/>
      <c r="L584" s="39"/>
      <c r="W584" s="390"/>
      <c r="AE584" s="258"/>
    </row>
    <row r="585" spans="3:31" ht="14.4" customHeight="1" x14ac:dyDescent="0.3">
      <c r="C585" s="39"/>
      <c r="D585" s="756"/>
      <c r="E585" s="39"/>
      <c r="F585" s="39"/>
      <c r="G585" s="39"/>
      <c r="H585" s="39"/>
      <c r="I585" s="100"/>
      <c r="J585" s="405"/>
      <c r="K585" s="39"/>
      <c r="L585" s="39"/>
      <c r="W585" s="390"/>
      <c r="AE585" s="258"/>
    </row>
    <row r="586" spans="3:31" ht="14.4" customHeight="1" x14ac:dyDescent="0.3">
      <c r="C586" s="39"/>
      <c r="D586" s="756"/>
      <c r="E586" s="39"/>
      <c r="F586" s="39"/>
      <c r="G586" s="39"/>
      <c r="H586" s="39"/>
      <c r="I586" s="100"/>
      <c r="J586" s="405"/>
      <c r="K586" s="39"/>
      <c r="L586" s="39"/>
      <c r="W586" s="390"/>
      <c r="AE586" s="258"/>
    </row>
    <row r="587" spans="3:31" ht="14.4" customHeight="1" x14ac:dyDescent="0.3">
      <c r="C587" s="39"/>
      <c r="D587" s="756"/>
      <c r="E587" s="39"/>
      <c r="F587" s="39"/>
      <c r="G587" s="39"/>
      <c r="H587" s="39"/>
      <c r="I587" s="100"/>
      <c r="J587" s="405"/>
      <c r="K587" s="39"/>
      <c r="L587" s="39"/>
      <c r="W587" s="390"/>
      <c r="AE587" s="258"/>
    </row>
    <row r="588" spans="3:31" ht="14.4" customHeight="1" x14ac:dyDescent="0.3">
      <c r="C588" s="39"/>
      <c r="D588" s="756"/>
      <c r="E588" s="39"/>
      <c r="F588" s="39"/>
      <c r="G588" s="39"/>
      <c r="H588" s="39"/>
      <c r="I588" s="100"/>
      <c r="J588" s="405"/>
      <c r="K588" s="39"/>
      <c r="L588" s="39"/>
      <c r="W588" s="390"/>
      <c r="AE588" s="258"/>
    </row>
    <row r="589" spans="3:31" ht="14.4" customHeight="1" x14ac:dyDescent="0.3">
      <c r="C589" s="39"/>
      <c r="D589" s="756"/>
      <c r="E589" s="39"/>
      <c r="F589" s="39"/>
      <c r="G589" s="39"/>
      <c r="H589" s="39"/>
      <c r="I589" s="100"/>
      <c r="J589" s="405"/>
      <c r="K589" s="39"/>
      <c r="L589" s="39"/>
      <c r="W589" s="390"/>
      <c r="AE589" s="258"/>
    </row>
    <row r="590" spans="3:31" ht="14.4" customHeight="1" x14ac:dyDescent="0.3">
      <c r="C590" s="39"/>
      <c r="D590" s="756"/>
      <c r="E590" s="39"/>
      <c r="F590" s="39"/>
      <c r="G590" s="39"/>
      <c r="H590" s="39"/>
      <c r="I590" s="100"/>
      <c r="J590" s="405"/>
      <c r="K590" s="39"/>
      <c r="L590" s="39"/>
      <c r="W590" s="390"/>
      <c r="AE590" s="258"/>
    </row>
    <row r="591" spans="3:31" ht="14.4" customHeight="1" x14ac:dyDescent="0.3">
      <c r="C591" s="39"/>
      <c r="D591" s="756"/>
      <c r="E591" s="39"/>
      <c r="F591" s="39"/>
      <c r="G591" s="39"/>
      <c r="H591" s="39"/>
      <c r="I591" s="100"/>
      <c r="J591" s="405"/>
      <c r="K591" s="39"/>
      <c r="L591" s="39"/>
      <c r="W591" s="390"/>
      <c r="AE591" s="258"/>
    </row>
    <row r="592" spans="3:31" ht="14.4" customHeight="1" x14ac:dyDescent="0.3">
      <c r="C592" s="39"/>
      <c r="D592" s="756"/>
      <c r="E592" s="39"/>
      <c r="F592" s="39"/>
      <c r="G592" s="39"/>
      <c r="H592" s="39"/>
      <c r="I592" s="100"/>
      <c r="J592" s="405"/>
      <c r="K592" s="39"/>
      <c r="L592" s="39"/>
      <c r="W592" s="390"/>
      <c r="AE592" s="258"/>
    </row>
    <row r="593" spans="3:31" ht="14.4" customHeight="1" x14ac:dyDescent="0.3">
      <c r="C593" s="39"/>
      <c r="D593" s="756"/>
      <c r="E593" s="39"/>
      <c r="F593" s="39"/>
      <c r="G593" s="39"/>
      <c r="H593" s="39"/>
      <c r="I593" s="100"/>
      <c r="J593" s="405"/>
      <c r="K593" s="39"/>
      <c r="L593" s="39"/>
      <c r="W593" s="390"/>
      <c r="AE593" s="258"/>
    </row>
    <row r="594" spans="3:31" x14ac:dyDescent="0.3">
      <c r="C594" s="39"/>
      <c r="D594" s="756"/>
      <c r="E594" s="39"/>
      <c r="F594" s="39"/>
      <c r="G594" s="39"/>
      <c r="H594" s="39"/>
      <c r="I594" s="100"/>
      <c r="J594" s="405"/>
      <c r="K594" s="39"/>
      <c r="L594" s="39"/>
      <c r="W594" s="390"/>
      <c r="AE594" s="258"/>
    </row>
    <row r="595" spans="3:31" x14ac:dyDescent="0.3">
      <c r="C595" s="39"/>
      <c r="D595" s="756"/>
      <c r="E595" s="39"/>
      <c r="F595" s="39"/>
      <c r="G595" s="39"/>
      <c r="H595" s="39"/>
      <c r="I595" s="100"/>
      <c r="J595" s="405"/>
      <c r="K595" s="39"/>
      <c r="L595" s="39"/>
      <c r="W595" s="390"/>
      <c r="AE595" s="258"/>
    </row>
    <row r="596" spans="3:31" x14ac:dyDescent="0.3">
      <c r="C596" s="39"/>
      <c r="D596" s="756"/>
      <c r="E596" s="39"/>
      <c r="F596" s="39"/>
      <c r="G596" s="39"/>
      <c r="H596" s="39"/>
      <c r="I596" s="100"/>
      <c r="J596" s="405"/>
      <c r="K596" s="39"/>
      <c r="L596" s="39"/>
      <c r="W596" s="390"/>
      <c r="AE596" s="258"/>
    </row>
    <row r="597" spans="3:31" x14ac:dyDescent="0.3">
      <c r="C597" s="39"/>
      <c r="D597" s="756"/>
      <c r="E597" s="39"/>
      <c r="F597" s="39"/>
      <c r="G597" s="39"/>
      <c r="H597" s="39"/>
      <c r="I597" s="100"/>
      <c r="J597" s="405"/>
      <c r="K597" s="39"/>
      <c r="L597" s="39"/>
      <c r="W597" s="390"/>
      <c r="AE597" s="258"/>
    </row>
    <row r="598" spans="3:31" x14ac:dyDescent="0.3">
      <c r="C598" s="39"/>
      <c r="D598" s="756"/>
      <c r="E598" s="39"/>
      <c r="F598" s="39"/>
      <c r="G598" s="39"/>
      <c r="H598" s="39"/>
      <c r="I598" s="100"/>
      <c r="J598" s="405"/>
      <c r="K598" s="39"/>
      <c r="L598" s="39"/>
      <c r="W598" s="390"/>
      <c r="AE598" s="258"/>
    </row>
    <row r="599" spans="3:31" x14ac:dyDescent="0.3">
      <c r="C599" s="39"/>
      <c r="D599" s="756"/>
      <c r="E599" s="39"/>
      <c r="F599" s="39"/>
      <c r="G599" s="39"/>
      <c r="H599" s="39"/>
      <c r="I599" s="100"/>
      <c r="J599" s="405"/>
      <c r="K599" s="39"/>
      <c r="L599" s="39"/>
      <c r="W599" s="390"/>
      <c r="AE599" s="258"/>
    </row>
    <row r="600" spans="3:31" x14ac:dyDescent="0.3">
      <c r="C600" s="39"/>
      <c r="D600" s="756"/>
      <c r="E600" s="39"/>
      <c r="F600" s="39"/>
      <c r="G600" s="39"/>
      <c r="H600" s="39"/>
      <c r="I600" s="100"/>
      <c r="J600" s="405"/>
      <c r="K600" s="39"/>
      <c r="L600" s="39"/>
      <c r="W600" s="390"/>
      <c r="AE600" s="258"/>
    </row>
    <row r="601" spans="3:31" x14ac:dyDescent="0.3">
      <c r="C601" s="39"/>
      <c r="D601" s="756"/>
      <c r="E601" s="39"/>
      <c r="F601" s="39"/>
      <c r="G601" s="39"/>
      <c r="H601" s="39"/>
      <c r="I601" s="100"/>
      <c r="J601" s="405"/>
      <c r="K601" s="39"/>
      <c r="L601" s="39"/>
      <c r="W601" s="390"/>
      <c r="AE601" s="258"/>
    </row>
    <row r="602" spans="3:31" x14ac:dyDescent="0.3">
      <c r="C602" s="39"/>
      <c r="D602" s="756"/>
      <c r="E602" s="39"/>
      <c r="F602" s="39"/>
      <c r="G602" s="39"/>
      <c r="H602" s="39"/>
      <c r="I602" s="100"/>
      <c r="J602" s="405"/>
      <c r="K602" s="39"/>
      <c r="L602" s="39"/>
      <c r="W602" s="390"/>
      <c r="AE602" s="258"/>
    </row>
    <row r="603" spans="3:31" x14ac:dyDescent="0.3">
      <c r="C603" s="39"/>
      <c r="D603" s="756"/>
      <c r="E603" s="39"/>
      <c r="F603" s="39"/>
      <c r="G603" s="39"/>
      <c r="H603" s="39"/>
      <c r="I603" s="100"/>
      <c r="J603" s="405"/>
      <c r="K603" s="39"/>
      <c r="L603" s="39"/>
      <c r="W603" s="390"/>
      <c r="AE603" s="258"/>
    </row>
    <row r="604" spans="3:31" x14ac:dyDescent="0.3">
      <c r="C604" s="39"/>
      <c r="D604" s="756"/>
      <c r="E604" s="39"/>
      <c r="F604" s="39"/>
      <c r="G604" s="39"/>
      <c r="H604" s="39"/>
      <c r="I604" s="100"/>
      <c r="J604" s="405"/>
      <c r="K604" s="39"/>
      <c r="L604" s="39"/>
      <c r="W604" s="390"/>
      <c r="AE604" s="258"/>
    </row>
  </sheetData>
  <sortState xmlns:xlrd2="http://schemas.microsoft.com/office/spreadsheetml/2017/richdata2" ref="A56:BC240">
    <sortCondition ref="C56:C240"/>
    <sortCondition ref="D56:D240"/>
  </sortState>
  <mergeCells count="3">
    <mergeCell ref="N1:U1"/>
    <mergeCell ref="X1:AE1"/>
    <mergeCell ref="C1:L1"/>
  </mergeCells>
  <phoneticPr fontId="54" type="noConversion"/>
  <conditionalFormatting sqref="W3:AE390 N3:U390">
    <cfRule type="expression" dxfId="785" priority="25">
      <formula>OR($L3="Annulé",$L3="Rejeté")</formula>
    </cfRule>
  </conditionalFormatting>
  <conditionalFormatting sqref="L3:L51">
    <cfRule type="containsText" dxfId="784" priority="46" operator="containsText" text="Rejeté">
      <formula>NOT(ISERROR(SEARCH("Rejeté",L3)))</formula>
    </cfRule>
  </conditionalFormatting>
  <conditionalFormatting sqref="L2:L206">
    <cfRule type="containsText" dxfId="783" priority="7" operator="containsText" text="Rejeté">
      <formula>NOT(ISERROR(SEARCH("Rejeté",L2)))</formula>
    </cfRule>
  </conditionalFormatting>
  <conditionalFormatting sqref="A2:A206 C2:L206">
    <cfRule type="expression" dxfId="782" priority="1">
      <formula>AND(YEAR($D2)=YEAR(TODAY()),MONTH($D2)=MONTH(336))</formula>
    </cfRule>
    <cfRule type="expression" dxfId="781" priority="2">
      <formula>AND(YEAR($D2)=YEAR(TODAY()),MONTH($D2)=MONTH(306))</formula>
    </cfRule>
    <cfRule type="expression" dxfId="780" priority="3">
      <formula>AND(YEAR($D2)=YEAR(TODAY()),MONTH($D2)=MONTH(277))</formula>
    </cfRule>
    <cfRule type="expression" dxfId="779" priority="4">
      <formula>AND(YEAR($D2)=YEAR(TODAY()),MONTH($D2)=MONTH(245))</formula>
    </cfRule>
    <cfRule type="expression" dxfId="778" priority="5">
      <formula>AND(YEAR($D2)=YEAR(TODAY()),MONTH($D2)=MONTH(214))</formula>
    </cfRule>
    <cfRule type="expression" dxfId="777" priority="6">
      <formula>AND(YEAR($D2)=YEAR(TODAY()),MONTH($D2)=MONTH(183))</formula>
    </cfRule>
    <cfRule type="expression" dxfId="776" priority="8">
      <formula>AND(YEAR($D2)=YEAR(TODAY()),MONTH($D2)=MONTH(153))</formula>
    </cfRule>
    <cfRule type="expression" dxfId="775" priority="9">
      <formula>AND(YEAR($D2)=YEAR(TODAY()),MONTH($D2)=MONTH(94))</formula>
    </cfRule>
    <cfRule type="expression" dxfId="774" priority="10">
      <formula>AND(YEAR($D2)=YEAR(TODAY()),MONTH($D2)=MONTH(1))</formula>
    </cfRule>
    <cfRule type="expression" dxfId="773" priority="11">
      <formula>AND(YEAR($D2)=YEAR(TODAY()),MONTH($D2)=MONTH(32))</formula>
    </cfRule>
    <cfRule type="expression" dxfId="772" priority="12">
      <formula>AND(YEAR($D2)=YEAR(TODAY()),MONTH($D2)=MONTH(61))</formula>
    </cfRule>
    <cfRule type="expression" dxfId="771" priority="40">
      <formula>AND(YEAR($D2)=YEAR(TODAY()),MONTH($D2)=MONTH(306))</formula>
    </cfRule>
    <cfRule type="expression" dxfId="770" priority="41">
      <formula>AND(YEAR($D2)=YEAR(TODAY()),MONTH($D2)=MONTH(277))</formula>
    </cfRule>
    <cfRule type="expression" dxfId="769" priority="42">
      <formula>AND(YEAR($D2)=YEAR(TODAY()),MONTH($D2)=MONTH(245))</formula>
    </cfRule>
    <cfRule type="expression" dxfId="768" priority="43">
      <formula>AND(YEAR($D2)=YEAR(TODAY()),MONTH($D2)=MONTH(214))</formula>
    </cfRule>
    <cfRule type="expression" dxfId="767" priority="44">
      <formula>AND(YEAR($D2)=YEAR(TODAY()),MONTH($D2)=MONTH(183))</formula>
    </cfRule>
    <cfRule type="expression" dxfId="766" priority="47">
      <formula>AND(YEAR($D2)=YEAR(TODAY()),MONTH($D2)=MONTH(153))</formula>
    </cfRule>
    <cfRule type="expression" dxfId="765" priority="48">
      <formula>AND(YEAR($D2)=YEAR(TODAY()),MONTH($D2)=MONTH(94))</formula>
    </cfRule>
    <cfRule type="expression" dxfId="764" priority="49">
      <formula>AND(YEAR($D2)=YEAR(TODAY()),MONTH($D2)=MONTH(1))</formula>
    </cfRule>
    <cfRule type="expression" dxfId="763" priority="50">
      <formula>AND(YEAR($D2)=YEAR(TODAY()),MONTH($D2)=MONTH(32))</formula>
    </cfRule>
    <cfRule type="expression" dxfId="762" priority="51">
      <formula>AND(YEAR($D2)=YEAR(TODAY()),MONTH($D2)=MONTH(61))</formula>
    </cfRule>
  </conditionalFormatting>
  <conditionalFormatting sqref="A3:A390 C3:L390">
    <cfRule type="expression" dxfId="761" priority="39">
      <formula>AND(YEAR($D3)=YEAR(TODAY()),MONTH($D3)=MONTH(336))</formula>
    </cfRule>
  </conditionalFormatting>
  <conditionalFormatting sqref="N3:U390">
    <cfRule type="expression" dxfId="760" priority="53">
      <formula>AND(YEAR($Q3)=YEAR(TODAY()),MONTH($Q3)=MONTH(122))</formula>
    </cfRule>
    <cfRule type="expression" dxfId="759" priority="55">
      <formula>AND(YEAR($Q3)=YEAR(TODAY()),MONTH($Q3)=MONTH(336))</formula>
    </cfRule>
    <cfRule type="expression" dxfId="758" priority="57">
      <formula>AND(YEAR($Q3)=YEAR(TODAY()),MONTH($Q3)=MONTH(306))</formula>
    </cfRule>
    <cfRule type="expression" dxfId="757" priority="59">
      <formula>AND(YEAR($Q3)=YEAR(TODAY()),MONTH($Q3)=MONTH(275))</formula>
    </cfRule>
    <cfRule type="expression" dxfId="756" priority="71">
      <formula>AND(YEAR($Q3)=YEAR(TODAY()),MONTH($Q3)=MONTH(31))</formula>
    </cfRule>
    <cfRule type="expression" dxfId="755" priority="72">
      <formula>AND(YEAR($Q3)=YEAR(TODAY()),MONTH($Q3)=MONTH(153))</formula>
    </cfRule>
    <cfRule type="expression" dxfId="754" priority="73">
      <formula>AND(YEAR($Q3)=YEAR(TODAY()),MONTH($Q3)=MONTH(122))</formula>
    </cfRule>
    <cfRule type="expression" dxfId="753" priority="75">
      <formula>AND(YEAR($Q3)=YEAR(TODAY()),MONTH($Q3)=MONTH(336))</formula>
    </cfRule>
    <cfRule type="expression" dxfId="752" priority="78">
      <formula>AND(YEAR($Q3)=YEAR(TODAY()),MONTH($Q3)=MONTH(306))</formula>
    </cfRule>
    <cfRule type="expression" dxfId="751" priority="84">
      <formula>AND(YEAR($Q3)=YEAR(TODAY()),MONTH($Q3)=MONTH(245))</formula>
    </cfRule>
    <cfRule type="expression" dxfId="750" priority="87">
      <formula>AND(YEAR($Q3)=YEAR(TODAY()),MONTH($Q3)=MONTH(214))</formula>
    </cfRule>
    <cfRule type="expression" dxfId="749" priority="90">
      <formula>AND(YEAR($Q3)=YEAR(TODAY()),MONTH($Q3)=MONTH(183))</formula>
    </cfRule>
    <cfRule type="expression" dxfId="748" priority="98">
      <formula>AND(YEAR($Q3)=YEAR(TODAY()),MONTH($Q3)=MONTH(32))</formula>
    </cfRule>
    <cfRule type="expression" dxfId="747" priority="99">
      <formula>AND(YEAR($Q3)=YEAR(TODAY()),MONTH($Q3)=MONTH(61))</formula>
    </cfRule>
    <cfRule type="expression" dxfId="746" priority="100">
      <formula>AND(YEAR($Q3)=YEAR(TODAY()),MONTH($Q3)=MONTH(92))</formula>
    </cfRule>
    <cfRule type="expression" dxfId="745" priority="102">
      <formula>AND(YEAR($Q3)=YEAR(TODAY()),MONTH($Q3)=MONTH(31))</formula>
    </cfRule>
    <cfRule type="expression" dxfId="744" priority="103">
      <formula>AND(YEAR($Q3)=YEAR(TODAY()),MONTH($Q3)=MONTH(153))</formula>
    </cfRule>
  </conditionalFormatting>
  <conditionalFormatting sqref="W3:AE390">
    <cfRule type="expression" dxfId="743" priority="13">
      <formula>AND($Y3=YEAR(TODAY()),$Z3=MONTH(31))</formula>
    </cfRule>
    <cfRule type="expression" dxfId="742" priority="14">
      <formula>AND($Y3=YEAR(TODAY()),$Z3=MONTH(336))</formula>
    </cfRule>
    <cfRule type="expression" dxfId="741" priority="15">
      <formula>AND($Y3=YEAR(TODAY()),$Z3=MONTH(306))</formula>
    </cfRule>
    <cfRule type="expression" dxfId="740" priority="16">
      <formula>AND($Y3=YEAR(TODAY()),$Z3=MONTH(275))</formula>
    </cfRule>
    <cfRule type="expression" dxfId="739" priority="17">
      <formula>AND($Y3=YEAR(TODAY()),$Z3=MONTH(245))</formula>
    </cfRule>
    <cfRule type="expression" dxfId="738" priority="18">
      <formula>AND($Y3=YEAR(TODAY()),$Z3=MONTH(214))</formula>
    </cfRule>
    <cfRule type="expression" dxfId="737" priority="19">
      <formula>AND($Y3=YEAR(TODAY()),$Z3=MONTH(183))</formula>
    </cfRule>
    <cfRule type="expression" dxfId="736" priority="20">
      <formula>AND($Y3=YEAR(TODAY()),$Z3=MONTH(153))</formula>
    </cfRule>
    <cfRule type="expression" dxfId="735" priority="21">
      <formula>AND($Y3=YEAR(TODAY()),$Z3=MONTH(122))</formula>
    </cfRule>
    <cfRule type="expression" dxfId="734" priority="22">
      <formula>AND($Y3=YEAR(TODAY()),$Z3=MONTH(92))</formula>
    </cfRule>
    <cfRule type="expression" dxfId="733" priority="23">
      <formula>AND($Y3=YEAR(TODAY()),$Z3=MONTH(61))</formula>
    </cfRule>
    <cfRule type="expression" dxfId="732" priority="24">
      <formula>AND($Y3=YEAR(TODAY()),$Z3=MONTH(32))</formula>
    </cfRule>
  </conditionalFormatting>
  <dataValidations disablePrompts="1" count="5">
    <dataValidation type="list" allowBlank="1" showInputMessage="1" showErrorMessage="1" sqref="AN3:AN9 AN21:AN121" xr:uid="{00000000-0002-0000-0100-000000000000}">
      <formula1>Raison_externalisation</formula1>
    </dataValidation>
    <dataValidation type="list" allowBlank="1" showInputMessage="1" showErrorMessage="1" sqref="AG370:AG1048576 AG1:AG2" xr:uid="{00000000-0002-0000-0100-000003000000}">
      <formula1>Refuse</formula1>
    </dataValidation>
    <dataValidation type="list" allowBlank="1" showInputMessage="1" showErrorMessage="1" sqref="AF3:AF316" xr:uid="{ABD139D8-8895-45DC-8319-DBAD46CA27A0}">
      <formula1>On_Site</formula1>
    </dataValidation>
    <dataValidation type="list" allowBlank="1" showInputMessage="1" showErrorMessage="1" sqref="K2:K1048576" xr:uid="{00000000-0002-0000-0100-000001000000}">
      <formula1>CAT</formula1>
    </dataValidation>
    <dataValidation type="list" allowBlank="1" showInputMessage="1" showErrorMessage="1" sqref="L1:L1048576" xr:uid="{00000000-0002-0000-0100-000002000000}">
      <formula1>Dstatus</formula1>
    </dataValidation>
  </dataValidations>
  <hyperlinks>
    <hyperlink ref="AP74" r:id="rId1" xr:uid="{637BE781-6A67-4975-BD32-0E9F3739CE70}"/>
  </hyperlinks>
  <pageMargins left="0.25" right="0.25" top="0.75" bottom="0.75" header="0.3" footer="0.3"/>
  <pageSetup paperSize="8" scale="10" orientation="landscape"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BL145"/>
  <sheetViews>
    <sheetView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ColWidth="9.109375" defaultRowHeight="14.4" x14ac:dyDescent="0.3"/>
  <cols>
    <col min="1" max="1" width="11.88671875" bestFit="1" customWidth="1"/>
    <col min="2" max="2" width="25.109375" style="4" bestFit="1" customWidth="1"/>
    <col min="3" max="4" width="12" customWidth="1"/>
    <col min="5" max="5" width="12.109375" customWidth="1"/>
    <col min="6" max="29" width="12" customWidth="1"/>
    <col min="30" max="54" width="12" bestFit="1" customWidth="1"/>
  </cols>
  <sheetData>
    <row r="1" spans="1:57" s="641" customFormat="1" x14ac:dyDescent="0.3">
      <c r="A1" s="641" t="s">
        <v>23</v>
      </c>
      <c r="C1" s="641" t="s">
        <v>56</v>
      </c>
      <c r="D1" s="641" t="s">
        <v>57</v>
      </c>
      <c r="E1" s="641" t="s">
        <v>58</v>
      </c>
      <c r="F1" s="642" t="s">
        <v>59</v>
      </c>
      <c r="G1" s="643" t="s">
        <v>60</v>
      </c>
      <c r="H1" s="643" t="s">
        <v>61</v>
      </c>
      <c r="I1" s="644" t="s">
        <v>62</v>
      </c>
      <c r="J1" s="643" t="s">
        <v>63</v>
      </c>
      <c r="K1" s="641" t="s">
        <v>64</v>
      </c>
      <c r="L1" s="642" t="s">
        <v>65</v>
      </c>
      <c r="M1" s="642" t="s">
        <v>66</v>
      </c>
      <c r="N1" s="642" t="s">
        <v>67</v>
      </c>
      <c r="O1" s="642" t="s">
        <v>68</v>
      </c>
      <c r="P1" s="643" t="s">
        <v>69</v>
      </c>
      <c r="Q1" s="643" t="s">
        <v>70</v>
      </c>
      <c r="R1" s="643" t="s">
        <v>71</v>
      </c>
      <c r="S1" s="643" t="s">
        <v>72</v>
      </c>
      <c r="T1" s="642" t="s">
        <v>73</v>
      </c>
      <c r="U1" s="642" t="s">
        <v>74</v>
      </c>
      <c r="V1" s="642" t="s">
        <v>75</v>
      </c>
      <c r="W1" s="642" t="s">
        <v>76</v>
      </c>
      <c r="X1" s="643" t="s">
        <v>77</v>
      </c>
      <c r="Y1" s="643" t="s">
        <v>78</v>
      </c>
      <c r="Z1" s="643" t="s">
        <v>79</v>
      </c>
      <c r="AA1" s="643" t="s">
        <v>80</v>
      </c>
      <c r="AB1" s="643" t="s">
        <v>81</v>
      </c>
      <c r="AC1" s="642" t="s">
        <v>82</v>
      </c>
      <c r="AD1" s="642" t="s">
        <v>83</v>
      </c>
      <c r="AE1" s="642" t="s">
        <v>84</v>
      </c>
      <c r="AF1" s="642" t="s">
        <v>85</v>
      </c>
      <c r="AG1" s="643" t="s">
        <v>86</v>
      </c>
      <c r="AH1" s="643" t="s">
        <v>87</v>
      </c>
      <c r="AI1" s="643" t="s">
        <v>88</v>
      </c>
      <c r="AJ1" s="643" t="s">
        <v>89</v>
      </c>
      <c r="AK1" s="642" t="s">
        <v>90</v>
      </c>
      <c r="AL1" s="642" t="s">
        <v>91</v>
      </c>
      <c r="AM1" s="642" t="s">
        <v>92</v>
      </c>
      <c r="AN1" s="642" t="s">
        <v>93</v>
      </c>
      <c r="AO1" s="642" t="s">
        <v>94</v>
      </c>
      <c r="AP1" s="643" t="s">
        <v>95</v>
      </c>
      <c r="AQ1" s="643" t="s">
        <v>96</v>
      </c>
      <c r="AR1" s="643" t="s">
        <v>97</v>
      </c>
      <c r="AS1" s="643" t="s">
        <v>98</v>
      </c>
      <c r="AT1" s="642" t="s">
        <v>99</v>
      </c>
      <c r="AU1" s="642" t="s">
        <v>100</v>
      </c>
      <c r="AV1" s="642" t="s">
        <v>101</v>
      </c>
      <c r="AW1" s="642" t="s">
        <v>102</v>
      </c>
      <c r="AX1" s="643" t="s">
        <v>103</v>
      </c>
      <c r="AY1" s="643" t="s">
        <v>104</v>
      </c>
      <c r="AZ1" s="643" t="s">
        <v>105</v>
      </c>
      <c r="BA1" s="643" t="s">
        <v>106</v>
      </c>
      <c r="BB1" s="643" t="s">
        <v>107</v>
      </c>
    </row>
    <row r="2" spans="1:57" s="15" customFormat="1" x14ac:dyDescent="0.3">
      <c r="A2" s="15">
        <f>SUM(C2:BB2)</f>
        <v>271455.40000000002</v>
      </c>
      <c r="B2" s="56" t="s">
        <v>53</v>
      </c>
      <c r="C2" s="257" cm="1">
        <f t="array" ref="C2">SUMPRODUCT((Data!$C$3:$C$371='Weekly Data'!C1)*(Data!$I$3:$I$371))</f>
        <v>12719</v>
      </c>
      <c r="D2" s="388" cm="1">
        <f t="array" ref="D2">SUMPRODUCT((Data!$C$3:$C$371='Weekly Data'!D1)*(Data!$I$3:$I$371))</f>
        <v>43355</v>
      </c>
      <c r="E2" s="388" cm="1">
        <f t="array" ref="E2">SUMPRODUCT((Data!$C$3:$C$371='Weekly Data'!E1)*(Data!$I$3:$I$371))</f>
        <v>27121</v>
      </c>
      <c r="F2" s="388" cm="1">
        <f t="array" ref="F2">SUMPRODUCT((Data!$C$3:$C$371='Weekly Data'!F1)*(Data!$I$3:$I$371))</f>
        <v>660</v>
      </c>
      <c r="G2" s="388" cm="1">
        <f t="array" ref="G2">SUMPRODUCT((Data!$C$3:$C$371='Weekly Data'!G1)*(Data!$I$3:$I$371))</f>
        <v>21496</v>
      </c>
      <c r="H2" s="388" cm="1">
        <f t="array" ref="H2">SUMPRODUCT((Data!$C$3:$C$371='Weekly Data'!H1)*(Data!$I$3:$I$371))</f>
        <v>14804</v>
      </c>
      <c r="I2" s="388" cm="1">
        <f t="array" ref="I2">SUMPRODUCT((Data!$C$3:$C$371='Weekly Data'!I1)*(Data!$I$3:$I$371))</f>
        <v>71457.399999999994</v>
      </c>
      <c r="J2" s="388" cm="1">
        <f t="array" ref="J2">SUMPRODUCT((Data!$C$3:$C$371='Weekly Data'!J1)*(Data!$I$3:$I$371))</f>
        <v>1915</v>
      </c>
      <c r="K2" s="388" cm="1">
        <f t="array" ref="K2">SUMPRODUCT((Data!$C$3:$C$371='Weekly Data'!K1)*(Data!$I$3:$I$371))</f>
        <v>23765</v>
      </c>
      <c r="L2" s="388" cm="1">
        <f t="array" ref="L2">SUMPRODUCT((Data!$C$3:$C$371='Weekly Data'!L1)*(Data!$I$3:$I$371))</f>
        <v>5007</v>
      </c>
      <c r="M2" s="388" cm="1">
        <f t="array" ref="M2">SUMPRODUCT((Data!$C$3:$C$371='Weekly Data'!M1)*(Data!$I$3:$I$371))</f>
        <v>26736</v>
      </c>
      <c r="N2" s="388" cm="1">
        <f t="array" ref="N2">SUMPRODUCT((Data!$C$3:$C$371='Weekly Data'!N1)*(Data!$I$3:$I$371))</f>
        <v>707</v>
      </c>
      <c r="O2" s="388" cm="1">
        <f t="array" ref="O2">SUMPRODUCT((Data!$C$3:$C$371='Weekly Data'!O1)*(Data!$I$3:$I$371))</f>
        <v>3180</v>
      </c>
      <c r="P2" s="388" cm="1">
        <f t="array" ref="P2">SUMPRODUCT((Data!$C$3:$C$371='Weekly Data'!P1)*(Data!$I$3:$I$371))</f>
        <v>18533</v>
      </c>
      <c r="Q2" s="388" cm="1">
        <f t="array" ref="Q2">SUMPRODUCT((Data!$C$3:$C$371='Weekly Data'!Q1)*(Data!$I$3:$I$371))</f>
        <v>0</v>
      </c>
      <c r="R2" s="388" cm="1">
        <f t="array" ref="R2">SUMPRODUCT((Data!$C$3:$C$371='Weekly Data'!R1)*(Data!$I$3:$I$371))</f>
        <v>0</v>
      </c>
      <c r="S2" s="388" cm="1">
        <f t="array" ref="S2">SUMPRODUCT((Data!$C$3:$C$371='Weekly Data'!S1)*(Data!$I$3:$I$371))</f>
        <v>0</v>
      </c>
      <c r="T2" s="388" cm="1">
        <f t="array" ref="T2">SUMPRODUCT((Data!$C$3:$C$371='Weekly Data'!T1)*(Data!$I$3:$I$371))</f>
        <v>0</v>
      </c>
      <c r="U2" s="388" cm="1">
        <f t="array" ref="U2">SUMPRODUCT((Data!$C$3:$C$371='Weekly Data'!U1)*(Data!$I$3:$I$371))</f>
        <v>0</v>
      </c>
      <c r="V2" s="388" cm="1">
        <f t="array" ref="V2">SUMPRODUCT((Data!$C$3:$C$371='Weekly Data'!V1)*(Data!$I$3:$I$371))</f>
        <v>0</v>
      </c>
      <c r="W2" s="388" cm="1">
        <f t="array" ref="W2">SUMPRODUCT((Data!$C$3:$C$371='Weekly Data'!W1)*(Data!$I$3:$I$371))</f>
        <v>0</v>
      </c>
      <c r="X2" s="388" cm="1">
        <f t="array" ref="X2">SUMPRODUCT((Data!$C$3:$C$371='Weekly Data'!X1)*(Data!$I$3:$I$371))</f>
        <v>0</v>
      </c>
      <c r="Y2" s="388" cm="1">
        <f t="array" ref="Y2">SUMPRODUCT((Data!$C$3:$C$371='Weekly Data'!Y1)*(Data!$I$3:$I$371))</f>
        <v>0</v>
      </c>
      <c r="Z2" s="388" cm="1">
        <f t="array" ref="Z2">SUMPRODUCT((Data!$C$3:$C$371='Weekly Data'!Z1)*(Data!$I$3:$I$371))</f>
        <v>0</v>
      </c>
      <c r="AA2" s="388" cm="1">
        <f t="array" ref="AA2">SUMPRODUCT((Data!$C$3:$C$371='Weekly Data'!AA1)*(Data!$I$3:$I$371))</f>
        <v>0</v>
      </c>
      <c r="AB2" s="388" cm="1">
        <f t="array" ref="AB2">SUMPRODUCT((Data!$C$3:$C$371='Weekly Data'!AB1)*(Data!$I$3:$I$371))</f>
        <v>0</v>
      </c>
      <c r="AC2" s="388" cm="1">
        <f t="array" ref="AC2">SUMPRODUCT((Data!$C$3:$C$371='Weekly Data'!AC1)*(Data!$I$3:$I$371))</f>
        <v>0</v>
      </c>
      <c r="AD2" s="388" cm="1">
        <f t="array" ref="AD2">SUMPRODUCT((Data!$C$3:$C$371='Weekly Data'!AD1)*(Data!$I$3:$I$371))</f>
        <v>0</v>
      </c>
      <c r="AE2" s="388" cm="1">
        <f t="array" ref="AE2">SUMPRODUCT((Data!$C$3:$C$371='Weekly Data'!AE1)*(Data!$I$3:$I$371))</f>
        <v>0</v>
      </c>
      <c r="AF2" s="388" cm="1">
        <f t="array" ref="AF2">SUMPRODUCT((Data!$C$3:$C$371='Weekly Data'!AF1)*(Data!$I$3:$I$371))</f>
        <v>0</v>
      </c>
      <c r="AG2" s="388" cm="1">
        <f t="array" ref="AG2">SUMPRODUCT((Data!$C$3:$C$371='Weekly Data'!AG1)*(Data!$I$3:$I$371))</f>
        <v>0</v>
      </c>
      <c r="AH2" s="388" cm="1">
        <f t="array" ref="AH2">SUMPRODUCT((Data!$C$3:$C$371='Weekly Data'!AH1)*(Data!$I$3:$I$371))</f>
        <v>0</v>
      </c>
      <c r="AI2" s="388" cm="1">
        <f t="array" ref="AI2">SUMPRODUCT((Data!$C$3:$C$371='Weekly Data'!AI1)*(Data!$I$3:$I$371))</f>
        <v>0</v>
      </c>
      <c r="AJ2" s="388" cm="1">
        <f t="array" ref="AJ2">SUMPRODUCT((Data!$C$3:$C$371='Weekly Data'!AJ1)*(Data!$I$3:$I$371))</f>
        <v>0</v>
      </c>
      <c r="AK2" s="388" cm="1">
        <f t="array" ref="AK2">SUMPRODUCT((Data!$C$3:$C$371='Weekly Data'!AK1)*(Data!$I$3:$I$371))</f>
        <v>0</v>
      </c>
      <c r="AL2" s="388" cm="1">
        <f t="array" ref="AL2">SUMPRODUCT((Data!$C$3:$C$371='Weekly Data'!AL1)*(Data!$I$3:$I$371))</f>
        <v>0</v>
      </c>
      <c r="AM2" s="388" cm="1">
        <f t="array" ref="AM2">SUMPRODUCT((Data!$C$3:$C$371='Weekly Data'!AM1)*(Data!$I$3:$I$371))</f>
        <v>0</v>
      </c>
      <c r="AN2" s="388" cm="1">
        <f t="array" ref="AN2">SUMPRODUCT((Data!$C$3:$C$371='Weekly Data'!AN1)*(Data!$I$3:$I$371))</f>
        <v>0</v>
      </c>
      <c r="AO2" s="388" cm="1">
        <f t="array" ref="AO2">SUMPRODUCT((Data!$C$3:$C$371='Weekly Data'!AO1)*(Data!$I$3:$I$371))</f>
        <v>0</v>
      </c>
      <c r="AP2" s="388" cm="1">
        <f t="array" ref="AP2">SUMPRODUCT((Data!$C$3:$C$371='Weekly Data'!AP1)*(Data!$I$3:$I$371))</f>
        <v>0</v>
      </c>
      <c r="AQ2" s="388" cm="1">
        <f t="array" ref="AQ2">SUMPRODUCT((Data!$C$3:$C$371='Weekly Data'!AQ1)*(Data!$I$3:$I$371))</f>
        <v>0</v>
      </c>
      <c r="AR2" s="388" cm="1">
        <f t="array" ref="AR2">SUMPRODUCT((Data!$C$3:$C$371='Weekly Data'!AR1)*(Data!$I$3:$I$371))</f>
        <v>0</v>
      </c>
      <c r="AS2" s="388" cm="1">
        <f t="array" ref="AS2">SUMPRODUCT((Data!$C$3:$C$371='Weekly Data'!AS1)*(Data!$I$3:$I$371))</f>
        <v>0</v>
      </c>
      <c r="AT2" s="388" cm="1">
        <f t="array" ref="AT2">SUMPRODUCT((Data!$C$3:$C$371='Weekly Data'!AT1)*(Data!$I$3:$I$371))</f>
        <v>0</v>
      </c>
      <c r="AU2" s="388" cm="1">
        <f t="array" ref="AU2">SUMPRODUCT((Data!$C$3:$C$371='Weekly Data'!AU1)*(Data!$I$3:$I$371))</f>
        <v>0</v>
      </c>
      <c r="AV2" s="388" cm="1">
        <f t="array" ref="AV2">SUMPRODUCT((Data!$C$3:$C$371='Weekly Data'!AV1)*(Data!$I$3:$I$371))</f>
        <v>0</v>
      </c>
      <c r="AW2" s="388" cm="1">
        <f t="array" ref="AW2">SUMPRODUCT((Data!$C$3:$C$371='Weekly Data'!AW1)*(Data!$I$3:$I$371))</f>
        <v>0</v>
      </c>
      <c r="AX2" s="388" cm="1">
        <f t="array" ref="AX2">SUMPRODUCT((Data!$C$3:$C$371='Weekly Data'!AX1)*(Data!$I$3:$I$371))</f>
        <v>0</v>
      </c>
      <c r="AY2" s="388" cm="1">
        <f t="array" ref="AY2">SUMPRODUCT((Data!$C$3:$C$371='Weekly Data'!AY1)*(Data!$I$3:$I$371))</f>
        <v>0</v>
      </c>
      <c r="AZ2" s="388">
        <f>SUMPRODUCT((Data!$C$3:$C$371='Weekly Data'!AZ1)*(Data!$G$3:$G$371&lt;&gt;"AIA")*(Data!$I$3:$I$371))</f>
        <v>0</v>
      </c>
      <c r="BA2" s="388" cm="1">
        <f t="array" ref="BA2">SUMPRODUCT((Data!$C$3:$C$371='Weekly Data'!BA1)*(Data!$I$3:$I$371))</f>
        <v>0</v>
      </c>
      <c r="BB2" s="388" cm="1">
        <f t="array" ref="BB2">SUMPRODUCT((Data!$C$3:$C$371='Weekly Data'!BB1)*(Data!$I$3:$I$371))</f>
        <v>0</v>
      </c>
    </row>
    <row r="3" spans="1:57" s="15" customFormat="1" x14ac:dyDescent="0.3">
      <c r="A3" s="388">
        <f>SUM(C3:BB3)</f>
        <v>193371</v>
      </c>
      <c r="B3" s="56" t="s">
        <v>49</v>
      </c>
      <c r="C3" s="388">
        <f>SUMIFS(Data!$S$3:$S$348,Data!$N$3:$N$348,C$1,Data!$O$3:$O$348,2022)</f>
        <v>0</v>
      </c>
      <c r="D3" s="388">
        <f>SUMIFS(Data!$S$3:$S$348,Data!$N$3:$N$348,D$1,Data!$O$3:$O$348,2022)</f>
        <v>12384</v>
      </c>
      <c r="E3" s="388">
        <f>SUMIFS(Data!$S$3:$S$348,Data!$N$3:$N$348,E$1,Data!$O$3:$O$348,2022)</f>
        <v>660</v>
      </c>
      <c r="F3" s="388">
        <f>SUMIFS(Data!$S$3:$S$348,Data!$N$3:$N$348,F$1,Data!$O$3:$O$348,2022)</f>
        <v>8736</v>
      </c>
      <c r="G3" s="388">
        <f>SUMIFS(Data!$S$3:$S$348,Data!$N$3:$N$348,G$1,Data!$O$3:$O$348,2022)</f>
        <v>5150</v>
      </c>
      <c r="H3" s="388">
        <f>SUMIFS(Data!$S$3:$S$348,Data!$N$3:$N$348,H$1,Data!$O$3:$O$348,2022)</f>
        <v>3180</v>
      </c>
      <c r="I3" s="388">
        <f>SUMIFS(Data!$S$3:$S$348,Data!$N$3:$N$348,I$1,Data!$O$3:$O$348,2022)</f>
        <v>77275</v>
      </c>
      <c r="J3" s="388">
        <f>SUMIFS(Data!$S$3:$S$348,Data!$N$3:$N$348,J$1,Data!$O$3:$O$348,2022)</f>
        <v>33077</v>
      </c>
      <c r="K3" s="388">
        <f>SUMIFS(Data!$S$3:$S$348,Data!$N$3:$N$348,K$1,Data!$O$3:$O$348,2022)</f>
        <v>8097</v>
      </c>
      <c r="L3" s="388">
        <f>SUMIFS(Data!$S$3:$S$348,Data!$N$3:$N$348,L$1,Data!$O$3:$O$348,2022)</f>
        <v>13676</v>
      </c>
      <c r="M3" s="388">
        <f>SUMIFS(Data!$S$3:$S$348,Data!$N$3:$N$348,M$1,Data!$O$3:$O$348,2022)</f>
        <v>2396</v>
      </c>
      <c r="N3" s="388">
        <f>SUMIFS(Data!$S$3:$S$348,Data!$N$3:$N$348,N$1,Data!$O$3:$O$348,2022)</f>
        <v>12223</v>
      </c>
      <c r="O3" s="388">
        <f>SUMIFS(Data!$S$3:$S$348,Data!$N$3:$N$348,O$1,Data!$O$3:$O$348,2022)</f>
        <v>1386</v>
      </c>
      <c r="P3" s="388">
        <f>SUMIFS(Data!$S$3:$S$348,Data!$N$3:$N$348,P$1,Data!$O$3:$O$348,2022)</f>
        <v>15131</v>
      </c>
      <c r="Q3" s="388">
        <f>SUMIFS(Data!$S$3:$S$348,Data!$N$3:$N$348,Q$1,Data!$O$3:$O$348,2022)</f>
        <v>0</v>
      </c>
      <c r="R3" s="388">
        <f>SUMIFS(Data!$S$3:$S$348,Data!$N$3:$N$348,R$1,Data!$O$3:$O$348,2022)</f>
        <v>0</v>
      </c>
      <c r="S3" s="388">
        <f>SUMIFS(Data!$S$3:$S$348,Data!$N$3:$N$348,S$1,Data!$O$3:$O$348,2022)</f>
        <v>0</v>
      </c>
      <c r="T3" s="388">
        <f>SUMIFS(Data!$S$3:$S$348,Data!$N$3:$N$348,T$1,Data!$O$3:$O$348,2022)</f>
        <v>0</v>
      </c>
      <c r="U3" s="388">
        <f>SUMIFS(Data!$S$3:$S$348,Data!$N$3:$N$348,U$1,Data!$O$3:$O$348,2022)</f>
        <v>0</v>
      </c>
      <c r="V3" s="388">
        <f>SUMIFS(Data!$S$3:$S$348,Data!$N$3:$N$348,V$1,Data!$O$3:$O$348,2022)</f>
        <v>0</v>
      </c>
      <c r="W3" s="388">
        <f>SUMIFS(Data!$S$3:$S$348,Data!$N$3:$N$348,W$1,Data!$O$3:$O$348,2022)</f>
        <v>0</v>
      </c>
      <c r="X3" s="388">
        <f>SUMIFS(Data!$S$3:$S$348,Data!$N$3:$N$348,X$1,Data!$O$3:$O$348,2022)</f>
        <v>0</v>
      </c>
      <c r="Y3" s="388">
        <f>SUMIFS(Data!$S$3:$S$348,Data!$N$3:$N$348,Y$1,Data!$O$3:$O$348,2022)</f>
        <v>0</v>
      </c>
      <c r="Z3" s="388">
        <f>SUMIFS(Data!$S$3:$S$348,Data!$N$3:$N$348,Z$1,Data!$O$3:$O$348,2022)</f>
        <v>0</v>
      </c>
      <c r="AA3" s="388">
        <f>SUMIFS(Data!$S$3:$S$348,Data!$N$3:$N$348,AA$1,Data!$O$3:$O$348,2022)</f>
        <v>0</v>
      </c>
      <c r="AB3" s="388">
        <f>SUMIFS(Data!$S$3:$S$348,Data!$N$3:$N$348,AB$1,Data!$O$3:$O$348,2022)</f>
        <v>0</v>
      </c>
      <c r="AC3" s="388">
        <f>SUMIFS(Data!$S$3:$S$348,Data!$N$3:$N$348,AC$1,Data!$O$3:$O$348,2022)</f>
        <v>0</v>
      </c>
      <c r="AD3" s="388">
        <f>SUMIFS(Data!$S$3:$S$348,Data!$N$3:$N$348,AD$1,Data!$O$3:$O$348,2022)</f>
        <v>0</v>
      </c>
      <c r="AE3" s="388">
        <f>SUMIFS(Data!$S$3:$S$348,Data!$N$3:$N$348,AE$1,Data!$O$3:$O$348,2022)</f>
        <v>0</v>
      </c>
      <c r="AF3" s="388">
        <f>SUMIFS(Data!$S$3:$S$348,Data!$N$3:$N$348,AF$1,Data!$O$3:$O$348,2022)</f>
        <v>0</v>
      </c>
      <c r="AG3" s="388">
        <f>SUMIFS(Data!$S$3:$S$348,Data!$N$3:$N$348,AG$1,Data!$O$3:$O$348,2022)</f>
        <v>0</v>
      </c>
      <c r="AH3" s="388">
        <f>SUMIFS(Data!$S$3:$S$348,Data!$N$3:$N$348,AH$1,Data!$O$3:$O$348,2022)</f>
        <v>0</v>
      </c>
      <c r="AI3" s="388">
        <f>SUMIFS(Data!$S$3:$S$348,Data!$N$3:$N$348,AI$1,Data!$O$3:$O$348,2022)</f>
        <v>0</v>
      </c>
      <c r="AJ3" s="388">
        <f>SUMIFS(Data!$S$3:$S$348,Data!$N$3:$N$348,AJ$1,Data!$O$3:$O$348,2022)</f>
        <v>0</v>
      </c>
      <c r="AK3" s="388">
        <f>SUMIFS(Data!$S$3:$S$348,Data!$N$3:$N$348,AK$1,Data!$O$3:$O$348,2022)</f>
        <v>0</v>
      </c>
      <c r="AL3" s="388">
        <f>SUMIFS(Data!$S$3:$S$348,Data!$N$3:$N$348,AL$1,Data!$O$3:$O$348,2022)</f>
        <v>0</v>
      </c>
      <c r="AM3" s="388">
        <f>SUMIFS(Data!$S$3:$S$348,Data!$N$3:$N$348,AM$1,Data!$O$3:$O$348,2022)</f>
        <v>0</v>
      </c>
      <c r="AN3" s="388">
        <f>SUMIFS(Data!$S$3:$S$348,Data!$N$3:$N$348,AN$1,Data!$O$3:$O$348,2022)</f>
        <v>0</v>
      </c>
      <c r="AO3" s="388">
        <f>SUMIFS(Data!$S$3:$S$348,Data!$N$3:$N$348,AO$1,Data!$O$3:$O$348,2022)</f>
        <v>0</v>
      </c>
      <c r="AP3" s="388">
        <f>SUMIFS(Data!$S$3:$S$348,Data!$N$3:$N$348,AP$1,Data!$O$3:$O$348,2022)</f>
        <v>0</v>
      </c>
      <c r="AQ3" s="388">
        <f>SUMIFS(Data!$S$3:$S$348,Data!$N$3:$N$348,AQ$1,Data!$O$3:$O$348,2022)</f>
        <v>0</v>
      </c>
      <c r="AR3" s="388">
        <f>SUMIFS(Data!$S$3:$S$348,Data!$N$3:$N$348,AR$1,Data!$O$3:$O$348,2022)</f>
        <v>0</v>
      </c>
      <c r="AS3" s="388">
        <f>SUMIFS(Data!$S$3:$S$348,Data!$N$3:$N$348,AS$1,Data!$O$3:$O$348,2022)</f>
        <v>0</v>
      </c>
      <c r="AT3" s="388">
        <f>SUMIFS(Data!$S$3:$S$348,Data!$N$3:$N$348,AT$1,Data!$O$3:$O$348,2022)</f>
        <v>0</v>
      </c>
      <c r="AU3" s="388">
        <f>SUMIFS(Data!$S$3:$S$348,Data!$N$3:$N$348,AU$1,Data!$O$3:$O$348,2022)</f>
        <v>0</v>
      </c>
      <c r="AV3" s="388">
        <f>SUMIFS(Data!$S$3:$S$348,Data!$N$3:$N$348,AV$1,Data!$O$3:$O$348,2022)</f>
        <v>0</v>
      </c>
      <c r="AW3" s="388">
        <f>SUMIFS(Data!$S$3:$S$348,Data!$N$3:$N$348,AW$1,Data!$O$3:$O$348,2022)</f>
        <v>0</v>
      </c>
      <c r="AX3" s="388">
        <f>SUMIFS(Data!$S$3:$S$348,Data!$N$3:$N$348,AX$1,Data!$O$3:$O$348,2022)</f>
        <v>0</v>
      </c>
      <c r="AY3" s="388">
        <f>SUMIFS(Data!$S$3:$S$348,Data!$N$3:$N$348,AY$1,Data!$O$3:$O$348,2022)</f>
        <v>0</v>
      </c>
      <c r="AZ3" s="388">
        <f>SUMIFS(Data!$S$3:$S$348,Data!$N$3:$N$348,AZ$1,Data!$O$3:$O$348,2022)</f>
        <v>0</v>
      </c>
      <c r="BA3" s="388">
        <f>SUMIFS(Data!$S$3:$S$348,Data!$N$3:$N$348,BA$1,Data!$O$3:$O$348,2022)</f>
        <v>0</v>
      </c>
      <c r="BB3" s="388">
        <f>SUMIFS(Data!$S$3:$S$348,Data!$N$3:$N$348,BB$1,Data!$O$3:$O$348,2022)</f>
        <v>0</v>
      </c>
      <c r="BD3" s="639"/>
      <c r="BE3" s="388"/>
    </row>
    <row r="4" spans="1:57" s="16" customFormat="1" x14ac:dyDescent="0.3">
      <c r="A4" s="16">
        <f>SUM(C4:BB4)</f>
        <v>109215.5</v>
      </c>
      <c r="B4" s="57" t="s">
        <v>50</v>
      </c>
      <c r="C4" s="16">
        <f>SUMIF(Data!$X$3:$X$371,C1,Data!$AD$3:$AD$371)</f>
        <v>0</v>
      </c>
      <c r="D4" s="16">
        <f>SUMIF(Data!$X$3:$X$371,D1,Data!$AD$3:$AD$371)-SUMIFS(tbl_DCFC[F Montant HT],tbl_DCFC[CW REV],D1,tbl_DCFC[Client],"OPCO 2I")</f>
        <v>3180</v>
      </c>
      <c r="E4" s="16">
        <f>SUMIF(Data!$X$3:$X$371,E1,Data!$AD$3:$AD$371)-SUMIFS(tbl_DCFC[F Montant HT],tbl_DCFC[CW REV],E1,tbl_DCFC[Client],"OPCO 2I")</f>
        <v>5516</v>
      </c>
      <c r="F4" s="16">
        <f>SUMIF(Data!$X$3:$X$371,F1,Data!$AD$3:$AD$371)-SUMIFS(tbl_DCFC[F Montant HT],tbl_DCFC[CW REV],F1,tbl_DCFC[Client],"OPCO 2I")</f>
        <v>0</v>
      </c>
      <c r="G4" s="16">
        <f>SUMIF(Data!$X$3:$X$371,G1,Data!$AD$3:$AD$371)-SUMIFS(tbl_DCFC[F Montant HT],tbl_DCFC[CW REV],G1,tbl_DCFC[Client],"OPCO 2I")</f>
        <v>660</v>
      </c>
      <c r="H4" s="16">
        <f>SUMIF(Data!$X$3:$X$371,H1,Data!$AD$3:$AD$371)</f>
        <v>20605</v>
      </c>
      <c r="I4" s="16">
        <f>SUMIF(Data!$X$3:$X$371,I1,Data!$AD$3:$AD$371)</f>
        <v>5085</v>
      </c>
      <c r="J4" s="16">
        <f>SUMIF(Data!$X$3:$X$371,J1,Data!$AD$3:$AD$371)</f>
        <v>6347</v>
      </c>
      <c r="K4" s="16">
        <f>SUMIF(Data!$X$3:$X$371,K1,Data!$AD$3:$AD$371)</f>
        <v>6416</v>
      </c>
      <c r="L4" s="16">
        <f>SUMIF(Data!$X$3:$X$371,L1,Data!$AD$3:$AD$371)</f>
        <v>5883.5</v>
      </c>
      <c r="M4" s="16">
        <f>SUMIF(Data!$X$3:$X$371,M1,Data!$AD$3:$AD$371)</f>
        <v>5120</v>
      </c>
      <c r="N4" s="16">
        <f>SUMIF(Data!$X$3:$X$371,N1,Data!$AD$3:$AD$371)</f>
        <v>14389</v>
      </c>
      <c r="O4" s="16">
        <f>SUMIF(Data!$X$3:$X$371,O1,Data!$AD$3:$AD$371)-SUMIFS(tbl_DCFC[F Montant HT],tbl_DCFC[CW REV],O1,tbl_DCFC[Client],"OPCO 2I")</f>
        <v>20320</v>
      </c>
      <c r="P4" s="16">
        <f>SUMIF(Data!$X$3:$X$371,P1,Data!$AD$3:$AD$371)</f>
        <v>15309</v>
      </c>
      <c r="Q4" s="16">
        <f>SUMIF(Data!$X$3:$X$371,Q1,Data!$AD$3:$AD$371)</f>
        <v>385</v>
      </c>
      <c r="R4" s="16">
        <f>SUMIF(Data!$X$3:$X$371,R1,Data!$AD$3:$AD$371)</f>
        <v>0</v>
      </c>
      <c r="S4" s="16">
        <f>SUMIF(Data!$X$3:$X$371,S1,Data!$AD$3:$AD$371)</f>
        <v>0</v>
      </c>
      <c r="T4" s="16">
        <f>SUMIF(Data!$X$3:$X$371,T1,Data!$AD$3:$AD$371)</f>
        <v>0</v>
      </c>
      <c r="U4" s="16">
        <f>SUMIF(Data!$X$3:$X$371,U1,Data!$AD$3:$AD$371)</f>
        <v>0</v>
      </c>
      <c r="V4" s="16">
        <f>SUMIF(Data!$X$3:$X$371,V1,Data!$AD$3:$AD$371)</f>
        <v>0</v>
      </c>
      <c r="W4" s="16">
        <f>SUMIF(Data!$X$3:$X$371,W1,Data!$AD$3:$AD$371)</f>
        <v>0</v>
      </c>
      <c r="X4" s="16">
        <f>SUMIF(Data!$X$3:$X$371,X1,Data!$AD$3:$AD$371)</f>
        <v>0</v>
      </c>
      <c r="Y4" s="16">
        <f>SUMIF(Data!$X$3:$X$371,Y1,Data!$AD$3:$AD$371)</f>
        <v>0</v>
      </c>
      <c r="Z4" s="16">
        <f>SUMIF(Data!$X$3:$X$371,Z1,Data!$AD$3:$AD$371)</f>
        <v>0</v>
      </c>
      <c r="AA4" s="16">
        <f>SUMIF(Data!$X$3:$X$371,AA1,Data!$AD$3:$AD$371)</f>
        <v>0</v>
      </c>
      <c r="AB4" s="16">
        <f>SUMIF(Data!$X$3:$X$371,AB1,Data!$AD$3:$AD$371)</f>
        <v>0</v>
      </c>
      <c r="AC4" s="16">
        <f>SUMIF(Data!$X$3:$X$371,AC1,Data!$AD$3:$AD$371)</f>
        <v>0</v>
      </c>
      <c r="AD4" s="16">
        <f>SUMIF(Data!$X$3:$X$371,AD1,Data!$AD$3:$AD$371)</f>
        <v>0</v>
      </c>
      <c r="AE4" s="16">
        <f>SUMIF(Data!$X$3:$X$371,AE1,Data!$AD$3:$AD$371)</f>
        <v>0</v>
      </c>
      <c r="AF4" s="16">
        <f>SUMIF(Data!$X$3:$X$371,AF1,Data!$AD$3:$AD$371)</f>
        <v>0</v>
      </c>
      <c r="AG4" s="16">
        <f>SUMIF(Data!$X$3:$X$371,AG1,Data!$AD$3:$AD$371)</f>
        <v>0</v>
      </c>
      <c r="AH4" s="16">
        <f>SUMIF(Data!$X$3:$X$371,AH1,Data!$AD$3:$AD$371)</f>
        <v>0</v>
      </c>
      <c r="AI4" s="16">
        <f>SUMIF(Data!$X$3:$X$371,AI1,Data!$AD$3:$AD$371)</f>
        <v>0</v>
      </c>
      <c r="AJ4" s="16">
        <f>SUMIF(Data!$X$3:$X$371,AJ1,Data!$AD$3:$AD$371)</f>
        <v>0</v>
      </c>
      <c r="AK4" s="16">
        <f>SUMIF(Data!$X$3:$X$371,AK1,Data!$AD$3:$AD$371)</f>
        <v>0</v>
      </c>
      <c r="AL4" s="16">
        <f>SUMIF(Data!$X$3:$X$371,AL1,Data!$AD$3:$AD$371)</f>
        <v>0</v>
      </c>
      <c r="AM4" s="16">
        <f>SUMIF(Data!$X$3:$X$371,AM1,Data!$AD$3:$AD$371)</f>
        <v>0</v>
      </c>
      <c r="AN4" s="16">
        <f>SUMIF(Data!$X$3:$X$371,AN1,Data!$AD$3:$AD$371)</f>
        <v>0</v>
      </c>
      <c r="AO4" s="16">
        <f>SUMIF(Data!$X$3:$X$371,AO1,Data!$AD$3:$AD$371)</f>
        <v>0</v>
      </c>
      <c r="AP4" s="16">
        <f>SUMIF(Data!$X$3:$X$371,AP1,Data!$AD$3:$AD$371)</f>
        <v>0</v>
      </c>
      <c r="AQ4" s="16">
        <f>SUMIF(Data!$X$3:$X$371,AQ1,Data!$AD$3:$AD$371)</f>
        <v>0</v>
      </c>
      <c r="AR4" s="16">
        <f>SUMIF(Data!$X$3:$X$371,AR1,Data!$AD$3:$AD$371)</f>
        <v>0</v>
      </c>
      <c r="AS4" s="16">
        <f>SUMIF(Data!$X$3:$X$371,AS1,Data!$AD$3:$AD$371)</f>
        <v>0</v>
      </c>
      <c r="AT4" s="16">
        <f>SUMIF(Data!$X$3:$X$371,AT1,Data!$AD$3:$AD$371)</f>
        <v>0</v>
      </c>
      <c r="AU4" s="16">
        <f>SUMIF(Data!$X$3:$X$371,AU1,Data!$AD$3:$AD$371)</f>
        <v>0</v>
      </c>
      <c r="AV4" s="16">
        <f>SUMIF(Data!$X$3:$X$371,AV1,Data!$AD$3:$AD$371)</f>
        <v>0</v>
      </c>
      <c r="AW4" s="16">
        <f>SUMIF(Data!$X$3:$X$371,AW1,Data!$AD$3:$AD$371)</f>
        <v>0</v>
      </c>
      <c r="AX4" s="16">
        <f>SUMIF(Data!$X$3:$X$371,AX1,Data!$AD$3:$AD$371)</f>
        <v>0</v>
      </c>
      <c r="AY4" s="16">
        <f>SUMIF(Data!$X$3:$X$371,AY1,Data!$AD$3:$AD$371)</f>
        <v>0</v>
      </c>
      <c r="AZ4" s="16">
        <f>SUMIF(Data!$X$3:$X$371,AZ1,Data!$AD$3:$AD$371)</f>
        <v>0</v>
      </c>
      <c r="BA4" s="16">
        <f>SUMIF(Data!$X$3:$X$371,BA1,Data!$AD$3:$AD$371)</f>
        <v>0</v>
      </c>
      <c r="BB4" s="16">
        <f>SUMIF(Data!$X$3:$X$371,BB1,Data!$AD$3:$AD$371)</f>
        <v>0</v>
      </c>
    </row>
    <row r="5" spans="1:57" s="101" customFormat="1" hidden="1" x14ac:dyDescent="0.3">
      <c r="A5" s="343"/>
      <c r="B5" s="344" t="s">
        <v>181</v>
      </c>
      <c r="C5" s="101">
        <f>$B$17*C20</f>
        <v>0</v>
      </c>
      <c r="D5" s="101">
        <f t="shared" ref="D5:BB5" si="0">$B$17*D20</f>
        <v>0</v>
      </c>
      <c r="E5" s="101">
        <f t="shared" si="0"/>
        <v>0</v>
      </c>
      <c r="F5" s="101">
        <f t="shared" si="0"/>
        <v>0</v>
      </c>
      <c r="G5" s="101">
        <f>$B$17*G20</f>
        <v>0</v>
      </c>
      <c r="H5" s="101">
        <f>$B$17*H20</f>
        <v>0</v>
      </c>
      <c r="I5" s="101">
        <f t="shared" si="0"/>
        <v>0</v>
      </c>
      <c r="J5" s="101">
        <f t="shared" si="0"/>
        <v>0</v>
      </c>
      <c r="K5" s="101">
        <f t="shared" si="0"/>
        <v>0</v>
      </c>
      <c r="L5" s="101">
        <f t="shared" si="0"/>
        <v>0</v>
      </c>
      <c r="M5" s="101">
        <f t="shared" si="0"/>
        <v>0</v>
      </c>
      <c r="N5" s="101">
        <f t="shared" si="0"/>
        <v>0</v>
      </c>
      <c r="O5" s="101">
        <f t="shared" si="0"/>
        <v>0</v>
      </c>
      <c r="P5" s="101">
        <f t="shared" si="0"/>
        <v>0</v>
      </c>
      <c r="Q5" s="101">
        <f t="shared" si="0"/>
        <v>0</v>
      </c>
      <c r="R5" s="101">
        <f t="shared" si="0"/>
        <v>0</v>
      </c>
      <c r="S5" s="101">
        <f t="shared" si="0"/>
        <v>0</v>
      </c>
      <c r="T5" s="101">
        <f t="shared" si="0"/>
        <v>0</v>
      </c>
      <c r="U5" s="101">
        <f t="shared" si="0"/>
        <v>0</v>
      </c>
      <c r="V5" s="101">
        <f t="shared" si="0"/>
        <v>0</v>
      </c>
      <c r="W5" s="101">
        <f t="shared" si="0"/>
        <v>0</v>
      </c>
      <c r="X5" s="101">
        <f t="shared" si="0"/>
        <v>0</v>
      </c>
      <c r="Y5" s="101">
        <f t="shared" si="0"/>
        <v>0</v>
      </c>
      <c r="Z5" s="101">
        <f t="shared" si="0"/>
        <v>0</v>
      </c>
      <c r="AA5" s="101">
        <f t="shared" si="0"/>
        <v>0</v>
      </c>
      <c r="AB5" s="101">
        <f t="shared" si="0"/>
        <v>0</v>
      </c>
      <c r="AC5" s="101">
        <f t="shared" si="0"/>
        <v>0</v>
      </c>
      <c r="AD5" s="101">
        <f t="shared" si="0"/>
        <v>0</v>
      </c>
      <c r="AE5" s="101">
        <f t="shared" si="0"/>
        <v>0</v>
      </c>
      <c r="AF5" s="101">
        <f t="shared" si="0"/>
        <v>0</v>
      </c>
      <c r="AG5" s="101">
        <f t="shared" si="0"/>
        <v>0</v>
      </c>
      <c r="AH5" s="101">
        <f t="shared" si="0"/>
        <v>0</v>
      </c>
      <c r="AI5" s="101">
        <f t="shared" si="0"/>
        <v>0</v>
      </c>
      <c r="AJ5" s="101">
        <f t="shared" si="0"/>
        <v>0</v>
      </c>
      <c r="AK5" s="101">
        <f t="shared" si="0"/>
        <v>0</v>
      </c>
      <c r="AL5" s="101">
        <f t="shared" si="0"/>
        <v>0</v>
      </c>
      <c r="AM5" s="101">
        <f t="shared" si="0"/>
        <v>0</v>
      </c>
      <c r="AN5" s="101">
        <f t="shared" si="0"/>
        <v>0</v>
      </c>
      <c r="AO5" s="101">
        <f t="shared" si="0"/>
        <v>0</v>
      </c>
      <c r="AP5" s="101">
        <f t="shared" si="0"/>
        <v>0</v>
      </c>
      <c r="AQ5" s="101">
        <f t="shared" si="0"/>
        <v>0</v>
      </c>
      <c r="AR5" s="101">
        <f t="shared" si="0"/>
        <v>0</v>
      </c>
      <c r="AS5" s="101">
        <f t="shared" si="0"/>
        <v>0</v>
      </c>
      <c r="AT5" s="101">
        <f t="shared" si="0"/>
        <v>0</v>
      </c>
      <c r="AU5" s="101">
        <f t="shared" si="0"/>
        <v>0</v>
      </c>
      <c r="AV5" s="101">
        <f t="shared" si="0"/>
        <v>0</v>
      </c>
      <c r="AW5" s="101">
        <f t="shared" si="0"/>
        <v>0</v>
      </c>
      <c r="AX5" s="101">
        <f t="shared" si="0"/>
        <v>0</v>
      </c>
      <c r="AY5" s="101">
        <f t="shared" si="0"/>
        <v>0</v>
      </c>
      <c r="AZ5" s="101">
        <f t="shared" si="0"/>
        <v>0</v>
      </c>
      <c r="BA5" s="101">
        <f t="shared" si="0"/>
        <v>0</v>
      </c>
      <c r="BB5" s="101">
        <f t="shared" si="0"/>
        <v>0</v>
      </c>
    </row>
    <row r="6" spans="1:57" s="102" customFormat="1" hidden="1" x14ac:dyDescent="0.3">
      <c r="A6" s="345"/>
      <c r="B6" s="344" t="s">
        <v>180</v>
      </c>
      <c r="C6" s="101">
        <f>$B$18*C21</f>
        <v>0</v>
      </c>
      <c r="D6" s="101">
        <f t="shared" ref="D6:BB6" si="1">$B$18*D21</f>
        <v>0</v>
      </c>
      <c r="E6" s="101">
        <f t="shared" si="1"/>
        <v>0</v>
      </c>
      <c r="F6" s="101">
        <f t="shared" si="1"/>
        <v>0</v>
      </c>
      <c r="G6" s="101">
        <f t="shared" si="1"/>
        <v>0</v>
      </c>
      <c r="H6" s="101">
        <f t="shared" si="1"/>
        <v>0</v>
      </c>
      <c r="I6" s="101">
        <f t="shared" si="1"/>
        <v>0</v>
      </c>
      <c r="J6" s="101">
        <f t="shared" si="1"/>
        <v>0</v>
      </c>
      <c r="K6" s="101">
        <f t="shared" si="1"/>
        <v>0</v>
      </c>
      <c r="L6" s="101">
        <f t="shared" si="1"/>
        <v>0</v>
      </c>
      <c r="M6" s="101">
        <f t="shared" si="1"/>
        <v>0</v>
      </c>
      <c r="N6" s="101">
        <f t="shared" si="1"/>
        <v>0</v>
      </c>
      <c r="O6" s="101">
        <f t="shared" si="1"/>
        <v>0</v>
      </c>
      <c r="P6" s="101">
        <f t="shared" si="1"/>
        <v>0</v>
      </c>
      <c r="Q6" s="101">
        <f t="shared" si="1"/>
        <v>0</v>
      </c>
      <c r="R6" s="101">
        <f t="shared" si="1"/>
        <v>0</v>
      </c>
      <c r="S6" s="101">
        <f>$B$18*S21</f>
        <v>0</v>
      </c>
      <c r="T6" s="101">
        <f>$B$18*T21</f>
        <v>0</v>
      </c>
      <c r="U6" s="101">
        <f t="shared" si="1"/>
        <v>0</v>
      </c>
      <c r="V6" s="101">
        <f t="shared" si="1"/>
        <v>0</v>
      </c>
      <c r="W6" s="101">
        <f t="shared" si="1"/>
        <v>0</v>
      </c>
      <c r="X6" s="101">
        <f t="shared" si="1"/>
        <v>0</v>
      </c>
      <c r="Y6" s="101">
        <f t="shared" si="1"/>
        <v>0</v>
      </c>
      <c r="Z6" s="101">
        <f t="shared" si="1"/>
        <v>0</v>
      </c>
      <c r="AA6" s="101">
        <f t="shared" si="1"/>
        <v>0</v>
      </c>
      <c r="AB6" s="101">
        <f t="shared" si="1"/>
        <v>0</v>
      </c>
      <c r="AC6" s="101">
        <f t="shared" si="1"/>
        <v>0</v>
      </c>
      <c r="AD6" s="101">
        <f t="shared" si="1"/>
        <v>0</v>
      </c>
      <c r="AE6" s="101">
        <f t="shared" si="1"/>
        <v>0</v>
      </c>
      <c r="AF6" s="101">
        <f t="shared" si="1"/>
        <v>0</v>
      </c>
      <c r="AG6" s="101">
        <f t="shared" si="1"/>
        <v>0</v>
      </c>
      <c r="AH6" s="101">
        <f t="shared" si="1"/>
        <v>0</v>
      </c>
      <c r="AI6" s="101">
        <f t="shared" si="1"/>
        <v>0</v>
      </c>
      <c r="AJ6" s="101">
        <f t="shared" si="1"/>
        <v>0</v>
      </c>
      <c r="AK6" s="101">
        <f t="shared" si="1"/>
        <v>0</v>
      </c>
      <c r="AL6" s="101">
        <f t="shared" si="1"/>
        <v>0</v>
      </c>
      <c r="AM6" s="101">
        <f t="shared" si="1"/>
        <v>0</v>
      </c>
      <c r="AN6" s="101">
        <f t="shared" si="1"/>
        <v>0</v>
      </c>
      <c r="AO6" s="101">
        <f t="shared" si="1"/>
        <v>0</v>
      </c>
      <c r="AP6" s="101">
        <f t="shared" si="1"/>
        <v>0</v>
      </c>
      <c r="AQ6" s="101">
        <f t="shared" si="1"/>
        <v>0</v>
      </c>
      <c r="AR6" s="101">
        <f t="shared" si="1"/>
        <v>0</v>
      </c>
      <c r="AS6" s="101">
        <f t="shared" si="1"/>
        <v>0</v>
      </c>
      <c r="AT6" s="101">
        <f t="shared" si="1"/>
        <v>0</v>
      </c>
      <c r="AU6" s="101">
        <f t="shared" si="1"/>
        <v>0</v>
      </c>
      <c r="AV6" s="101">
        <f t="shared" si="1"/>
        <v>0</v>
      </c>
      <c r="AW6" s="101">
        <f t="shared" si="1"/>
        <v>0</v>
      </c>
      <c r="AX6" s="101">
        <f t="shared" si="1"/>
        <v>0</v>
      </c>
      <c r="AY6" s="101">
        <f t="shared" si="1"/>
        <v>0</v>
      </c>
      <c r="AZ6" s="101">
        <f t="shared" si="1"/>
        <v>0</v>
      </c>
      <c r="BA6" s="101">
        <f t="shared" si="1"/>
        <v>0</v>
      </c>
      <c r="BB6" s="101">
        <f t="shared" si="1"/>
        <v>0</v>
      </c>
    </row>
    <row r="7" spans="1:57" s="102" customFormat="1" hidden="1" x14ac:dyDescent="0.3">
      <c r="A7" s="345"/>
      <c r="B7" s="344" t="s">
        <v>198</v>
      </c>
      <c r="C7" s="101">
        <f>C5</f>
        <v>0</v>
      </c>
      <c r="D7" s="101">
        <f>D5+C7</f>
        <v>0</v>
      </c>
      <c r="E7" s="101">
        <f t="shared" ref="E7:BB7" si="2">E5+D7</f>
        <v>0</v>
      </c>
      <c r="F7" s="101">
        <f>F5+E7</f>
        <v>0</v>
      </c>
      <c r="G7" s="101">
        <f t="shared" si="2"/>
        <v>0</v>
      </c>
      <c r="H7" s="101">
        <f t="shared" si="2"/>
        <v>0</v>
      </c>
      <c r="I7" s="101">
        <f t="shared" si="2"/>
        <v>0</v>
      </c>
      <c r="J7" s="101">
        <f t="shared" si="2"/>
        <v>0</v>
      </c>
      <c r="K7" s="101">
        <f t="shared" si="2"/>
        <v>0</v>
      </c>
      <c r="L7" s="101">
        <f t="shared" si="2"/>
        <v>0</v>
      </c>
      <c r="M7" s="101">
        <f t="shared" si="2"/>
        <v>0</v>
      </c>
      <c r="N7" s="101">
        <f t="shared" si="2"/>
        <v>0</v>
      </c>
      <c r="O7" s="101">
        <f t="shared" si="2"/>
        <v>0</v>
      </c>
      <c r="P7" s="101">
        <f t="shared" si="2"/>
        <v>0</v>
      </c>
      <c r="Q7" s="101">
        <f t="shared" si="2"/>
        <v>0</v>
      </c>
      <c r="R7" s="101">
        <f t="shared" si="2"/>
        <v>0</v>
      </c>
      <c r="S7" s="101">
        <f t="shared" si="2"/>
        <v>0</v>
      </c>
      <c r="T7" s="101">
        <f t="shared" si="2"/>
        <v>0</v>
      </c>
      <c r="U7" s="101">
        <f t="shared" si="2"/>
        <v>0</v>
      </c>
      <c r="V7" s="101">
        <f t="shared" si="2"/>
        <v>0</v>
      </c>
      <c r="W7" s="101">
        <f t="shared" si="2"/>
        <v>0</v>
      </c>
      <c r="X7" s="101">
        <f t="shared" si="2"/>
        <v>0</v>
      </c>
      <c r="Y7" s="101">
        <f t="shared" si="2"/>
        <v>0</v>
      </c>
      <c r="Z7" s="101">
        <f t="shared" si="2"/>
        <v>0</v>
      </c>
      <c r="AA7" s="101">
        <f t="shared" si="2"/>
        <v>0</v>
      </c>
      <c r="AB7" s="101">
        <f t="shared" si="2"/>
        <v>0</v>
      </c>
      <c r="AC7" s="101">
        <f t="shared" si="2"/>
        <v>0</v>
      </c>
      <c r="AD7" s="101">
        <f t="shared" si="2"/>
        <v>0</v>
      </c>
      <c r="AE7" s="101">
        <f t="shared" si="2"/>
        <v>0</v>
      </c>
      <c r="AF7" s="101">
        <f t="shared" si="2"/>
        <v>0</v>
      </c>
      <c r="AG7" s="101">
        <f t="shared" si="2"/>
        <v>0</v>
      </c>
      <c r="AH7" s="101">
        <f t="shared" si="2"/>
        <v>0</v>
      </c>
      <c r="AI7" s="101">
        <f t="shared" si="2"/>
        <v>0</v>
      </c>
      <c r="AJ7" s="101">
        <f t="shared" si="2"/>
        <v>0</v>
      </c>
      <c r="AK7" s="101">
        <f t="shared" si="2"/>
        <v>0</v>
      </c>
      <c r="AL7" s="101">
        <f t="shared" si="2"/>
        <v>0</v>
      </c>
      <c r="AM7" s="101">
        <f t="shared" si="2"/>
        <v>0</v>
      </c>
      <c r="AN7" s="101">
        <f t="shared" si="2"/>
        <v>0</v>
      </c>
      <c r="AO7" s="101">
        <f t="shared" si="2"/>
        <v>0</v>
      </c>
      <c r="AP7" s="101">
        <f t="shared" si="2"/>
        <v>0</v>
      </c>
      <c r="AQ7" s="101">
        <f t="shared" si="2"/>
        <v>0</v>
      </c>
      <c r="AR7" s="101">
        <f t="shared" si="2"/>
        <v>0</v>
      </c>
      <c r="AS7" s="101">
        <f t="shared" si="2"/>
        <v>0</v>
      </c>
      <c r="AT7" s="101">
        <f t="shared" si="2"/>
        <v>0</v>
      </c>
      <c r="AU7" s="101">
        <f t="shared" si="2"/>
        <v>0</v>
      </c>
      <c r="AV7" s="101">
        <f t="shared" si="2"/>
        <v>0</v>
      </c>
      <c r="AW7" s="101">
        <f t="shared" si="2"/>
        <v>0</v>
      </c>
      <c r="AX7" s="101">
        <f t="shared" si="2"/>
        <v>0</v>
      </c>
      <c r="AY7" s="101">
        <f t="shared" si="2"/>
        <v>0</v>
      </c>
      <c r="AZ7" s="101">
        <f t="shared" si="2"/>
        <v>0</v>
      </c>
      <c r="BA7" s="101">
        <f t="shared" si="2"/>
        <v>0</v>
      </c>
      <c r="BB7" s="101">
        <f t="shared" si="2"/>
        <v>0</v>
      </c>
    </row>
    <row r="8" spans="1:57" s="349" customFormat="1" hidden="1" x14ac:dyDescent="0.3">
      <c r="A8" s="346"/>
      <c r="B8" s="347" t="s">
        <v>201</v>
      </c>
      <c r="C8" s="348">
        <f>C6</f>
        <v>0</v>
      </c>
      <c r="D8" s="348">
        <f>D6+C8</f>
        <v>0</v>
      </c>
      <c r="E8" s="348">
        <f t="shared" ref="E8:BB8" si="3">E6+D8</f>
        <v>0</v>
      </c>
      <c r="F8" s="348">
        <f t="shared" si="3"/>
        <v>0</v>
      </c>
      <c r="G8" s="348">
        <f t="shared" si="3"/>
        <v>0</v>
      </c>
      <c r="H8" s="348">
        <f t="shared" si="3"/>
        <v>0</v>
      </c>
      <c r="I8" s="348">
        <f t="shared" si="3"/>
        <v>0</v>
      </c>
      <c r="J8" s="348">
        <f t="shared" si="3"/>
        <v>0</v>
      </c>
      <c r="K8" s="348">
        <f t="shared" si="3"/>
        <v>0</v>
      </c>
      <c r="L8" s="348">
        <f t="shared" si="3"/>
        <v>0</v>
      </c>
      <c r="M8" s="348">
        <f t="shared" si="3"/>
        <v>0</v>
      </c>
      <c r="N8" s="348">
        <f t="shared" si="3"/>
        <v>0</v>
      </c>
      <c r="O8" s="348">
        <f t="shared" si="3"/>
        <v>0</v>
      </c>
      <c r="P8" s="348">
        <f t="shared" si="3"/>
        <v>0</v>
      </c>
      <c r="Q8" s="348">
        <f t="shared" si="3"/>
        <v>0</v>
      </c>
      <c r="R8" s="348">
        <f t="shared" si="3"/>
        <v>0</v>
      </c>
      <c r="S8" s="348">
        <f t="shared" si="3"/>
        <v>0</v>
      </c>
      <c r="T8" s="348">
        <f t="shared" si="3"/>
        <v>0</v>
      </c>
      <c r="U8" s="348">
        <f t="shared" si="3"/>
        <v>0</v>
      </c>
      <c r="V8" s="348">
        <f t="shared" si="3"/>
        <v>0</v>
      </c>
      <c r="W8" s="348">
        <f t="shared" si="3"/>
        <v>0</v>
      </c>
      <c r="X8" s="348">
        <f t="shared" si="3"/>
        <v>0</v>
      </c>
      <c r="Y8" s="348">
        <f t="shared" si="3"/>
        <v>0</v>
      </c>
      <c r="Z8" s="348">
        <f t="shared" si="3"/>
        <v>0</v>
      </c>
      <c r="AA8" s="348">
        <f t="shared" si="3"/>
        <v>0</v>
      </c>
      <c r="AB8" s="348">
        <f t="shared" si="3"/>
        <v>0</v>
      </c>
      <c r="AC8" s="348">
        <f t="shared" si="3"/>
        <v>0</v>
      </c>
      <c r="AD8" s="348">
        <f t="shared" si="3"/>
        <v>0</v>
      </c>
      <c r="AE8" s="348">
        <f t="shared" si="3"/>
        <v>0</v>
      </c>
      <c r="AF8" s="348">
        <f t="shared" si="3"/>
        <v>0</v>
      </c>
      <c r="AG8" s="348">
        <f t="shared" si="3"/>
        <v>0</v>
      </c>
      <c r="AH8" s="348">
        <f t="shared" si="3"/>
        <v>0</v>
      </c>
      <c r="AI8" s="348">
        <f t="shared" si="3"/>
        <v>0</v>
      </c>
      <c r="AJ8" s="348">
        <f t="shared" si="3"/>
        <v>0</v>
      </c>
      <c r="AK8" s="348">
        <f t="shared" si="3"/>
        <v>0</v>
      </c>
      <c r="AL8" s="348">
        <f t="shared" si="3"/>
        <v>0</v>
      </c>
      <c r="AM8" s="348">
        <f t="shared" si="3"/>
        <v>0</v>
      </c>
      <c r="AN8" s="348">
        <f t="shared" si="3"/>
        <v>0</v>
      </c>
      <c r="AO8" s="348">
        <f t="shared" si="3"/>
        <v>0</v>
      </c>
      <c r="AP8" s="348">
        <f t="shared" si="3"/>
        <v>0</v>
      </c>
      <c r="AQ8" s="348">
        <f t="shared" si="3"/>
        <v>0</v>
      </c>
      <c r="AR8" s="348">
        <f t="shared" si="3"/>
        <v>0</v>
      </c>
      <c r="AS8" s="348">
        <f t="shared" si="3"/>
        <v>0</v>
      </c>
      <c r="AT8" s="348">
        <f t="shared" si="3"/>
        <v>0</v>
      </c>
      <c r="AU8" s="348">
        <f t="shared" si="3"/>
        <v>0</v>
      </c>
      <c r="AV8" s="348">
        <f t="shared" si="3"/>
        <v>0</v>
      </c>
      <c r="AW8" s="348">
        <f t="shared" si="3"/>
        <v>0</v>
      </c>
      <c r="AX8" s="348">
        <f t="shared" si="3"/>
        <v>0</v>
      </c>
      <c r="AY8" s="348">
        <f t="shared" si="3"/>
        <v>0</v>
      </c>
      <c r="AZ8" s="348">
        <f t="shared" si="3"/>
        <v>0</v>
      </c>
      <c r="BA8" s="348">
        <f t="shared" si="3"/>
        <v>0</v>
      </c>
      <c r="BB8" s="348">
        <f t="shared" si="3"/>
        <v>0</v>
      </c>
    </row>
    <row r="9" spans="1:57" s="243" customFormat="1" hidden="1" x14ac:dyDescent="0.3">
      <c r="B9" s="340" t="s">
        <v>194</v>
      </c>
      <c r="C9" s="265">
        <f>C3-C5</f>
        <v>0</v>
      </c>
      <c r="D9" s="265">
        <f>D3-D5</f>
        <v>12384</v>
      </c>
      <c r="E9" s="265">
        <f t="shared" ref="E9:I9" si="4">E3-E5</f>
        <v>660</v>
      </c>
      <c r="F9" s="265">
        <f t="shared" si="4"/>
        <v>8736</v>
      </c>
      <c r="G9" s="265">
        <f t="shared" si="4"/>
        <v>5150</v>
      </c>
      <c r="H9" s="265">
        <f t="shared" si="4"/>
        <v>3180</v>
      </c>
      <c r="I9" s="265">
        <f t="shared" si="4"/>
        <v>77275</v>
      </c>
      <c r="J9" s="265">
        <f>J3-J5</f>
        <v>33077</v>
      </c>
      <c r="K9" s="265">
        <f>K3-K5</f>
        <v>8097</v>
      </c>
      <c r="L9" s="265">
        <f t="shared" ref="L9" si="5">L3-L5</f>
        <v>13676</v>
      </c>
      <c r="M9" s="265">
        <f t="shared" ref="M9:N9" si="6">M3-M5</f>
        <v>2396</v>
      </c>
      <c r="N9" s="265">
        <f t="shared" si="6"/>
        <v>12223</v>
      </c>
      <c r="O9" s="265">
        <f t="shared" ref="O9:P9" si="7">O3-O5</f>
        <v>1386</v>
      </c>
      <c r="P9" s="265">
        <f t="shared" si="7"/>
        <v>15131</v>
      </c>
      <c r="Q9" s="265">
        <f t="shared" ref="Q9:R9" si="8">Q3-Q5</f>
        <v>0</v>
      </c>
      <c r="R9" s="265">
        <f t="shared" si="8"/>
        <v>0</v>
      </c>
      <c r="S9" s="265">
        <f t="shared" ref="S9:W9" si="9">S3-S5</f>
        <v>0</v>
      </c>
      <c r="T9" s="265">
        <f t="shared" si="9"/>
        <v>0</v>
      </c>
      <c r="U9" s="265">
        <f t="shared" si="9"/>
        <v>0</v>
      </c>
      <c r="V9" s="265">
        <f t="shared" si="9"/>
        <v>0</v>
      </c>
      <c r="W9" s="265">
        <f t="shared" si="9"/>
        <v>0</v>
      </c>
      <c r="X9" s="265">
        <f t="shared" ref="X9:Y9" si="10">X3-X5</f>
        <v>0</v>
      </c>
      <c r="Y9" s="265">
        <f t="shared" si="10"/>
        <v>0</v>
      </c>
      <c r="Z9" s="265">
        <f t="shared" ref="Z9:AA9" si="11">Z3-Z5</f>
        <v>0</v>
      </c>
      <c r="AA9" s="265">
        <f t="shared" si="11"/>
        <v>0</v>
      </c>
      <c r="AB9" s="265">
        <f t="shared" ref="AB9:AC9" si="12">AB3-AB5</f>
        <v>0</v>
      </c>
      <c r="AC9" s="265">
        <f t="shared" si="12"/>
        <v>0</v>
      </c>
      <c r="AD9" s="265">
        <f t="shared" ref="AD9:AE9" si="13">AD3-AD5</f>
        <v>0</v>
      </c>
      <c r="AE9" s="265">
        <f t="shared" si="13"/>
        <v>0</v>
      </c>
      <c r="AF9" s="265">
        <f t="shared" ref="AF9:AG9" si="14">AF3-AF5</f>
        <v>0</v>
      </c>
      <c r="AG9" s="265">
        <f t="shared" si="14"/>
        <v>0</v>
      </c>
      <c r="AH9" s="265">
        <f t="shared" ref="AH9:AK9" si="15">AH3-AH5</f>
        <v>0</v>
      </c>
      <c r="AI9" s="265">
        <f t="shared" si="15"/>
        <v>0</v>
      </c>
      <c r="AJ9" s="265">
        <f t="shared" si="15"/>
        <v>0</v>
      </c>
      <c r="AK9" s="265">
        <f t="shared" si="15"/>
        <v>0</v>
      </c>
      <c r="AL9" s="265">
        <f t="shared" ref="AL9:AP9" si="16">AL3-AL5</f>
        <v>0</v>
      </c>
      <c r="AM9" s="265">
        <f t="shared" si="16"/>
        <v>0</v>
      </c>
      <c r="AN9" s="265">
        <f t="shared" si="16"/>
        <v>0</v>
      </c>
      <c r="AO9" s="265">
        <f t="shared" si="16"/>
        <v>0</v>
      </c>
      <c r="AP9" s="265">
        <f t="shared" si="16"/>
        <v>0</v>
      </c>
      <c r="AQ9" s="265">
        <f t="shared" ref="AQ9:AR9" si="17">AQ3-AQ5</f>
        <v>0</v>
      </c>
      <c r="AR9" s="265">
        <f t="shared" si="17"/>
        <v>0</v>
      </c>
      <c r="AS9" s="265">
        <f t="shared" ref="AS9:AT9" si="18">AS3-AS5</f>
        <v>0</v>
      </c>
      <c r="AT9" s="265">
        <f t="shared" si="18"/>
        <v>0</v>
      </c>
      <c r="AU9" s="265">
        <f t="shared" ref="AU9:AV9" si="19">AU3-AU5</f>
        <v>0</v>
      </c>
      <c r="AV9" s="265">
        <f t="shared" si="19"/>
        <v>0</v>
      </c>
      <c r="AW9" s="265">
        <f t="shared" ref="AW9:BB9" si="20">AW3-AW5</f>
        <v>0</v>
      </c>
      <c r="AX9" s="265">
        <f t="shared" si="20"/>
        <v>0</v>
      </c>
      <c r="AY9" s="265">
        <f t="shared" si="20"/>
        <v>0</v>
      </c>
      <c r="AZ9" s="265">
        <f t="shared" si="20"/>
        <v>0</v>
      </c>
      <c r="BA9" s="265">
        <f t="shared" si="20"/>
        <v>0</v>
      </c>
      <c r="BB9" s="265">
        <f t="shared" si="20"/>
        <v>0</v>
      </c>
    </row>
    <row r="10" spans="1:57" hidden="1" x14ac:dyDescent="0.3">
      <c r="B10" s="4" t="s">
        <v>195</v>
      </c>
      <c r="C10" s="15">
        <f>C2</f>
        <v>12719</v>
      </c>
      <c r="D10" s="15">
        <f t="shared" ref="D10:E12" si="21">D2+C10</f>
        <v>56074</v>
      </c>
      <c r="E10" s="15">
        <f t="shared" si="21"/>
        <v>83195</v>
      </c>
      <c r="F10" s="15">
        <f t="shared" ref="F10" si="22">F2+E10</f>
        <v>83855</v>
      </c>
      <c r="G10" s="15">
        <f t="shared" ref="G10" si="23">G2+F10</f>
        <v>105351</v>
      </c>
      <c r="H10" s="15">
        <f t="shared" ref="H10" si="24">H2+G10</f>
        <v>120155</v>
      </c>
      <c r="I10" s="15">
        <f t="shared" ref="I10" si="25">I2+H10</f>
        <v>191612.4</v>
      </c>
      <c r="J10" s="15">
        <f t="shared" ref="J10" si="26">J2+I10</f>
        <v>193527.4</v>
      </c>
      <c r="K10" s="15">
        <f t="shared" ref="K10:S10" si="27">K2+J10</f>
        <v>217292.4</v>
      </c>
      <c r="L10" s="15">
        <f t="shared" si="27"/>
        <v>222299.4</v>
      </c>
      <c r="M10" s="15">
        <f t="shared" si="27"/>
        <v>249035.4</v>
      </c>
      <c r="N10" s="15">
        <f t="shared" si="27"/>
        <v>249742.4</v>
      </c>
      <c r="O10" s="15">
        <f t="shared" si="27"/>
        <v>252922.4</v>
      </c>
      <c r="P10" s="15">
        <f t="shared" si="27"/>
        <v>271455.40000000002</v>
      </c>
      <c r="Q10" s="15">
        <f t="shared" si="27"/>
        <v>271455.40000000002</v>
      </c>
      <c r="R10" s="15">
        <f t="shared" si="27"/>
        <v>271455.40000000002</v>
      </c>
      <c r="S10" s="15">
        <f t="shared" si="27"/>
        <v>271455.40000000002</v>
      </c>
      <c r="T10" s="15">
        <f t="shared" ref="T10:AW10" si="28">T2+S10</f>
        <v>271455.40000000002</v>
      </c>
      <c r="U10" s="15">
        <f t="shared" si="28"/>
        <v>271455.40000000002</v>
      </c>
      <c r="V10" s="15">
        <f t="shared" si="28"/>
        <v>271455.40000000002</v>
      </c>
      <c r="W10" s="15">
        <f t="shared" si="28"/>
        <v>271455.40000000002</v>
      </c>
      <c r="X10" s="15">
        <f t="shared" si="28"/>
        <v>271455.40000000002</v>
      </c>
      <c r="Y10" s="15">
        <f t="shared" si="28"/>
        <v>271455.40000000002</v>
      </c>
      <c r="Z10" s="15">
        <f t="shared" si="28"/>
        <v>271455.40000000002</v>
      </c>
      <c r="AA10" s="15">
        <f t="shared" si="28"/>
        <v>271455.40000000002</v>
      </c>
      <c r="AB10" s="15">
        <f t="shared" si="28"/>
        <v>271455.40000000002</v>
      </c>
      <c r="AC10" s="15">
        <f t="shared" si="28"/>
        <v>271455.40000000002</v>
      </c>
      <c r="AD10" s="15">
        <f t="shared" si="28"/>
        <v>271455.40000000002</v>
      </c>
      <c r="AE10" s="15">
        <f t="shared" si="28"/>
        <v>271455.40000000002</v>
      </c>
      <c r="AF10" s="15">
        <f t="shared" si="28"/>
        <v>271455.40000000002</v>
      </c>
      <c r="AG10" s="15">
        <f t="shared" si="28"/>
        <v>271455.40000000002</v>
      </c>
      <c r="AH10" s="15">
        <f t="shared" si="28"/>
        <v>271455.40000000002</v>
      </c>
      <c r="AI10" s="15">
        <f t="shared" si="28"/>
        <v>271455.40000000002</v>
      </c>
      <c r="AJ10" s="15">
        <f t="shared" si="28"/>
        <v>271455.40000000002</v>
      </c>
      <c r="AK10" s="15">
        <f t="shared" si="28"/>
        <v>271455.40000000002</v>
      </c>
      <c r="AL10" s="15">
        <f t="shared" si="28"/>
        <v>271455.40000000002</v>
      </c>
      <c r="AM10" s="15">
        <f t="shared" si="28"/>
        <v>271455.40000000002</v>
      </c>
      <c r="AN10" s="15">
        <f t="shared" si="28"/>
        <v>271455.40000000002</v>
      </c>
      <c r="AO10" s="15">
        <f t="shared" si="28"/>
        <v>271455.40000000002</v>
      </c>
      <c r="AP10" s="15">
        <f t="shared" si="28"/>
        <v>271455.40000000002</v>
      </c>
      <c r="AQ10" s="15">
        <f t="shared" si="28"/>
        <v>271455.40000000002</v>
      </c>
      <c r="AR10" s="15">
        <f t="shared" si="28"/>
        <v>271455.40000000002</v>
      </c>
      <c r="AS10" s="15">
        <f t="shared" si="28"/>
        <v>271455.40000000002</v>
      </c>
      <c r="AT10" s="15">
        <f t="shared" si="28"/>
        <v>271455.40000000002</v>
      </c>
      <c r="AU10" s="15">
        <f t="shared" si="28"/>
        <v>271455.40000000002</v>
      </c>
      <c r="AV10" s="15">
        <f t="shared" si="28"/>
        <v>271455.40000000002</v>
      </c>
      <c r="AW10" s="15">
        <f t="shared" si="28"/>
        <v>271455.40000000002</v>
      </c>
      <c r="AX10" s="388">
        <f t="shared" ref="AX10:AX12" si="29">AX2+AW10</f>
        <v>271455.40000000002</v>
      </c>
      <c r="AY10" s="388">
        <f t="shared" ref="AY10:AY12" si="30">AY2+AX10</f>
        <v>271455.40000000002</v>
      </c>
      <c r="AZ10" s="388">
        <f t="shared" ref="AZ10:AZ12" si="31">AZ2+AY10</f>
        <v>271455.40000000002</v>
      </c>
      <c r="BA10" s="388">
        <f t="shared" ref="BA10:BA12" si="32">BA2+AZ10</f>
        <v>271455.40000000002</v>
      </c>
      <c r="BB10" s="388">
        <f t="shared" ref="BB10:BB12" si="33">BB2+BA10</f>
        <v>271455.40000000002</v>
      </c>
    </row>
    <row r="11" spans="1:57" hidden="1" x14ac:dyDescent="0.3">
      <c r="B11" s="4" t="s">
        <v>193</v>
      </c>
      <c r="C11" s="15">
        <f>C3</f>
        <v>0</v>
      </c>
      <c r="D11" s="15">
        <f t="shared" si="21"/>
        <v>12384</v>
      </c>
      <c r="E11" s="15">
        <f t="shared" si="21"/>
        <v>13044</v>
      </c>
      <c r="F11" s="15">
        <f t="shared" ref="F11" si="34">F3+E11</f>
        <v>21780</v>
      </c>
      <c r="G11" s="15">
        <f t="shared" ref="G11" si="35">G3+F11</f>
        <v>26930</v>
      </c>
      <c r="H11" s="15">
        <f t="shared" ref="H11" si="36">H3+G11</f>
        <v>30110</v>
      </c>
      <c r="I11" s="15">
        <f t="shared" ref="I11" si="37">I3+H11</f>
        <v>107385</v>
      </c>
      <c r="J11" s="15">
        <f>J3+I11</f>
        <v>140462</v>
      </c>
      <c r="K11" s="15">
        <f>K3+J11</f>
        <v>148559</v>
      </c>
      <c r="L11" s="15">
        <f t="shared" ref="L11:S11" si="38">L3+K11</f>
        <v>162235</v>
      </c>
      <c r="M11" s="15">
        <f t="shared" si="38"/>
        <v>164631</v>
      </c>
      <c r="N11" s="15">
        <f t="shared" si="38"/>
        <v>176854</v>
      </c>
      <c r="O11" s="15">
        <f t="shared" si="38"/>
        <v>178240</v>
      </c>
      <c r="P11" s="15">
        <f t="shared" si="38"/>
        <v>193371</v>
      </c>
      <c r="Q11" s="15">
        <f t="shared" si="38"/>
        <v>193371</v>
      </c>
      <c r="R11" s="15">
        <f t="shared" si="38"/>
        <v>193371</v>
      </c>
      <c r="S11" s="15">
        <f t="shared" si="38"/>
        <v>193371</v>
      </c>
      <c r="T11" s="15">
        <f t="shared" ref="T11:AW11" si="39">T3+S11</f>
        <v>193371</v>
      </c>
      <c r="U11" s="15">
        <f t="shared" si="39"/>
        <v>193371</v>
      </c>
      <c r="V11" s="15">
        <f t="shared" si="39"/>
        <v>193371</v>
      </c>
      <c r="W11" s="15">
        <f t="shared" si="39"/>
        <v>193371</v>
      </c>
      <c r="X11" s="15">
        <f t="shared" si="39"/>
        <v>193371</v>
      </c>
      <c r="Y11" s="15">
        <f t="shared" si="39"/>
        <v>193371</v>
      </c>
      <c r="Z11" s="15">
        <f t="shared" si="39"/>
        <v>193371</v>
      </c>
      <c r="AA11" s="15">
        <f t="shared" si="39"/>
        <v>193371</v>
      </c>
      <c r="AB11" s="15">
        <f t="shared" si="39"/>
        <v>193371</v>
      </c>
      <c r="AC11" s="15">
        <f t="shared" si="39"/>
        <v>193371</v>
      </c>
      <c r="AD11" s="15">
        <f t="shared" si="39"/>
        <v>193371</v>
      </c>
      <c r="AE11" s="15">
        <f t="shared" si="39"/>
        <v>193371</v>
      </c>
      <c r="AF11" s="15">
        <f t="shared" si="39"/>
        <v>193371</v>
      </c>
      <c r="AG11" s="15">
        <f t="shared" si="39"/>
        <v>193371</v>
      </c>
      <c r="AH11" s="15">
        <f t="shared" si="39"/>
        <v>193371</v>
      </c>
      <c r="AI11" s="15">
        <f t="shared" si="39"/>
        <v>193371</v>
      </c>
      <c r="AJ11" s="15">
        <f t="shared" si="39"/>
        <v>193371</v>
      </c>
      <c r="AK11" s="15">
        <f t="shared" si="39"/>
        <v>193371</v>
      </c>
      <c r="AL11" s="15">
        <f t="shared" si="39"/>
        <v>193371</v>
      </c>
      <c r="AM11" s="15">
        <f t="shared" si="39"/>
        <v>193371</v>
      </c>
      <c r="AN11" s="15">
        <f t="shared" si="39"/>
        <v>193371</v>
      </c>
      <c r="AO11" s="15">
        <f t="shared" si="39"/>
        <v>193371</v>
      </c>
      <c r="AP11" s="15">
        <f t="shared" si="39"/>
        <v>193371</v>
      </c>
      <c r="AQ11" s="15">
        <f t="shared" si="39"/>
        <v>193371</v>
      </c>
      <c r="AR11" s="15">
        <f t="shared" si="39"/>
        <v>193371</v>
      </c>
      <c r="AS11" s="15">
        <f t="shared" si="39"/>
        <v>193371</v>
      </c>
      <c r="AT11" s="15">
        <f t="shared" si="39"/>
        <v>193371</v>
      </c>
      <c r="AU11" s="15">
        <f t="shared" si="39"/>
        <v>193371</v>
      </c>
      <c r="AV11" s="15">
        <f t="shared" si="39"/>
        <v>193371</v>
      </c>
      <c r="AW11" s="15">
        <f t="shared" si="39"/>
        <v>193371</v>
      </c>
      <c r="AX11" s="388">
        <f t="shared" si="29"/>
        <v>193371</v>
      </c>
      <c r="AY11" s="388">
        <f t="shared" si="30"/>
        <v>193371</v>
      </c>
      <c r="AZ11" s="388">
        <f t="shared" si="31"/>
        <v>193371</v>
      </c>
      <c r="BA11" s="388">
        <f t="shared" si="32"/>
        <v>193371</v>
      </c>
      <c r="BB11" s="388">
        <f t="shared" si="33"/>
        <v>193371</v>
      </c>
    </row>
    <row r="12" spans="1:57" hidden="1" x14ac:dyDescent="0.3">
      <c r="B12" s="38" t="s">
        <v>196</v>
      </c>
      <c r="C12" s="15">
        <f>C4</f>
        <v>0</v>
      </c>
      <c r="D12" s="15">
        <f t="shared" si="21"/>
        <v>3180</v>
      </c>
      <c r="E12" s="15">
        <f t="shared" si="21"/>
        <v>8696</v>
      </c>
      <c r="F12" s="15">
        <f t="shared" ref="F12:S12" si="40">F4+E12</f>
        <v>8696</v>
      </c>
      <c r="G12" s="15">
        <f t="shared" si="40"/>
        <v>9356</v>
      </c>
      <c r="H12" s="15">
        <f t="shared" si="40"/>
        <v>29961</v>
      </c>
      <c r="I12" s="15">
        <f t="shared" si="40"/>
        <v>35046</v>
      </c>
      <c r="J12" s="15">
        <f t="shared" si="40"/>
        <v>41393</v>
      </c>
      <c r="K12" s="15">
        <f t="shared" si="40"/>
        <v>47809</v>
      </c>
      <c r="L12" s="15">
        <f t="shared" si="40"/>
        <v>53692.5</v>
      </c>
      <c r="M12" s="15">
        <f t="shared" si="40"/>
        <v>58812.5</v>
      </c>
      <c r="N12" s="15">
        <f t="shared" si="40"/>
        <v>73201.5</v>
      </c>
      <c r="O12" s="15">
        <f t="shared" si="40"/>
        <v>93521.5</v>
      </c>
      <c r="P12" s="15">
        <f t="shared" si="40"/>
        <v>108830.5</v>
      </c>
      <c r="Q12" s="15">
        <f t="shared" si="40"/>
        <v>109215.5</v>
      </c>
      <c r="R12" s="15">
        <f t="shared" si="40"/>
        <v>109215.5</v>
      </c>
      <c r="S12" s="15">
        <f t="shared" si="40"/>
        <v>109215.5</v>
      </c>
      <c r="T12" s="15">
        <f t="shared" ref="T12:AW12" si="41">T4+S12</f>
        <v>109215.5</v>
      </c>
      <c r="U12" s="15">
        <f t="shared" si="41"/>
        <v>109215.5</v>
      </c>
      <c r="V12" s="15">
        <f t="shared" si="41"/>
        <v>109215.5</v>
      </c>
      <c r="W12" s="15">
        <f t="shared" si="41"/>
        <v>109215.5</v>
      </c>
      <c r="X12" s="15">
        <f t="shared" si="41"/>
        <v>109215.5</v>
      </c>
      <c r="Y12" s="15">
        <f t="shared" si="41"/>
        <v>109215.5</v>
      </c>
      <c r="Z12" s="15">
        <f t="shared" si="41"/>
        <v>109215.5</v>
      </c>
      <c r="AA12" s="15">
        <f t="shared" si="41"/>
        <v>109215.5</v>
      </c>
      <c r="AB12" s="15">
        <f t="shared" si="41"/>
        <v>109215.5</v>
      </c>
      <c r="AC12" s="15">
        <f t="shared" si="41"/>
        <v>109215.5</v>
      </c>
      <c r="AD12" s="15">
        <f t="shared" si="41"/>
        <v>109215.5</v>
      </c>
      <c r="AE12" s="15">
        <f t="shared" si="41"/>
        <v>109215.5</v>
      </c>
      <c r="AF12" s="15">
        <f t="shared" si="41"/>
        <v>109215.5</v>
      </c>
      <c r="AG12" s="15">
        <f t="shared" si="41"/>
        <v>109215.5</v>
      </c>
      <c r="AH12" s="15">
        <f t="shared" si="41"/>
        <v>109215.5</v>
      </c>
      <c r="AI12" s="15">
        <f t="shared" si="41"/>
        <v>109215.5</v>
      </c>
      <c r="AJ12" s="15">
        <f t="shared" si="41"/>
        <v>109215.5</v>
      </c>
      <c r="AK12" s="15">
        <f t="shared" si="41"/>
        <v>109215.5</v>
      </c>
      <c r="AL12" s="15">
        <f t="shared" si="41"/>
        <v>109215.5</v>
      </c>
      <c r="AM12" s="15">
        <f t="shared" si="41"/>
        <v>109215.5</v>
      </c>
      <c r="AN12" s="15">
        <f t="shared" si="41"/>
        <v>109215.5</v>
      </c>
      <c r="AO12" s="15">
        <f t="shared" si="41"/>
        <v>109215.5</v>
      </c>
      <c r="AP12" s="15">
        <f t="shared" si="41"/>
        <v>109215.5</v>
      </c>
      <c r="AQ12" s="15">
        <f t="shared" si="41"/>
        <v>109215.5</v>
      </c>
      <c r="AR12" s="15">
        <f t="shared" si="41"/>
        <v>109215.5</v>
      </c>
      <c r="AS12" s="15">
        <f t="shared" si="41"/>
        <v>109215.5</v>
      </c>
      <c r="AT12" s="15">
        <f t="shared" si="41"/>
        <v>109215.5</v>
      </c>
      <c r="AU12" s="15">
        <f t="shared" si="41"/>
        <v>109215.5</v>
      </c>
      <c r="AV12" s="15">
        <f t="shared" si="41"/>
        <v>109215.5</v>
      </c>
      <c r="AW12" s="15">
        <f t="shared" si="41"/>
        <v>109215.5</v>
      </c>
      <c r="AX12" s="388">
        <f t="shared" si="29"/>
        <v>109215.5</v>
      </c>
      <c r="AY12" s="388">
        <f t="shared" si="30"/>
        <v>109215.5</v>
      </c>
      <c r="AZ12" s="388">
        <f t="shared" si="31"/>
        <v>109215.5</v>
      </c>
      <c r="BA12" s="388">
        <f t="shared" si="32"/>
        <v>109215.5</v>
      </c>
      <c r="BB12" s="388">
        <f t="shared" si="33"/>
        <v>109215.5</v>
      </c>
    </row>
    <row r="13" spans="1:57" x14ac:dyDescent="0.3">
      <c r="B13" s="4" t="s">
        <v>55</v>
      </c>
      <c r="C13" s="18">
        <f>39254+C3-C4</f>
        <v>39254</v>
      </c>
      <c r="D13" s="15">
        <f>C13+D3-D4</f>
        <v>48458</v>
      </c>
      <c r="E13" s="257">
        <f t="shared" ref="E13:K13" si="42">D13+E3-E4</f>
        <v>43602</v>
      </c>
      <c r="F13" s="257">
        <f t="shared" si="42"/>
        <v>52338</v>
      </c>
      <c r="G13" s="257">
        <f t="shared" si="42"/>
        <v>56828</v>
      </c>
      <c r="H13" s="257">
        <f t="shared" si="42"/>
        <v>39403</v>
      </c>
      <c r="I13" s="257">
        <f t="shared" si="42"/>
        <v>111593</v>
      </c>
      <c r="J13" s="257">
        <f t="shared" si="42"/>
        <v>138323</v>
      </c>
      <c r="K13" s="257">
        <f t="shared" si="42"/>
        <v>140004</v>
      </c>
      <c r="L13" s="15">
        <f t="shared" ref="L13:S13" si="43">K13+L3-L4</f>
        <v>147796.5</v>
      </c>
      <c r="M13" s="15">
        <f t="shared" si="43"/>
        <v>145072.5</v>
      </c>
      <c r="N13" s="257">
        <f t="shared" si="43"/>
        <v>142906.5</v>
      </c>
      <c r="O13" s="15">
        <f t="shared" si="43"/>
        <v>123972.5</v>
      </c>
      <c r="P13" s="15">
        <f>O13+P3-P4</f>
        <v>123794.5</v>
      </c>
      <c r="Q13" s="15">
        <f t="shared" si="43"/>
        <v>123409.5</v>
      </c>
      <c r="R13" s="15">
        <f t="shared" si="43"/>
        <v>123409.5</v>
      </c>
      <c r="S13" s="15">
        <f t="shared" si="43"/>
        <v>123409.5</v>
      </c>
      <c r="T13" s="15">
        <f t="shared" ref="T13" si="44">S13+T3-T4</f>
        <v>123409.5</v>
      </c>
      <c r="U13" s="388">
        <f t="shared" ref="U13" si="45">T13+U3-U4</f>
        <v>123409.5</v>
      </c>
      <c r="V13" s="15">
        <f>U13+V3-V4</f>
        <v>123409.5</v>
      </c>
      <c r="W13" s="257">
        <f t="shared" ref="W13:Y13" si="46">V13+W3-W4</f>
        <v>123409.5</v>
      </c>
      <c r="X13" s="388">
        <f t="shared" si="46"/>
        <v>123409.5</v>
      </c>
      <c r="Y13" s="388">
        <f t="shared" si="46"/>
        <v>123409.5</v>
      </c>
      <c r="Z13" s="15">
        <f t="shared" ref="Z13" si="47">Y13+Z3-Z4</f>
        <v>123409.5</v>
      </c>
      <c r="AA13" s="15">
        <f>Z13+AA3-AA4</f>
        <v>123409.5</v>
      </c>
      <c r="AB13" s="15">
        <f t="shared" ref="AB13" si="48">AA13+AB3-AB4</f>
        <v>123409.5</v>
      </c>
      <c r="AC13" s="388">
        <f>AB13+AC3-AC4</f>
        <v>123409.5</v>
      </c>
      <c r="AD13" s="15">
        <f t="shared" ref="AD13" si="49">AC13+AD3-AD4</f>
        <v>123409.5</v>
      </c>
      <c r="AE13" s="15">
        <f t="shared" ref="AE13" si="50">AD13+AE3-AE4</f>
        <v>123409.5</v>
      </c>
      <c r="AF13" s="15">
        <f t="shared" ref="AF13" si="51">AE13+AF3-AF4</f>
        <v>123409.5</v>
      </c>
      <c r="AG13" s="257">
        <f t="shared" ref="AG13" si="52">AF13+AG3-AG4</f>
        <v>123409.5</v>
      </c>
      <c r="AH13" s="15">
        <f t="shared" ref="AH13" si="53">AG13+AH3-AH4</f>
        <v>123409.5</v>
      </c>
      <c r="AI13" s="15">
        <f t="shared" ref="AI13" si="54">AH13+AI3-AI4</f>
        <v>123409.5</v>
      </c>
      <c r="AJ13" s="15">
        <f t="shared" ref="AJ13" si="55">AI13+AJ3-AJ4</f>
        <v>123409.5</v>
      </c>
      <c r="AK13" s="15">
        <f>AJ13+AK3-AK4</f>
        <v>123409.5</v>
      </c>
      <c r="AL13" s="15">
        <f t="shared" ref="AL13" si="56">AK13+AL3-AL4</f>
        <v>123409.5</v>
      </c>
      <c r="AM13" s="257">
        <f>AL13+AM3-AM4</f>
        <v>123409.5</v>
      </c>
      <c r="AN13" s="15">
        <f t="shared" ref="AN13" si="57">AM13+AN3-AN4</f>
        <v>123409.5</v>
      </c>
      <c r="AO13" s="15">
        <f t="shared" ref="AO13" si="58">AN13+AO3-AO4</f>
        <v>123409.5</v>
      </c>
      <c r="AP13" s="15">
        <f t="shared" ref="AP13" si="59">AO13+AP3-AP4</f>
        <v>123409.5</v>
      </c>
      <c r="AQ13" s="15">
        <f t="shared" ref="AQ13" si="60">AP13+AQ3-AQ4</f>
        <v>123409.5</v>
      </c>
      <c r="AR13" s="15">
        <f t="shared" ref="AR13" si="61">AQ13+AR3-AR4</f>
        <v>123409.5</v>
      </c>
      <c r="AS13" s="15">
        <f t="shared" ref="AS13" si="62">AR13+AS3-AS4</f>
        <v>123409.5</v>
      </c>
      <c r="AT13" s="15">
        <f t="shared" ref="AT13" si="63">AS13+AT3-AT4</f>
        <v>123409.5</v>
      </c>
      <c r="AU13" s="15">
        <f t="shared" ref="AU13" si="64">AT13+AU3-AU4</f>
        <v>123409.5</v>
      </c>
      <c r="AV13" s="15">
        <f t="shared" ref="AV13" si="65">AU13+AV3-AV4</f>
        <v>123409.5</v>
      </c>
      <c r="AW13" s="15">
        <f t="shared" ref="AW13" si="66">AV13+AW3-AW4</f>
        <v>123409.5</v>
      </c>
      <c r="AX13" s="15">
        <f t="shared" ref="AX13" si="67">AW13+AX3-AX4</f>
        <v>123409.5</v>
      </c>
      <c r="AY13" s="15">
        <f t="shared" ref="AY13" si="68">AX13+AY3-AY4</f>
        <v>123409.5</v>
      </c>
      <c r="AZ13" s="15">
        <f t="shared" ref="AZ13" si="69">AY13+AZ3-AZ4</f>
        <v>123409.5</v>
      </c>
      <c r="BA13" s="15">
        <f t="shared" ref="BA13" si="70">AZ13+BA3-BA4</f>
        <v>123409.5</v>
      </c>
      <c r="BB13" s="15">
        <f t="shared" ref="BB13" si="71">BA13+BB3-BB4</f>
        <v>123409.5</v>
      </c>
    </row>
    <row r="14" spans="1:57" hidden="1" x14ac:dyDescent="0.3">
      <c r="AC14" s="15"/>
    </row>
    <row r="15" spans="1:57" hidden="1" x14ac:dyDescent="0.3"/>
    <row r="16" spans="1:57" s="4" customFormat="1" hidden="1" x14ac:dyDescent="0.3">
      <c r="A16" s="4" t="s">
        <v>33</v>
      </c>
      <c r="C16" s="248">
        <v>1</v>
      </c>
      <c r="D16" s="248">
        <v>2</v>
      </c>
      <c r="E16" s="248">
        <v>3</v>
      </c>
      <c r="F16" s="248">
        <v>4</v>
      </c>
      <c r="G16" s="248">
        <v>5</v>
      </c>
      <c r="H16" s="248">
        <v>6</v>
      </c>
      <c r="I16" s="248">
        <v>7</v>
      </c>
      <c r="J16" s="248">
        <v>8</v>
      </c>
      <c r="K16" s="248">
        <v>9</v>
      </c>
      <c r="L16" s="248">
        <v>10</v>
      </c>
      <c r="M16" s="248">
        <v>11</v>
      </c>
      <c r="N16" s="248">
        <v>12</v>
      </c>
      <c r="O16" s="248">
        <v>13</v>
      </c>
      <c r="P16" s="248">
        <v>14</v>
      </c>
      <c r="Q16" s="248">
        <v>15</v>
      </c>
      <c r="R16" s="248">
        <v>16</v>
      </c>
      <c r="S16" s="248">
        <v>17</v>
      </c>
      <c r="T16" s="4">
        <v>18</v>
      </c>
      <c r="U16" s="4">
        <v>19</v>
      </c>
      <c r="V16" s="247">
        <v>20</v>
      </c>
      <c r="W16" s="247">
        <v>21</v>
      </c>
      <c r="X16" s="247">
        <v>22</v>
      </c>
      <c r="Y16" s="247">
        <v>23</v>
      </c>
      <c r="Z16" s="247">
        <v>24</v>
      </c>
      <c r="AA16" s="247">
        <v>25</v>
      </c>
      <c r="AB16" s="247">
        <v>26</v>
      </c>
      <c r="AC16" s="247">
        <v>27</v>
      </c>
      <c r="AD16" s="247">
        <v>28</v>
      </c>
      <c r="AE16" s="247">
        <v>29</v>
      </c>
      <c r="AF16" s="247">
        <v>30</v>
      </c>
      <c r="AG16" s="247">
        <v>31</v>
      </c>
      <c r="AH16" s="4">
        <v>32</v>
      </c>
      <c r="AI16" s="4">
        <v>33</v>
      </c>
      <c r="AJ16" s="249">
        <v>34</v>
      </c>
      <c r="AK16" s="249">
        <v>35</v>
      </c>
      <c r="AL16" s="249">
        <v>36</v>
      </c>
      <c r="AM16" s="249">
        <v>37</v>
      </c>
      <c r="AN16" s="249">
        <v>38</v>
      </c>
      <c r="AO16" s="249">
        <v>39</v>
      </c>
      <c r="AP16" s="249">
        <v>40</v>
      </c>
      <c r="AQ16" s="249">
        <v>41</v>
      </c>
      <c r="AR16" s="249">
        <v>42</v>
      </c>
      <c r="AS16" s="249">
        <v>43</v>
      </c>
      <c r="AT16" s="249">
        <v>44</v>
      </c>
      <c r="AU16" s="249">
        <v>45</v>
      </c>
      <c r="AV16" s="249">
        <v>46</v>
      </c>
      <c r="AW16" s="249">
        <v>47</v>
      </c>
      <c r="AX16" s="249">
        <v>48</v>
      </c>
      <c r="AY16" s="249">
        <v>49</v>
      </c>
      <c r="AZ16" s="249">
        <v>50</v>
      </c>
      <c r="BA16" s="249">
        <v>51</v>
      </c>
      <c r="BB16" s="4">
        <v>52</v>
      </c>
    </row>
    <row r="17" spans="1:55" s="4" customFormat="1" hidden="1" x14ac:dyDescent="0.3">
      <c r="A17" s="4" t="s">
        <v>179</v>
      </c>
      <c r="B17" s="246"/>
      <c r="C17" s="240">
        <v>1.6808243066094926E-3</v>
      </c>
      <c r="D17" s="240">
        <f>0.343981605254073%+1%</f>
        <v>1.3439816052540731E-2</v>
      </c>
      <c r="E17" s="240">
        <f>1.34983770160087%+1%</f>
        <v>2.3498377016008702E-2</v>
      </c>
      <c r="F17" s="240">
        <f>1.44380914329294%+1%</f>
        <v>2.4438091432929403E-2</v>
      </c>
      <c r="G17" s="240">
        <v>2.4202290512384428E-2</v>
      </c>
      <c r="H17" s="240">
        <f>8.63377764926369%-4%</f>
        <v>4.6337776492636908E-2</v>
      </c>
      <c r="I17" s="240">
        <f>8.37172377691067%-3%</f>
        <v>5.371723776910671E-2</v>
      </c>
      <c r="J17" s="240">
        <f>7.21940469437205%-2%</f>
        <v>5.2194046943720498E-2</v>
      </c>
      <c r="K17" s="240">
        <f>0.391824385853865%+3%</f>
        <v>3.3918243858538651E-2</v>
      </c>
      <c r="L17" s="240">
        <f>0.499517758053737%+1.5%</f>
        <v>1.9995177580537371E-2</v>
      </c>
      <c r="M17" s="240">
        <f>0.499517758053737%+1.5%</f>
        <v>1.9995177580537371E-2</v>
      </c>
      <c r="N17" s="240">
        <v>1.0051381405321328E-2</v>
      </c>
      <c r="O17" s="240">
        <v>1.9384806995976847E-2</v>
      </c>
      <c r="P17" s="240">
        <v>2.8359254679299461E-2</v>
      </c>
      <c r="Q17" s="240">
        <v>2.0862898529420082E-2</v>
      </c>
      <c r="R17" s="240">
        <v>1.5837207826759417E-2</v>
      </c>
      <c r="S17" s="240">
        <v>6.8627601434368031E-3</v>
      </c>
      <c r="T17" s="240">
        <v>1.6297596992913867E-2</v>
      </c>
      <c r="U17" s="240">
        <v>1.2657561012558214E-2</v>
      </c>
      <c r="V17" s="240">
        <v>1.2657561012558214E-2</v>
      </c>
      <c r="W17" s="240">
        <v>7.282764295016301E-3</v>
      </c>
      <c r="X17" s="240">
        <v>5.5381316653783852E-3</v>
      </c>
      <c r="Y17" s="240">
        <v>5.5381316653783852E-3</v>
      </c>
      <c r="Z17" s="240">
        <v>1.9066932059033561E-2</v>
      </c>
      <c r="AA17" s="240">
        <v>2.0143865781032274E-2</v>
      </c>
      <c r="AB17" s="240">
        <v>2.157977741036389E-2</v>
      </c>
      <c r="AC17" s="240">
        <f>0.409037376510478%+1%</f>
        <v>1.4090373765104781E-2</v>
      </c>
      <c r="AD17" s="240">
        <f>0.376056281274267%+1%</f>
        <v>1.3760562812742671E-2</v>
      </c>
      <c r="AE17" s="240">
        <f>0.264773130001067%+1%</f>
        <v>1.264773130001067E-2</v>
      </c>
      <c r="AF17" s="240">
        <v>6.0061491120636601E-3</v>
      </c>
      <c r="AG17" s="240">
        <v>5.259026342427052E-3</v>
      </c>
      <c r="AH17" s="240">
        <v>6.0128799478261523E-3</v>
      </c>
      <c r="AI17" s="240">
        <v>0</v>
      </c>
      <c r="AJ17" s="240">
        <v>1.7159054226036006E-2</v>
      </c>
      <c r="AK17" s="240">
        <v>2.4311689029644128E-2</v>
      </c>
      <c r="AL17" s="240">
        <v>1.8532234466061198E-2</v>
      </c>
      <c r="AM17" s="240">
        <v>1.7836086559265864E-2</v>
      </c>
      <c r="AN17" s="240">
        <v>4.0692927874966568E-2</v>
      </c>
      <c r="AO17" s="240">
        <v>3.9544198571501273E-2</v>
      </c>
      <c r="AP17" s="240">
        <v>3.2881299377972059E-2</v>
      </c>
      <c r="AQ17" s="240">
        <v>2.1538674439974272E-3</v>
      </c>
      <c r="AR17" s="240">
        <v>3.1051588984296243E-3</v>
      </c>
      <c r="AS17" s="240">
        <v>1.218729995395211E-2</v>
      </c>
      <c r="AT17" s="240">
        <v>1.1828322046619206E-2</v>
      </c>
      <c r="AU17" s="240">
        <v>1.6340674341793815E-2</v>
      </c>
      <c r="AV17" s="240">
        <f>5.51254551503323%-1%</f>
        <v>4.5125455150332297E-2</v>
      </c>
      <c r="AW17" s="240">
        <f>5.79613806182623%-1%</f>
        <v>4.79613806182623E-2</v>
      </c>
      <c r="AX17" s="240">
        <f>5.35369779103842%-1%</f>
        <v>4.3536977910384196E-2</v>
      </c>
      <c r="AY17" s="240">
        <f>1.07316445397172%+0.98%</f>
        <v>2.05316445397172E-2</v>
      </c>
      <c r="AZ17" s="240">
        <v>7.8957190717872348E-3</v>
      </c>
      <c r="BA17" s="240">
        <v>5.0615884933939547E-3</v>
      </c>
      <c r="BB17" s="240">
        <v>0</v>
      </c>
    </row>
    <row r="18" spans="1:55" s="4" customFormat="1" hidden="1" x14ac:dyDescent="0.3">
      <c r="A18" s="4" t="s">
        <v>116</v>
      </c>
      <c r="B18" s="246"/>
      <c r="C18" s="240">
        <f>1.73384972530494%-1.7%</f>
        <v>3.3849725304940098E-4</v>
      </c>
      <c r="D18" s="240">
        <f>4.26443089783891%-3.5%</f>
        <v>7.6443089783890944E-3</v>
      </c>
      <c r="E18" s="240">
        <f>4.47862936139912%-3.3%</f>
        <v>1.1786293613991201E-2</v>
      </c>
      <c r="F18" s="240">
        <f>4.63152798763438%-3%</f>
        <v>1.6315279876343798E-2</v>
      </c>
      <c r="G18" s="240">
        <v>2.5959189403544115E-2</v>
      </c>
      <c r="H18" s="240">
        <v>2.632101113253096E-2</v>
      </c>
      <c r="I18" s="240">
        <f>1.00760115088256%+2%</f>
        <v>3.0076011508825599E-2</v>
      </c>
      <c r="J18" s="240">
        <f>0.512629025628557%+3%</f>
        <v>3.5126290256285567E-2</v>
      </c>
      <c r="K18" s="240">
        <f>0.0726538031805577%+3.19%</f>
        <v>3.2626538031805576E-2</v>
      </c>
      <c r="L18" s="240">
        <v>2.3867208530887998E-2</v>
      </c>
      <c r="M18" s="240">
        <v>3.2695658718166924E-2</v>
      </c>
      <c r="N18" s="240">
        <v>3.6313876008035331E-2</v>
      </c>
      <c r="O18" s="240">
        <f>1.24466674771473%</f>
        <v>1.2446667477147299E-2</v>
      </c>
      <c r="P18" s="240">
        <f>0.723643457973683%+1%</f>
        <v>1.723643457973683E-2</v>
      </c>
      <c r="Q18" s="240">
        <v>1.6915165830134828E-2</v>
      </c>
      <c r="R18" s="240">
        <v>1.6915165830134828E-2</v>
      </c>
      <c r="S18" s="240">
        <v>1.3296948540266416E-2</v>
      </c>
      <c r="T18" s="240">
        <f>2.87431181507147%-1%</f>
        <v>1.8743118150714701E-2</v>
      </c>
      <c r="U18" s="240">
        <f>3.71373822632094%-2%</f>
        <v>1.7137382263209402E-2</v>
      </c>
      <c r="V18" s="240">
        <f>4.6909463519686%-2.5%</f>
        <v>2.1909463519686E-2</v>
      </c>
      <c r="W18" s="240">
        <f>1.81663453689713%+0.5%</f>
        <v>2.3166345368971299E-2</v>
      </c>
      <c r="X18" s="240">
        <f>1.83544926680445%</f>
        <v>1.8354492668044498E-2</v>
      </c>
      <c r="Y18" s="240">
        <f>1.12678522841082%+0.5%</f>
        <v>1.6267852284108198E-2</v>
      </c>
      <c r="Z18" s="240">
        <v>1.5117635480528203E-2</v>
      </c>
      <c r="AA18" s="240">
        <v>9.8826539768549874E-3</v>
      </c>
      <c r="AB18" s="240">
        <v>7.1972131043146516E-3</v>
      </c>
      <c r="AC18" s="240">
        <v>8.2247868146372808E-3</v>
      </c>
      <c r="AD18" s="240">
        <v>6.149377377168759E-3</v>
      </c>
      <c r="AE18" s="240">
        <v>1.9451753243369979E-2</v>
      </c>
      <c r="AF18" s="240">
        <v>1.4574396336627358E-2</v>
      </c>
      <c r="AG18" s="240">
        <v>1.3302375866201218E-2</v>
      </c>
      <c r="AH18" s="240">
        <v>4.2405506637257792E-3</v>
      </c>
      <c r="AI18" s="240">
        <v>0</v>
      </c>
      <c r="AJ18" s="240">
        <v>1.3355491296016488E-2</v>
      </c>
      <c r="AK18" s="240">
        <v>1.7703141191522373E-2</v>
      </c>
      <c r="AL18" s="240">
        <v>1.7843600386715064E-2</v>
      </c>
      <c r="AM18" s="240">
        <v>1.8118584900745062E-2</v>
      </c>
      <c r="AN18" s="240">
        <f>0.95303843415134%+2%</f>
        <v>2.9530384341513401E-2</v>
      </c>
      <c r="AO18" s="240">
        <f>0.438527935532052%+2%</f>
        <v>2.4385279355320519E-2</v>
      </c>
      <c r="AP18" s="240">
        <f>0.201172881316684%+2%</f>
        <v>2.2011728813166841E-2</v>
      </c>
      <c r="AQ18" s="240">
        <f>0.509444994413472%+2%</f>
        <v>2.509444994413472E-2</v>
      </c>
      <c r="AR18" s="240">
        <f>0.337217851415736%+1%</f>
        <v>1.3372178514157361E-2</v>
      </c>
      <c r="AS18" s="240">
        <v>6.9035585890689314E-3</v>
      </c>
      <c r="AT18" s="240">
        <v>2.7888350498156161E-2</v>
      </c>
      <c r="AU18" s="240">
        <v>3.2653036118492275E-2</v>
      </c>
      <c r="AV18" s="240">
        <v>4.1530694060913413E-2</v>
      </c>
      <c r="AW18" s="240">
        <v>1.7463181020858299E-2</v>
      </c>
      <c r="AX18" s="240">
        <v>1.4695751344529544E-2</v>
      </c>
      <c r="AY18" s="240">
        <v>3.9628163045554804E-2</v>
      </c>
      <c r="AZ18" s="240">
        <v>3.9628163045554804E-2</v>
      </c>
      <c r="BA18" s="240">
        <f>3.7341449718358%-0.87%</f>
        <v>2.8641449718357997E-2</v>
      </c>
      <c r="BB18" s="240">
        <v>0</v>
      </c>
    </row>
    <row r="19" spans="1:55" hidden="1" x14ac:dyDescent="0.3">
      <c r="A19" s="244" t="s">
        <v>183</v>
      </c>
      <c r="B19" s="68"/>
    </row>
    <row r="20" spans="1:55" s="4" customFormat="1" hidden="1" x14ac:dyDescent="0.3">
      <c r="B20" s="4" t="s">
        <v>184</v>
      </c>
      <c r="C20" s="245">
        <f>SUM(C17:E17)/3</f>
        <v>1.2873005791719641E-2</v>
      </c>
      <c r="D20" s="245">
        <f t="shared" ref="D20:BB20" si="72">SUM(D17:F17)/3</f>
        <v>2.0458761500492945E-2</v>
      </c>
      <c r="E20" s="245">
        <f t="shared" si="72"/>
        <v>2.4046252987107511E-2</v>
      </c>
      <c r="F20" s="245">
        <f>SUM(F17:H17)/3</f>
        <v>3.1659386145983577E-2</v>
      </c>
      <c r="G20" s="245">
        <f>SUM(G17:I17)/3</f>
        <v>4.141910159137601E-2</v>
      </c>
      <c r="H20" s="245">
        <f>SUM(H17:J17)/3</f>
        <v>5.0749687068488036E-2</v>
      </c>
      <c r="I20" s="245">
        <f t="shared" si="72"/>
        <v>4.6609842857121948E-2</v>
      </c>
      <c r="J20" s="245">
        <f t="shared" si="72"/>
        <v>3.536915612759884E-2</v>
      </c>
      <c r="K20" s="245">
        <f>SUM(K17:M17)/3</f>
        <v>2.4636199673204462E-2</v>
      </c>
      <c r="L20" s="245">
        <f t="shared" si="72"/>
        <v>1.6680578855465356E-2</v>
      </c>
      <c r="M20" s="245">
        <f t="shared" si="72"/>
        <v>1.6477121993945184E-2</v>
      </c>
      <c r="N20" s="245">
        <f t="shared" si="72"/>
        <v>1.9265147693532547E-2</v>
      </c>
      <c r="O20" s="245">
        <f t="shared" si="72"/>
        <v>2.2868986734898799E-2</v>
      </c>
      <c r="P20" s="245">
        <f t="shared" si="72"/>
        <v>2.1686453678492989E-2</v>
      </c>
      <c r="Q20" s="245">
        <f t="shared" si="72"/>
        <v>1.4520955499872099E-2</v>
      </c>
      <c r="R20" s="245">
        <f t="shared" si="72"/>
        <v>1.2999188321036697E-2</v>
      </c>
      <c r="S20" s="245">
        <f t="shared" si="72"/>
        <v>1.1939306049636294E-2</v>
      </c>
      <c r="T20" s="245">
        <f t="shared" ref="T20" si="73">SUM(T17:V17)/3</f>
        <v>1.3870906339343432E-2</v>
      </c>
      <c r="U20" s="245">
        <f t="shared" ref="U20" si="74">SUM(U17:W17)/3</f>
        <v>1.0865962106710911E-2</v>
      </c>
      <c r="V20" s="245">
        <f>SUM(V17:X17)/3+0.96%</f>
        <v>1.8092818990984298E-2</v>
      </c>
      <c r="W20" s="245">
        <f>SUM(W17:Y17)/3+1%</f>
        <v>1.6119675875257693E-2</v>
      </c>
      <c r="X20" s="245">
        <f>SUM(X17:Z17)/3+0.4%</f>
        <v>1.4047731796596777E-2</v>
      </c>
      <c r="Y20" s="245">
        <f t="shared" si="72"/>
        <v>1.4916309835148073E-2</v>
      </c>
      <c r="Z20" s="245">
        <f t="shared" si="72"/>
        <v>2.0263525083476574E-2</v>
      </c>
      <c r="AA20" s="245">
        <f t="shared" si="72"/>
        <v>1.860467231883365E-2</v>
      </c>
      <c r="AB20" s="245">
        <f t="shared" si="72"/>
        <v>1.6476904662737112E-2</v>
      </c>
      <c r="AC20" s="245">
        <f t="shared" si="72"/>
        <v>1.3499555959286041E-2</v>
      </c>
      <c r="AD20" s="245">
        <f t="shared" si="72"/>
        <v>1.0804814408272334E-2</v>
      </c>
      <c r="AE20" s="245">
        <f t="shared" si="72"/>
        <v>7.9709689181671275E-3</v>
      </c>
      <c r="AF20" s="245">
        <f t="shared" si="72"/>
        <v>5.7593518007722881E-3</v>
      </c>
      <c r="AG20" s="245">
        <f t="shared" si="72"/>
        <v>3.7573020967510682E-3</v>
      </c>
      <c r="AH20" s="245">
        <v>0</v>
      </c>
      <c r="AI20" s="245">
        <v>0</v>
      </c>
      <c r="AJ20" s="245">
        <f t="shared" si="72"/>
        <v>2.0000992573913776E-2</v>
      </c>
      <c r="AK20" s="245">
        <f>SUM(AK17:AM17)/3+1%</f>
        <v>3.0226670018323729E-2</v>
      </c>
      <c r="AL20" s="245">
        <f>SUM(AL17:AN17)/3+1%</f>
        <v>3.5687082966764545E-2</v>
      </c>
      <c r="AM20" s="245">
        <f>SUM(AM17:AO17)/3+1%</f>
        <v>4.2691071001911239E-2</v>
      </c>
      <c r="AN20" s="245">
        <f t="shared" si="72"/>
        <v>3.7706141941479969E-2</v>
      </c>
      <c r="AO20" s="245">
        <f t="shared" si="72"/>
        <v>2.4859788464490256E-2</v>
      </c>
      <c r="AP20" s="245">
        <f t="shared" si="72"/>
        <v>1.2713441906799704E-2</v>
      </c>
      <c r="AQ20" s="245">
        <f t="shared" si="72"/>
        <v>5.8154420987930541E-3</v>
      </c>
      <c r="AR20" s="245">
        <f t="shared" si="72"/>
        <v>9.0402602996669801E-3</v>
      </c>
      <c r="AS20" s="245">
        <f t="shared" si="72"/>
        <v>1.3452098780788376E-2</v>
      </c>
      <c r="AT20" s="245">
        <f t="shared" si="72"/>
        <v>2.4431483846248436E-2</v>
      </c>
      <c r="AU20" s="245">
        <f t="shared" si="72"/>
        <v>3.6475836703462806E-2</v>
      </c>
      <c r="AV20" s="245">
        <f t="shared" si="72"/>
        <v>4.5541271226326265E-2</v>
      </c>
      <c r="AW20" s="245">
        <f t="shared" si="72"/>
        <v>3.7343334356121229E-2</v>
      </c>
      <c r="AX20" s="245">
        <f t="shared" si="72"/>
        <v>2.3988113840629544E-2</v>
      </c>
      <c r="AY20" s="245">
        <f t="shared" si="72"/>
        <v>1.116298403496613E-2</v>
      </c>
      <c r="AZ20" s="245">
        <f t="shared" si="72"/>
        <v>4.3191025217270635E-3</v>
      </c>
      <c r="BA20" s="245">
        <v>0</v>
      </c>
      <c r="BB20" s="245">
        <f t="shared" si="72"/>
        <v>0</v>
      </c>
    </row>
    <row r="21" spans="1:55" s="4" customFormat="1" hidden="1" x14ac:dyDescent="0.3">
      <c r="B21" s="4" t="s">
        <v>50</v>
      </c>
      <c r="C21" s="245">
        <f>SUM(C18:E18)/3</f>
        <v>6.5896999484765656E-3</v>
      </c>
      <c r="D21" s="245">
        <f>SUM(D18:F18)/3</f>
        <v>1.1915294156241365E-2</v>
      </c>
      <c r="E21" s="245">
        <f>SUM(E18:G18)/3</f>
        <v>1.8020254297959705E-2</v>
      </c>
      <c r="F21" s="245">
        <f>SUM(F18:H18)/3</f>
        <v>2.2865160137472959E-2</v>
      </c>
      <c r="G21" s="245">
        <f t="shared" ref="G21:BB21" si="75">SUM(G18:I18)/3</f>
        <v>2.7452070681633561E-2</v>
      </c>
      <c r="H21" s="245">
        <f t="shared" si="75"/>
        <v>3.0507770965880709E-2</v>
      </c>
      <c r="I21" s="245">
        <f t="shared" si="75"/>
        <v>3.2609613265638909E-2</v>
      </c>
      <c r="J21" s="245">
        <f t="shared" si="75"/>
        <v>3.054001227299305E-2</v>
      </c>
      <c r="K21" s="245">
        <f t="shared" si="75"/>
        <v>2.9729801760286834E-2</v>
      </c>
      <c r="L21" s="245">
        <f t="shared" si="75"/>
        <v>3.0958914419030082E-2</v>
      </c>
      <c r="M21" s="245">
        <f t="shared" si="75"/>
        <v>2.7152067401116517E-2</v>
      </c>
      <c r="N21" s="245">
        <f t="shared" si="75"/>
        <v>2.199899268830649E-2</v>
      </c>
      <c r="O21" s="245">
        <f t="shared" si="75"/>
        <v>1.5532755962339653E-2</v>
      </c>
      <c r="P21" s="245">
        <f t="shared" si="75"/>
        <v>1.7022255413335494E-2</v>
      </c>
      <c r="Q21" s="245">
        <f t="shared" si="75"/>
        <v>1.5709093400178693E-2</v>
      </c>
      <c r="R21" s="245">
        <f t="shared" si="75"/>
        <v>1.6318410840371982E-2</v>
      </c>
      <c r="S21" s="245">
        <f t="shared" si="75"/>
        <v>1.6392482984730172E-2</v>
      </c>
      <c r="T21" s="245">
        <f t="shared" ref="T21" si="76">SUM(T18:V18)/3</f>
        <v>1.9263321311203365E-2</v>
      </c>
      <c r="U21" s="245">
        <f t="shared" ref="U21" si="77">SUM(U18:W18)/3</f>
        <v>2.0737730383955568E-2</v>
      </c>
      <c r="V21" s="245">
        <f t="shared" ref="V21" si="78">SUM(V18:X18)/3</f>
        <v>2.1143433852233929E-2</v>
      </c>
      <c r="W21" s="245">
        <f>SUM(W18:Y18)/3-0.18%</f>
        <v>1.7462896773707999E-2</v>
      </c>
      <c r="X21" s="245">
        <f t="shared" si="75"/>
        <v>1.6579993477560302E-2</v>
      </c>
      <c r="Y21" s="245">
        <f t="shared" si="75"/>
        <v>1.3756047247163797E-2</v>
      </c>
      <c r="Z21" s="245">
        <f t="shared" si="75"/>
        <v>1.0732500853899282E-2</v>
      </c>
      <c r="AA21" s="245">
        <f>SUM(AA18:AC18)/3+1.8%</f>
        <v>2.6434884631935641E-2</v>
      </c>
      <c r="AB21" s="245">
        <f>SUM(AB18:AD18)/3+1%</f>
        <v>1.7190459098706899E-2</v>
      </c>
      <c r="AC21" s="245">
        <f t="shared" si="75"/>
        <v>1.1275305811725339E-2</v>
      </c>
      <c r="AD21" s="245">
        <f t="shared" si="75"/>
        <v>1.3391842319055366E-2</v>
      </c>
      <c r="AE21" s="245">
        <f t="shared" si="75"/>
        <v>1.5776175148732852E-2</v>
      </c>
      <c r="AF21" s="245">
        <f t="shared" si="75"/>
        <v>1.0705774288851451E-2</v>
      </c>
      <c r="AG21" s="245">
        <f t="shared" si="75"/>
        <v>5.8476421766423328E-3</v>
      </c>
      <c r="AH21" s="245">
        <v>0</v>
      </c>
      <c r="AI21" s="245">
        <v>0</v>
      </c>
      <c r="AJ21" s="245">
        <f>SUM(AJ18:AL18)/3+1%</f>
        <v>2.6300744291417974E-2</v>
      </c>
      <c r="AK21" s="245">
        <f>SUM(AK18:AM18)/3+1%</f>
        <v>2.7888442159660833E-2</v>
      </c>
      <c r="AL21" s="245">
        <f>SUM(AL18:AN18)/3+1%</f>
        <v>3.1830856542991177E-2</v>
      </c>
      <c r="AM21" s="245">
        <f t="shared" si="75"/>
        <v>2.4011416199192993E-2</v>
      </c>
      <c r="AN21" s="245">
        <f t="shared" si="75"/>
        <v>2.5309130836666919E-2</v>
      </c>
      <c r="AO21" s="245">
        <f t="shared" si="75"/>
        <v>2.3830486037540694E-2</v>
      </c>
      <c r="AP21" s="245">
        <f t="shared" si="75"/>
        <v>2.015945242381964E-2</v>
      </c>
      <c r="AQ21" s="245">
        <f t="shared" si="75"/>
        <v>1.512339568245367E-2</v>
      </c>
      <c r="AR21" s="245">
        <f t="shared" si="75"/>
        <v>1.6054695867127485E-2</v>
      </c>
      <c r="AS21" s="245">
        <f t="shared" si="75"/>
        <v>2.248164840190579E-2</v>
      </c>
      <c r="AT21" s="245">
        <f t="shared" si="75"/>
        <v>3.4024026892520619E-2</v>
      </c>
      <c r="AU21" s="245">
        <f t="shared" si="75"/>
        <v>3.0548970400087996E-2</v>
      </c>
      <c r="AV21" s="245">
        <f t="shared" si="75"/>
        <v>2.4563208808767084E-2</v>
      </c>
      <c r="AW21" s="245">
        <f t="shared" si="75"/>
        <v>2.3929031803647551E-2</v>
      </c>
      <c r="AX21" s="245">
        <f t="shared" si="75"/>
        <v>3.1317359145213053E-2</v>
      </c>
      <c r="AY21" s="245">
        <f t="shared" si="75"/>
        <v>3.5965925269822535E-2</v>
      </c>
      <c r="AZ21" s="245">
        <f t="shared" si="75"/>
        <v>2.2756537587970933E-2</v>
      </c>
      <c r="BA21" s="245">
        <f>SUM(BA18:BC18)/3+0.27%</f>
        <v>1.2247149906119331E-2</v>
      </c>
      <c r="BB21" s="245">
        <f t="shared" si="75"/>
        <v>0</v>
      </c>
    </row>
    <row r="22" spans="1:55" s="387" customFormat="1" x14ac:dyDescent="0.3">
      <c r="B22" s="387" t="s">
        <v>670</v>
      </c>
      <c r="C22" s="737"/>
      <c r="D22" s="737"/>
      <c r="E22" s="737"/>
      <c r="F22" s="737"/>
      <c r="G22" s="737"/>
      <c r="H22" s="737"/>
      <c r="I22" s="737"/>
      <c r="J22" s="737"/>
      <c r="K22" s="737"/>
      <c r="L22" s="737"/>
      <c r="M22" s="737"/>
      <c r="N22" s="737"/>
      <c r="O22" s="737"/>
      <c r="P22" s="737"/>
      <c r="Q22" s="737"/>
      <c r="R22" s="737"/>
      <c r="S22" s="737"/>
      <c r="T22" s="737"/>
      <c r="U22" s="737"/>
      <c r="V22" s="737"/>
      <c r="W22" s="737"/>
      <c r="X22" s="737"/>
      <c r="Y22" s="737"/>
      <c r="Z22" s="245"/>
      <c r="AA22" s="245"/>
      <c r="AB22" s="245"/>
      <c r="AC22" s="245"/>
      <c r="AD22" s="245"/>
      <c r="AE22" s="245"/>
      <c r="AF22" s="245"/>
      <c r="AG22" s="245"/>
      <c r="AH22" s="245"/>
      <c r="AI22" s="245"/>
      <c r="AJ22" s="245"/>
      <c r="AK22" s="245"/>
      <c r="AL22" s="245"/>
      <c r="AM22" s="245"/>
      <c r="AN22" s="245"/>
      <c r="AO22" s="245"/>
      <c r="AP22" s="245"/>
      <c r="AQ22" s="245"/>
      <c r="AR22" s="245"/>
      <c r="AS22" s="245"/>
      <c r="AT22" s="245"/>
      <c r="AU22" s="245"/>
      <c r="AV22" s="245"/>
      <c r="AW22" s="245"/>
      <c r="AX22" s="245"/>
      <c r="AY22" s="245"/>
      <c r="AZ22" s="245"/>
      <c r="BA22" s="245"/>
      <c r="BB22" s="245"/>
    </row>
    <row r="23" spans="1:55" s="387" customFormat="1" x14ac:dyDescent="0.3">
      <c r="C23" s="737"/>
      <c r="D23" s="737"/>
      <c r="E23" s="737"/>
      <c r="F23" s="737"/>
      <c r="G23" s="737"/>
      <c r="H23" s="737"/>
      <c r="I23" s="737"/>
      <c r="J23" s="737"/>
      <c r="K23" s="737"/>
      <c r="L23" s="737"/>
      <c r="M23" s="737"/>
      <c r="N23" s="737"/>
      <c r="O23" s="737"/>
      <c r="P23" s="737"/>
      <c r="Q23" s="737"/>
      <c r="R23" s="737"/>
      <c r="S23" s="737"/>
      <c r="T23" s="737"/>
      <c r="U23" s="737"/>
      <c r="V23" s="737"/>
      <c r="W23" s="737"/>
      <c r="X23" s="737"/>
      <c r="Y23" s="737"/>
      <c r="Z23" s="245"/>
      <c r="AA23" s="245"/>
      <c r="AB23" s="245"/>
      <c r="AC23" s="245"/>
      <c r="AD23" s="245"/>
      <c r="AE23" s="245"/>
      <c r="AF23" s="245"/>
      <c r="AG23" s="245"/>
      <c r="AH23" s="245"/>
      <c r="AI23" s="245"/>
      <c r="AJ23" s="245"/>
      <c r="AK23" s="245"/>
      <c r="AL23" s="245"/>
      <c r="AM23" s="245"/>
      <c r="AN23" s="245"/>
      <c r="AO23" s="245"/>
      <c r="AP23" s="245"/>
      <c r="AQ23" s="245"/>
      <c r="AR23" s="245"/>
      <c r="AS23" s="245"/>
      <c r="AT23" s="245"/>
      <c r="AU23" s="245"/>
      <c r="AV23" s="245"/>
      <c r="AW23" s="245"/>
      <c r="AX23" s="245"/>
      <c r="AY23" s="245"/>
      <c r="AZ23" s="245"/>
      <c r="BA23" s="245"/>
      <c r="BB23" s="245"/>
    </row>
    <row r="24" spans="1:55" s="387" customFormat="1" x14ac:dyDescent="0.3">
      <c r="C24" s="737"/>
      <c r="D24" s="737"/>
      <c r="E24" s="737"/>
      <c r="F24" s="737"/>
      <c r="G24" s="737"/>
      <c r="H24" s="737"/>
      <c r="I24" s="737"/>
      <c r="J24" s="737"/>
      <c r="K24" s="737"/>
      <c r="L24" s="737"/>
      <c r="M24" s="737"/>
      <c r="N24" s="737"/>
      <c r="O24" s="737"/>
      <c r="P24" s="737"/>
      <c r="Q24" s="737"/>
      <c r="R24" s="737"/>
      <c r="S24" s="737"/>
      <c r="T24" s="737"/>
      <c r="U24" s="737"/>
      <c r="V24" s="737"/>
      <c r="W24" s="737"/>
      <c r="X24" s="737"/>
      <c r="Y24" s="737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M24" s="245"/>
      <c r="AN24" s="245"/>
      <c r="AO24" s="245"/>
      <c r="AP24" s="245"/>
      <c r="AQ24" s="245"/>
      <c r="AR24" s="245"/>
      <c r="AS24" s="245"/>
      <c r="AT24" s="245"/>
      <c r="AU24" s="245"/>
      <c r="AV24" s="245"/>
      <c r="AW24" s="245"/>
      <c r="AX24" s="245"/>
      <c r="AY24" s="245"/>
      <c r="AZ24" s="245"/>
      <c r="BA24" s="245"/>
      <c r="BB24" s="245"/>
    </row>
    <row r="25" spans="1:55" x14ac:dyDescent="0.3">
      <c r="B25" s="725" t="s">
        <v>819</v>
      </c>
      <c r="C25" s="637">
        <f>SUMIFS(tbl_DCFC[C Montant € HT],tbl_DCFC[CW ORDER],C$1,tbl_DCFC[BU_Key],"GSE")</f>
        <v>0</v>
      </c>
      <c r="D25" s="637">
        <f>SUMIFS(tbl_DCFC[C Montant € HT],tbl_DCFC[CW ORDER],D$1,tbl_DCFC[BU_Key],"GSE")</f>
        <v>0</v>
      </c>
      <c r="E25" s="637">
        <f>SUMIFS(tbl_DCFC[C Montant € HT],tbl_DCFC[CW ORDER],E$1,tbl_DCFC[BU_Key],"GSE")</f>
        <v>0</v>
      </c>
      <c r="F25" s="637">
        <f>SUMIFS(tbl_DCFC[C Montant € HT],tbl_DCFC[CW ORDER],F$1,tbl_DCFC[BU_Key],"GSE")</f>
        <v>0</v>
      </c>
      <c r="G25" s="637">
        <f>SUMIFS(tbl_DCFC[C Montant € HT],tbl_DCFC[CW ORDER],G$1,tbl_DCFC[BU_Key],"GSE")</f>
        <v>0</v>
      </c>
      <c r="H25" s="637">
        <f>SUMIFS(tbl_DCFC[C Montant € HT],tbl_DCFC[CW ORDER],H$1,tbl_DCFC[BU_Key],"GSE")</f>
        <v>0</v>
      </c>
      <c r="I25" s="637">
        <f>SUMIFS(tbl_DCFC[C Montant € HT],tbl_DCFC[CW ORDER],I$1,tbl_DCFC[BU_Key],"GSE")</f>
        <v>0</v>
      </c>
      <c r="J25" s="637">
        <f>SUMIFS(tbl_DCFC[C Montant € HT],tbl_DCFC[CW ORDER],J$1,tbl_DCFC[BU_Key],"GSE")</f>
        <v>8579</v>
      </c>
      <c r="K25" s="637">
        <f>SUMIFS(tbl_DCFC[C Montant € HT],tbl_DCFC[CW ORDER],K$1,tbl_DCFC[BU_Key],"GSE")</f>
        <v>0</v>
      </c>
      <c r="L25" s="637">
        <f>SUMIFS(tbl_DCFC[C Montant € HT],tbl_DCFC[CW ORDER],L$1,tbl_DCFC[BU_Key],"GSE")</f>
        <v>0</v>
      </c>
      <c r="M25" s="637">
        <f>SUMIFS(tbl_DCFC[C Montant € HT],tbl_DCFC[CW ORDER],M$1,tbl_DCFC[BU_Key],"GSE")</f>
        <v>0</v>
      </c>
      <c r="N25" s="637">
        <f>SUMIFS(tbl_DCFC[C Montant € HT],tbl_DCFC[CW ORDER],N$1,tbl_DCFC[BU_Key],"GSE")</f>
        <v>0</v>
      </c>
      <c r="O25" s="637">
        <f>SUMIFS(tbl_DCFC[C Montant € HT],tbl_DCFC[CW ORDER],O$1,tbl_DCFC[BU_Key],"GSE")</f>
        <v>0</v>
      </c>
      <c r="P25" s="637">
        <f>SUMIFS(tbl_DCFC[C Montant € HT],tbl_DCFC[CW ORDER],P$1,tbl_DCFC[BU_Key],"GSE")</f>
        <v>0</v>
      </c>
      <c r="Q25" s="637">
        <f>SUMIFS(tbl_DCFC[C Montant € HT],tbl_DCFC[CW ORDER],Q$1,tbl_DCFC[BU_Key],"GSE")</f>
        <v>0</v>
      </c>
      <c r="R25" s="637">
        <f>SUMIFS(tbl_DCFC[C Montant € HT],tbl_DCFC[CW ORDER],R$1,tbl_DCFC[BU_Key],"GSE")</f>
        <v>0</v>
      </c>
      <c r="S25" s="637">
        <f>SUMIFS(tbl_DCFC[C Montant € HT],tbl_DCFC[CW ORDER],S$1,tbl_DCFC[BU_Key],"GSE")</f>
        <v>0</v>
      </c>
      <c r="T25" s="637">
        <f>SUMIFS(tbl_DCFC[C Montant € HT],tbl_DCFC[CW ORDER],T$1,tbl_DCFC[BU_Key],"GSE")</f>
        <v>0</v>
      </c>
      <c r="U25" s="637">
        <f>SUMIFS(tbl_DCFC[C Montant € HT],tbl_DCFC[CW ORDER],U$1,tbl_DCFC[BU_Key],"GSE")</f>
        <v>0</v>
      </c>
      <c r="V25" s="637">
        <f>SUMIFS(tbl_DCFC[C Montant € HT],tbl_DCFC[CW ORDER],V$1,tbl_DCFC[BU_Key],"GSE")</f>
        <v>0</v>
      </c>
      <c r="W25" s="637">
        <f>SUMIFS(tbl_DCFC[C Montant € HT],tbl_DCFC[CW ORDER],W$1,tbl_DCFC[BU_Key],"GSE")</f>
        <v>0</v>
      </c>
      <c r="X25" s="637">
        <f>SUMIFS(tbl_DCFC[C Montant € HT],tbl_DCFC[CW ORDER],X$1,tbl_DCFC[BU_Key],"GSE")</f>
        <v>0</v>
      </c>
      <c r="Y25" s="637">
        <f>SUMIFS(tbl_DCFC[C Montant € HT],tbl_DCFC[CW ORDER],Y$1,tbl_DCFC[BU_Key],"GSE")</f>
        <v>0</v>
      </c>
      <c r="Z25" s="637">
        <f>SUMIFS(tbl_DCFC[C Montant € HT],tbl_DCFC[CW ORDER],Z$1,tbl_DCFC[BU_Key],"GSE")</f>
        <v>0</v>
      </c>
      <c r="AA25" s="637">
        <f>SUMIFS(tbl_DCFC[C Montant € HT],tbl_DCFC[CW ORDER],AA$1,tbl_DCFC[BU_Key],"GSE")</f>
        <v>0</v>
      </c>
      <c r="AB25" s="637">
        <f>SUMIFS(tbl_DCFC[C Montant € HT],tbl_DCFC[CW ORDER],AB$1,tbl_DCFC[BU_Key],"GSE")</f>
        <v>0</v>
      </c>
      <c r="AC25" s="637">
        <f>SUMIFS(tbl_DCFC[C Montant € HT],tbl_DCFC[CW ORDER],AC$1,tbl_DCFC[BU_Key],"GSE")</f>
        <v>0</v>
      </c>
      <c r="AD25" s="637">
        <f>SUMIFS(tbl_DCFC[C Montant € HT],tbl_DCFC[CW ORDER],AD$1,tbl_DCFC[BU_Key],"GSE")</f>
        <v>0</v>
      </c>
      <c r="AE25" s="637">
        <f>SUMIFS(tbl_DCFC[C Montant € HT],tbl_DCFC[CW ORDER],AE$1,tbl_DCFC[BU_Key],"GSE")</f>
        <v>0</v>
      </c>
      <c r="AF25" s="637">
        <f>SUMIFS(tbl_DCFC[C Montant € HT],tbl_DCFC[CW ORDER],AF$1,tbl_DCFC[BU_Key],"GSE")</f>
        <v>0</v>
      </c>
      <c r="AG25" s="637">
        <f>SUMIFS(tbl_DCFC[C Montant € HT],tbl_DCFC[CW ORDER],AG$1,tbl_DCFC[BU_Key],"GSE")</f>
        <v>0</v>
      </c>
      <c r="AH25" s="637">
        <f>SUMIFS(tbl_DCFC[C Montant € HT],tbl_DCFC[CW ORDER],AH$1,tbl_DCFC[BU_Key],"GSE")</f>
        <v>0</v>
      </c>
      <c r="AI25" s="637">
        <f>SUMIFS(tbl_DCFC[C Montant € HT],tbl_DCFC[CW ORDER],AI$1,tbl_DCFC[BU_Key],"GSE")</f>
        <v>0</v>
      </c>
      <c r="AJ25" s="637">
        <f>SUMIFS(tbl_DCFC[C Montant € HT],tbl_DCFC[CW ORDER],AJ$1,tbl_DCFC[BU_Key],"GSE")</f>
        <v>0</v>
      </c>
      <c r="AK25" s="637">
        <f>SUMIFS(tbl_DCFC[C Montant € HT],tbl_DCFC[CW ORDER],AK$1,tbl_DCFC[BU_Key],"GSE")</f>
        <v>0</v>
      </c>
      <c r="AL25" s="637">
        <f>SUMIFS(tbl_DCFC[C Montant € HT],tbl_DCFC[CW ORDER],AL$1,tbl_DCFC[BU_Key],"GSE")</f>
        <v>0</v>
      </c>
      <c r="AM25" s="637">
        <f>SUMIFS(tbl_DCFC[C Montant € HT],tbl_DCFC[CW ORDER],AM$1,tbl_DCFC[BU_Key],"GSE")</f>
        <v>0</v>
      </c>
      <c r="AN25" s="637">
        <f>SUMIFS(tbl_DCFC[C Montant € HT],tbl_DCFC[CW ORDER],AN$1,tbl_DCFC[BU_Key],"GSE")</f>
        <v>0</v>
      </c>
      <c r="AO25" s="637">
        <f>SUMIFS(tbl_DCFC[C Montant € HT],tbl_DCFC[CW ORDER],AO$1,tbl_DCFC[BU_Key],"GSE")</f>
        <v>0</v>
      </c>
      <c r="AP25" s="637">
        <f>SUMIFS(tbl_DCFC[C Montant € HT],tbl_DCFC[CW ORDER],AP$1,tbl_DCFC[BU_Key],"GSE")</f>
        <v>0</v>
      </c>
      <c r="AQ25" s="637">
        <f>SUMIFS(tbl_DCFC[D Montant € HT],tbl_DCFC[Date Devis],AQ$1,tbl_DCFC[Spalte10],"GSE")</f>
        <v>0</v>
      </c>
      <c r="AR25" s="637">
        <f>SUMIFS(tbl_DCFC[C Montant € HT],tbl_DCFC[CW ORDER],AR$1,tbl_DCFC[BU_Key],"GSE")</f>
        <v>0</v>
      </c>
      <c r="AS25" s="637">
        <f>SUMIFS(tbl_DCFC[C Montant € HT],tbl_DCFC[CW ORDER],AS$1,tbl_DCFC[BU_Key],"GSE")</f>
        <v>0</v>
      </c>
      <c r="AT25" s="637">
        <f>SUMIFS(tbl_DCFC[C Montant € HT],tbl_DCFC[CW ORDER],AT$1,tbl_DCFC[BU_Key],"GSE")</f>
        <v>0</v>
      </c>
      <c r="AU25" s="637">
        <f>SUMIFS(tbl_DCFC[C Montant € HT],tbl_DCFC[CW ORDER],AU$1,tbl_DCFC[BU_Key],"GSE")</f>
        <v>0</v>
      </c>
      <c r="AV25" s="637">
        <f>SUMIFS(tbl_DCFC[C Montant € HT],tbl_DCFC[CW ORDER],AV$1,tbl_DCFC[BU_Key],"GSE")</f>
        <v>0</v>
      </c>
      <c r="AW25" s="637">
        <f>SUMIFS(tbl_DCFC[C Montant € HT],tbl_DCFC[CW ORDER],AW$1,tbl_DCFC[BU_Key],"GSE")</f>
        <v>0</v>
      </c>
      <c r="AX25" s="637">
        <f>SUMIFS(tbl_DCFC[C Montant € HT],tbl_DCFC[CW ORDER],AX$1,tbl_DCFC[BU_Key],"GSE")</f>
        <v>0</v>
      </c>
      <c r="AY25" s="637">
        <f>SUMIFS(tbl_DCFC[C Montant € HT],tbl_DCFC[CW ORDER],AY$1,tbl_DCFC[BU_Key],"GSE")</f>
        <v>0</v>
      </c>
      <c r="AZ25" s="637">
        <f>SUMIFS(tbl_DCFC[C Montant € HT],tbl_DCFC[CW ORDER],AZ$1,tbl_DCFC[BU_Key],"GSE")</f>
        <v>0</v>
      </c>
      <c r="BA25" s="637">
        <f>SUMIFS(tbl_DCFC[C Montant € HT],tbl_DCFC[CW ORDER],BA$1,tbl_DCFC[BU_Key],"GSE")</f>
        <v>0</v>
      </c>
      <c r="BB25" s="637">
        <f>SUMIFS(tbl_DCFC[C Montant € HT],tbl_DCFC[CW ORDER],BB$1,tbl_DCFC[BU_Key],"GSE")</f>
        <v>0</v>
      </c>
    </row>
    <row r="26" spans="1:55" x14ac:dyDescent="0.3">
      <c r="B26" s="725" t="s">
        <v>820</v>
      </c>
      <c r="C26" s="637">
        <f>SUMIFS(tbl_DCFC[C Montant € HT],tbl_DCFC[CW ORDER],C$1,tbl_DCFC[BU_Key],"TOO")</f>
        <v>0</v>
      </c>
      <c r="D26" s="637">
        <f>SUMIFS(tbl_DCFC[C Montant € HT],tbl_DCFC[CW ORDER],D$1,tbl_DCFC[BU_Key],"TOO")</f>
        <v>0</v>
      </c>
      <c r="E26" s="637">
        <f>SUMIFS(tbl_DCFC[C Montant € HT],tbl_DCFC[CW ORDER],E$1,tbl_DCFC[BU_Key],"TOO")</f>
        <v>0</v>
      </c>
      <c r="F26" s="637">
        <f>SUMIFS(tbl_DCFC[C Montant € HT],tbl_DCFC[CW ORDER],F$1,tbl_DCFC[BU_Key],"TOO")</f>
        <v>0</v>
      </c>
      <c r="G26" s="637">
        <f>SUMIFS(tbl_DCFC[C Montant € HT],tbl_DCFC[CW ORDER],G$1,tbl_DCFC[BU_Key],"TOO")</f>
        <v>0</v>
      </c>
      <c r="H26" s="637">
        <f>SUMIFS(tbl_DCFC[C Montant € HT],tbl_DCFC[CW ORDER],H$1,tbl_DCFC[BU_Key],"TOO")</f>
        <v>0</v>
      </c>
      <c r="I26" s="637">
        <f>SUMIFS(tbl_DCFC[C Montant € HT],tbl_DCFC[CW ORDER],I$1,tbl_DCFC[BU_Key],"TOO")</f>
        <v>0</v>
      </c>
      <c r="J26" s="637">
        <f>SUMIFS(tbl_DCFC[C Montant € HT],tbl_DCFC[CW ORDER],J$1,tbl_DCFC[BU_Key],"TOO")</f>
        <v>9590</v>
      </c>
      <c r="K26" s="637">
        <f>SUMIFS(tbl_DCFC[C Montant € HT],tbl_DCFC[CW ORDER],K$1,tbl_DCFC[BU_Key],"TOO")</f>
        <v>0</v>
      </c>
      <c r="L26" s="637">
        <f>SUMIFS(tbl_DCFC[C Montant € HT],tbl_DCFC[CW ORDER],L$1,tbl_DCFC[BU_Key],"TOO")</f>
        <v>0</v>
      </c>
      <c r="M26" s="637">
        <f>SUMIFS(tbl_DCFC[C Montant € HT],tbl_DCFC[CW ORDER],M$1,tbl_DCFC[BU_Key],"TOO")</f>
        <v>0</v>
      </c>
      <c r="N26" s="637">
        <f>SUMIFS(tbl_DCFC[C Montant € HT],tbl_DCFC[CW ORDER],N$1,tbl_DCFC[BU_Key],"TOO")</f>
        <v>0</v>
      </c>
      <c r="O26" s="637">
        <f>SUMIFS(tbl_DCFC[C Montant € HT],tbl_DCFC[CW ORDER],O$1,tbl_DCFC[BU_Key],"TOO")</f>
        <v>186</v>
      </c>
      <c r="P26" s="637">
        <f>SUMIFS(tbl_DCFC[C Montant € HT],tbl_DCFC[CW ORDER],P$1,tbl_DCFC[BU_Key],"TOO")</f>
        <v>0</v>
      </c>
      <c r="Q26" s="637">
        <f>SUMIFS(tbl_DCFC[C Montant € HT],tbl_DCFC[CW ORDER],Q$1,tbl_DCFC[BU_Key],"TOO")</f>
        <v>0</v>
      </c>
      <c r="R26" s="637">
        <f>SUMIFS(tbl_DCFC[C Montant € HT],tbl_DCFC[CW ORDER],R$1,tbl_DCFC[BU_Key],"TOO")</f>
        <v>0</v>
      </c>
      <c r="S26" s="637">
        <f>SUMIFS(tbl_DCFC[C Montant € HT],tbl_DCFC[CW ORDER],S$1,tbl_DCFC[BU_Key],"TOO")</f>
        <v>0</v>
      </c>
      <c r="T26" s="637">
        <f>SUMIFS(tbl_DCFC[C Montant € HT],tbl_DCFC[CW ORDER],T$1,tbl_DCFC[BU_Key],"TOO")</f>
        <v>0</v>
      </c>
      <c r="U26" s="637">
        <f>SUMIFS(tbl_DCFC[C Montant € HT],tbl_DCFC[CW ORDER],U$1,tbl_DCFC[BU_Key],"TOO")</f>
        <v>0</v>
      </c>
      <c r="V26" s="637">
        <f>SUMIFS(tbl_DCFC[C Montant € HT],tbl_DCFC[CW ORDER],V$1,tbl_DCFC[BU_Key],"TOO")</f>
        <v>0</v>
      </c>
      <c r="W26" s="637">
        <f>SUMIFS(tbl_DCFC[C Montant € HT],tbl_DCFC[CW ORDER],W$1,tbl_DCFC[BU_Key],"TOO")</f>
        <v>0</v>
      </c>
      <c r="X26" s="637">
        <f>SUMIFS(tbl_DCFC[C Montant € HT],tbl_DCFC[CW ORDER],X$1,tbl_DCFC[BU_Key],"TOO")</f>
        <v>0</v>
      </c>
      <c r="Y26" s="637">
        <f>SUMIFS(tbl_DCFC[C Montant € HT],tbl_DCFC[CW ORDER],Y$1,tbl_DCFC[BU_Key],"TOO")</f>
        <v>0</v>
      </c>
      <c r="Z26" s="637">
        <f>SUMIFS(tbl_DCFC[C Montant € HT],tbl_DCFC[CW ORDER],Z$1,tbl_DCFC[BU_Key],"TOO")</f>
        <v>0</v>
      </c>
      <c r="AA26" s="637">
        <f>SUMIFS(tbl_DCFC[C Montant € HT],tbl_DCFC[CW ORDER],AA$1,tbl_DCFC[BU_Key],"TOO")</f>
        <v>0</v>
      </c>
      <c r="AB26" s="637">
        <f>SUMIFS(tbl_DCFC[C Montant € HT],tbl_DCFC[CW ORDER],AB$1,tbl_DCFC[BU_Key],"TOO")</f>
        <v>0</v>
      </c>
      <c r="AC26" s="637">
        <f>SUMIFS(tbl_DCFC[C Montant € HT],tbl_DCFC[CW ORDER],AC$1,tbl_DCFC[BU_Key],"TOO")</f>
        <v>0</v>
      </c>
      <c r="AD26" s="637">
        <f>SUMIFS(tbl_DCFC[C Montant € HT],tbl_DCFC[CW ORDER],AD$1,tbl_DCFC[BU_Key],"TOO")</f>
        <v>0</v>
      </c>
      <c r="AE26" s="637">
        <f>SUMIFS(tbl_DCFC[C Montant € HT],tbl_DCFC[CW ORDER],AE$1,tbl_DCFC[BU_Key],"TOO")</f>
        <v>0</v>
      </c>
      <c r="AF26" s="637">
        <f>SUMIFS(tbl_DCFC[C Montant € HT],tbl_DCFC[CW ORDER],AF$1,tbl_DCFC[BU_Key],"TOO")</f>
        <v>0</v>
      </c>
      <c r="AG26" s="637">
        <f>SUMIFS(tbl_DCFC[C Montant € HT],tbl_DCFC[CW ORDER],AG$1,tbl_DCFC[BU_Key],"TOO")</f>
        <v>0</v>
      </c>
      <c r="AH26" s="637">
        <f>SUMIFS(tbl_DCFC[C Montant € HT],tbl_DCFC[CW ORDER],AH$1,tbl_DCFC[BU_Key],"TOO")</f>
        <v>0</v>
      </c>
      <c r="AI26" s="637">
        <f>SUMIFS(tbl_DCFC[C Montant € HT],tbl_DCFC[CW ORDER],AI$1,tbl_DCFC[BU_Key],"TOO")</f>
        <v>0</v>
      </c>
      <c r="AJ26" s="637">
        <f>SUMIFS(tbl_DCFC[C Montant € HT],tbl_DCFC[CW ORDER],AJ$1,tbl_DCFC[BU_Key],"TOO")</f>
        <v>0</v>
      </c>
      <c r="AK26" s="637">
        <f>SUMIFS(tbl_DCFC[C Montant € HT],tbl_DCFC[CW ORDER],AK$1,tbl_DCFC[BU_Key],"TOO")</f>
        <v>0</v>
      </c>
      <c r="AL26" s="637">
        <f>SUMIFS(tbl_DCFC[C Montant € HT],tbl_DCFC[CW ORDER],AL$1,tbl_DCFC[BU_Key],"TOO")</f>
        <v>0</v>
      </c>
      <c r="AM26" s="637">
        <f>SUMIFS(tbl_DCFC[C Montant € HT],tbl_DCFC[CW ORDER],AM$1,tbl_DCFC[BU_Key],"TOO")</f>
        <v>0</v>
      </c>
      <c r="AN26" s="637">
        <f>SUMIFS(tbl_DCFC[C Montant € HT],tbl_DCFC[CW ORDER],AN$1,tbl_DCFC[BU_Key],"TOO")</f>
        <v>0</v>
      </c>
      <c r="AO26" s="637">
        <f>SUMIFS(tbl_DCFC[C Montant € HT],tbl_DCFC[CW ORDER],AO$1,tbl_DCFC[BU_Key],"TOO")</f>
        <v>0</v>
      </c>
      <c r="AP26" s="637">
        <f>SUMIFS(tbl_DCFC[C Montant € HT],tbl_DCFC[CW ORDER],AP$1,tbl_DCFC[BU_Key],"TOO")</f>
        <v>0</v>
      </c>
      <c r="AQ26" s="637">
        <f>SUMIFS(tbl_DCFC[D Montant € HT],tbl_DCFC[Date Devis],AQ$1,tbl_DCFC[Spalte10],"TOO")</f>
        <v>0</v>
      </c>
      <c r="AR26" s="637">
        <f>SUMIFS(tbl_DCFC[C Montant € HT],tbl_DCFC[CW ORDER],AR$1,tbl_DCFC[BU_Key],"TOO")</f>
        <v>0</v>
      </c>
      <c r="AS26" s="637">
        <f>SUMIFS(tbl_DCFC[C Montant € HT],tbl_DCFC[CW ORDER],AS$1,tbl_DCFC[BU_Key],"TOO")</f>
        <v>0</v>
      </c>
      <c r="AT26" s="637">
        <f>SUMIFS(tbl_DCFC[C Montant € HT],tbl_DCFC[CW ORDER],AT$1,tbl_DCFC[BU_Key],"TOO")</f>
        <v>0</v>
      </c>
      <c r="AU26" s="637">
        <f>SUMIFS(tbl_DCFC[C Montant € HT],tbl_DCFC[CW ORDER],AU$1,tbl_DCFC[BU_Key],"TOO")</f>
        <v>0</v>
      </c>
      <c r="AV26" s="637">
        <f>SUMIFS(tbl_DCFC[C Montant € HT],tbl_DCFC[CW ORDER],AV$1,tbl_DCFC[BU_Key],"TOO")</f>
        <v>0</v>
      </c>
      <c r="AW26" s="637">
        <f>SUMIFS(tbl_DCFC[C Montant € HT],tbl_DCFC[CW ORDER],AW$1,tbl_DCFC[BU_Key],"TOO")</f>
        <v>0</v>
      </c>
      <c r="AX26" s="637">
        <f>SUMIFS(tbl_DCFC[C Montant € HT],tbl_DCFC[CW ORDER],AX$1,tbl_DCFC[BU_Key],"TOO")</f>
        <v>0</v>
      </c>
      <c r="AY26" s="637">
        <f>SUMIFS(tbl_DCFC[C Montant € HT],tbl_DCFC[CW ORDER],AY$1,tbl_DCFC[BU_Key],"TOO")</f>
        <v>0</v>
      </c>
      <c r="AZ26" s="637">
        <f>SUMIFS(tbl_DCFC[C Montant € HT],tbl_DCFC[CW ORDER],AZ$1,tbl_DCFC[BU_Key],"TOO")</f>
        <v>0</v>
      </c>
      <c r="BA26" s="637">
        <f>SUMIFS(tbl_DCFC[C Montant € HT],tbl_DCFC[CW ORDER],BA$1,tbl_DCFC[BU_Key],"TOO")</f>
        <v>0</v>
      </c>
      <c r="BB26" s="637">
        <f>SUMIFS(tbl_DCFC[C Montant € HT],tbl_DCFC[CW ORDER],BB$1,tbl_DCFC[BU_Key],"TOO")</f>
        <v>0</v>
      </c>
    </row>
    <row r="27" spans="1:55" x14ac:dyDescent="0.3">
      <c r="B27" s="725" t="s">
        <v>821</v>
      </c>
      <c r="C27" s="637">
        <f>SUMIFS(tbl_DCFC[C Montant € HT],tbl_DCFC[CW ORDER],C$1,tbl_DCFC[BU_Key],"SER")</f>
        <v>0</v>
      </c>
      <c r="D27" s="637">
        <f>SUMIFS(tbl_DCFC[C Montant € HT],tbl_DCFC[CW ORDER],D$1,tbl_DCFC[BU_Key],"SER")</f>
        <v>12384</v>
      </c>
      <c r="E27" s="637">
        <f>SUMIFS(tbl_DCFC[C Montant € HT],tbl_DCFC[CW ORDER],E$1,tbl_DCFC[BU_Key],"SER")</f>
        <v>660</v>
      </c>
      <c r="F27" s="637">
        <f>SUMIFS(tbl_DCFC[C Montant € HT],tbl_DCFC[CW ORDER],F$1,tbl_DCFC[BU_Key],"SER")</f>
        <v>8736</v>
      </c>
      <c r="G27" s="637">
        <f>SUMIFS(tbl_DCFC[C Montant € HT],tbl_DCFC[CW ORDER],G$1,tbl_DCFC[BU_Key],"SER")</f>
        <v>5150</v>
      </c>
      <c r="H27" s="637">
        <f>SUMIFS(tbl_DCFC[C Montant € HT],tbl_DCFC[CW ORDER],H$1,tbl_DCFC[BU_Key],"SER")</f>
        <v>3180</v>
      </c>
      <c r="I27" s="637">
        <f>SUMIFS(tbl_DCFC[C Montant € HT],tbl_DCFC[CW ORDER],I$1,tbl_DCFC[BU_Key],"SER")</f>
        <v>77275</v>
      </c>
      <c r="J27" s="637">
        <f>SUMIFS(tbl_DCFC[C Montant € HT],tbl_DCFC[CW ORDER],J$1,tbl_DCFC[BU_Key],"SER")</f>
        <v>14908</v>
      </c>
      <c r="K27" s="637">
        <f>SUMIFS(tbl_DCFC[C Montant € HT],tbl_DCFC[CW ORDER],K$1,tbl_DCFC[BU_Key],"SER")</f>
        <v>8097</v>
      </c>
      <c r="L27" s="637">
        <f>SUMIFS(tbl_DCFC[C Montant € HT],tbl_DCFC[CW ORDER],L$1,tbl_DCFC[BU_Key],"SER")</f>
        <v>13676</v>
      </c>
      <c r="M27" s="637">
        <f>SUMIFS(tbl_DCFC[C Montant € HT],tbl_DCFC[CW ORDER],M$1,tbl_DCFC[BU_Key],"SER")</f>
        <v>2396</v>
      </c>
      <c r="N27" s="637">
        <f>SUMIFS(tbl_DCFC[C Montant € HT],tbl_DCFC[CW ORDER],N$1,tbl_DCFC[BU_Key],"SER")</f>
        <v>12223</v>
      </c>
      <c r="O27" s="637">
        <f>SUMIFS(tbl_DCFC[C Montant € HT],tbl_DCFC[CW ORDER],O$1,tbl_DCFC[BU_Key],"SER")</f>
        <v>1200</v>
      </c>
      <c r="P27" s="637">
        <f>SUMIFS(tbl_DCFC[C Montant € HT],tbl_DCFC[CW ORDER],P$1,tbl_DCFC[BU_Key],"SER")</f>
        <v>15131</v>
      </c>
      <c r="Q27" s="637">
        <f>SUMIFS(tbl_DCFC[C Montant € HT],tbl_DCFC[CW ORDER],Q$1,tbl_DCFC[BU_Key],"SER")</f>
        <v>0</v>
      </c>
      <c r="R27" s="637">
        <f>SUMIFS(tbl_DCFC[C Montant € HT],tbl_DCFC[CW ORDER],R$1,tbl_DCFC[BU_Key],"SER")</f>
        <v>0</v>
      </c>
      <c r="S27" s="637">
        <f>SUMIFS(tbl_DCFC[C Montant € HT],tbl_DCFC[CW ORDER],S$1,tbl_DCFC[BU_Key],"SER")</f>
        <v>0</v>
      </c>
      <c r="T27" s="637">
        <f>SUMIFS(tbl_DCFC[C Montant € HT],tbl_DCFC[CW ORDER],T$1,tbl_DCFC[BU_Key],"SER")</f>
        <v>0</v>
      </c>
      <c r="U27" s="637">
        <f>SUMIFS(tbl_DCFC[C Montant € HT],tbl_DCFC[CW ORDER],U$1,tbl_DCFC[BU_Key],"SER")</f>
        <v>0</v>
      </c>
      <c r="V27" s="637">
        <f>SUMIFS(tbl_DCFC[C Montant € HT],tbl_DCFC[CW ORDER],V$1,tbl_DCFC[BU_Key],"SER")</f>
        <v>0</v>
      </c>
      <c r="W27" s="637">
        <f>SUMIFS(tbl_DCFC[C Montant € HT],tbl_DCFC[CW ORDER],W$1,tbl_DCFC[BU_Key],"SER")</f>
        <v>0</v>
      </c>
      <c r="X27" s="637">
        <f>SUMIFS(tbl_DCFC[C Montant € HT],tbl_DCFC[CW ORDER],X$1,tbl_DCFC[BU_Key],"SER")</f>
        <v>0</v>
      </c>
      <c r="Y27" s="637">
        <f>SUMIFS(tbl_DCFC[C Montant € HT],tbl_DCFC[CW ORDER],Y$1,tbl_DCFC[BU_Key],"SER")</f>
        <v>0</v>
      </c>
      <c r="Z27" s="637">
        <f>SUMIFS(tbl_DCFC[C Montant € HT],tbl_DCFC[CW ORDER],Z$1,tbl_DCFC[BU_Key],"SER")</f>
        <v>0</v>
      </c>
      <c r="AA27" s="637">
        <f>SUMIFS(tbl_DCFC[C Montant € HT],tbl_DCFC[CW ORDER],AA$1,tbl_DCFC[BU_Key],"SER")</f>
        <v>0</v>
      </c>
      <c r="AB27" s="637">
        <f>SUMIFS(tbl_DCFC[C Montant € HT],tbl_DCFC[CW ORDER],AB$1,tbl_DCFC[BU_Key],"SER")</f>
        <v>0</v>
      </c>
      <c r="AC27" s="637">
        <f>SUMIFS(tbl_DCFC[C Montant € HT],tbl_DCFC[CW ORDER],AC$1,tbl_DCFC[BU_Key],"SER")</f>
        <v>0</v>
      </c>
      <c r="AD27" s="637">
        <f>SUMIFS(tbl_DCFC[C Montant € HT],tbl_DCFC[CW ORDER],AD$1,tbl_DCFC[BU_Key],"SER")</f>
        <v>0</v>
      </c>
      <c r="AE27" s="637">
        <f>SUMIFS(tbl_DCFC[C Montant € HT],tbl_DCFC[CW ORDER],AE$1,tbl_DCFC[BU_Key],"SER")</f>
        <v>0</v>
      </c>
      <c r="AF27" s="637">
        <f>SUMIFS(tbl_DCFC[C Montant € HT],tbl_DCFC[CW ORDER],AF$1,tbl_DCFC[BU_Key],"SER")</f>
        <v>0</v>
      </c>
      <c r="AG27" s="637">
        <f>SUMIFS(tbl_DCFC[C Montant € HT],tbl_DCFC[CW ORDER],AG$1,tbl_DCFC[BU_Key],"SER")</f>
        <v>0</v>
      </c>
      <c r="AH27" s="637">
        <f>SUMIFS(tbl_DCFC[C Montant € HT],tbl_DCFC[CW ORDER],AH$1,tbl_DCFC[BU_Key],"SER")</f>
        <v>0</v>
      </c>
      <c r="AI27" s="637">
        <f>SUMIFS(tbl_DCFC[C Montant € HT],tbl_DCFC[CW ORDER],AI$1,tbl_DCFC[BU_Key],"SER")</f>
        <v>0</v>
      </c>
      <c r="AJ27" s="637">
        <f>SUMIFS(tbl_DCFC[C Montant € HT],tbl_DCFC[CW ORDER],AJ$1,tbl_DCFC[BU_Key],"SER")</f>
        <v>0</v>
      </c>
      <c r="AK27" s="637">
        <f>SUMIFS(tbl_DCFC[C Montant € HT],tbl_DCFC[CW ORDER],AK$1,tbl_DCFC[BU_Key],"SER")</f>
        <v>0</v>
      </c>
      <c r="AL27" s="637">
        <f>SUMIFS(tbl_DCFC[C Montant € HT],tbl_DCFC[CW ORDER],AL$1,tbl_DCFC[BU_Key],"SER")</f>
        <v>0</v>
      </c>
      <c r="AM27" s="637">
        <f>SUMIFS(tbl_DCFC[C Montant € HT],tbl_DCFC[CW ORDER],AM$1,tbl_DCFC[BU_Key],"SER")</f>
        <v>0</v>
      </c>
      <c r="AN27" s="637">
        <f>SUMIFS(tbl_DCFC[C Montant € HT],tbl_DCFC[CW ORDER],AN$1,tbl_DCFC[BU_Key],"SER")</f>
        <v>0</v>
      </c>
      <c r="AO27" s="637">
        <f>SUMIFS(tbl_DCFC[C Montant € HT],tbl_DCFC[CW ORDER],AO$1,tbl_DCFC[BU_Key],"SER")</f>
        <v>0</v>
      </c>
      <c r="AP27" s="637">
        <f>SUMIFS(tbl_DCFC[C Montant € HT],tbl_DCFC[CW ORDER],AP$1,tbl_DCFC[BU_Key],"SER")</f>
        <v>0</v>
      </c>
      <c r="AQ27" s="637">
        <f>SUMIFS(tbl_DCFC[D Montant € HT],tbl_DCFC[Date Devis],AQ$1,tbl_DCFC[Spalte10],"SER")</f>
        <v>0</v>
      </c>
      <c r="AR27" s="637">
        <f>SUMIFS(tbl_DCFC[C Montant € HT],tbl_DCFC[CW ORDER],AR$1,tbl_DCFC[BU_Key],"SER")</f>
        <v>0</v>
      </c>
      <c r="AS27" s="637">
        <f>SUMIFS(tbl_DCFC[C Montant € HT],tbl_DCFC[CW ORDER],AS$1,tbl_DCFC[BU_Key],"SER")</f>
        <v>0</v>
      </c>
      <c r="AT27" s="637">
        <f>SUMIFS(tbl_DCFC[C Montant € HT],tbl_DCFC[CW ORDER],AT$1,tbl_DCFC[BU_Key],"SER")</f>
        <v>0</v>
      </c>
      <c r="AU27" s="637">
        <f>SUMIFS(tbl_DCFC[C Montant € HT],tbl_DCFC[CW ORDER],AU$1,tbl_DCFC[BU_Key],"SER")</f>
        <v>0</v>
      </c>
      <c r="AV27" s="637">
        <f>SUMIFS(tbl_DCFC[C Montant € HT],tbl_DCFC[CW ORDER],AV$1,tbl_DCFC[BU_Key],"SER")</f>
        <v>0</v>
      </c>
      <c r="AW27" s="637">
        <f>SUMIFS(tbl_DCFC[C Montant € HT],tbl_DCFC[CW ORDER],AW$1,tbl_DCFC[BU_Key],"SER")</f>
        <v>0</v>
      </c>
      <c r="AX27" s="637">
        <f>SUMIFS(tbl_DCFC[C Montant € HT],tbl_DCFC[CW ORDER],AX$1,tbl_DCFC[BU_Key],"SER")</f>
        <v>0</v>
      </c>
      <c r="AY27" s="637">
        <f>SUMIFS(tbl_DCFC[C Montant € HT],tbl_DCFC[CW ORDER],AY$1,tbl_DCFC[BU_Key],"SER")</f>
        <v>0</v>
      </c>
      <c r="AZ27" s="637">
        <f>SUMIFS(tbl_DCFC[C Montant € HT],tbl_DCFC[CW ORDER],AZ$1,tbl_DCFC[BU_Key],"SER")</f>
        <v>0</v>
      </c>
      <c r="BA27" s="637">
        <f>SUMIFS(tbl_DCFC[C Montant € HT],tbl_DCFC[CW ORDER],BA$1,tbl_DCFC[BU_Key],"SER")</f>
        <v>0</v>
      </c>
      <c r="BB27" s="637">
        <f>SUMIFS(tbl_DCFC[C Montant € HT],tbl_DCFC[CW ORDER],BB$1,tbl_DCFC[BU_Key],"SER")</f>
        <v>0</v>
      </c>
      <c r="BC27" s="637"/>
    </row>
    <row r="28" spans="1:55" s="437" customFormat="1" x14ac:dyDescent="0.3">
      <c r="B28" s="725" t="s">
        <v>786</v>
      </c>
      <c r="C28" s="400">
        <f>SUMIFS(tbl_DCFC[C Montant € HT],tbl_DCFC[CW ORDER],C$1,tbl_DCFC[BU_Key],"INT")</f>
        <v>0</v>
      </c>
      <c r="D28" s="400">
        <f>SUMIFS(tbl_DCFC[C Montant € HT],tbl_DCFC[CW ORDER],D$1,tbl_DCFC[BU_Key],"INT")</f>
        <v>0</v>
      </c>
      <c r="E28" s="400">
        <f>SUMIFS(tbl_DCFC[C Montant € HT],tbl_DCFC[CW ORDER],E$1,tbl_DCFC[BU_Key],"INT")</f>
        <v>0</v>
      </c>
      <c r="F28" s="400">
        <f>SUMIFS(tbl_DCFC[C Montant € HT],tbl_DCFC[CW ORDER],F$1,tbl_DCFC[BU_Key],"INT")</f>
        <v>0</v>
      </c>
      <c r="G28" s="400">
        <f>SUMIFS(tbl_DCFC[C Montant € HT],tbl_DCFC[CW ORDER],G$1,tbl_DCFC[BU_Key],"INT")</f>
        <v>0</v>
      </c>
      <c r="H28" s="400">
        <f>SUMIFS(tbl_DCFC[C Montant € HT],tbl_DCFC[CW ORDER],H$1,tbl_DCFC[BU_Key],"INT")</f>
        <v>0</v>
      </c>
      <c r="I28" s="400">
        <f>SUMIFS(tbl_DCFC[C Montant € HT],tbl_DCFC[CW ORDER],I$1,tbl_DCFC[BU_Key],"INT")</f>
        <v>0</v>
      </c>
      <c r="J28" s="400">
        <f>SUMIFS(tbl_DCFC[C Montant € HT],tbl_DCFC[CW ORDER],J$1,tbl_DCFC[BU_Key],"INT")</f>
        <v>0</v>
      </c>
      <c r="K28" s="400">
        <f>SUMIFS(tbl_DCFC[C Montant € HT],tbl_DCFC[CW ORDER],K$1,tbl_DCFC[BU_Key],"INT")</f>
        <v>0</v>
      </c>
      <c r="L28" s="400">
        <f>SUMIFS(tbl_DCFC[C Montant € HT],tbl_DCFC[CW ORDER],L$1,tbl_DCFC[BU_Key],"INT")</f>
        <v>0</v>
      </c>
      <c r="M28" s="400">
        <f>SUMIFS(tbl_DCFC[C Montant € HT],tbl_DCFC[CW ORDER],M$1,tbl_DCFC[BU_Key],"INT")</f>
        <v>0</v>
      </c>
      <c r="N28" s="400">
        <f>SUMIFS(tbl_DCFC[C Montant € HT],tbl_DCFC[CW ORDER],N$1,tbl_DCFC[BU_Key],"INT")</f>
        <v>0</v>
      </c>
      <c r="O28" s="400">
        <f>SUMIFS(tbl_DCFC[C Montant € HT],tbl_DCFC[CW ORDER],O$1,tbl_DCFC[BU_Key],"INT")</f>
        <v>0</v>
      </c>
      <c r="P28" s="400">
        <f>SUMIFS(tbl_DCFC[C Montant € HT],tbl_DCFC[CW ORDER],P$1,tbl_DCFC[BU_Key],"INT")</f>
        <v>0</v>
      </c>
      <c r="Q28" s="400">
        <f>SUMIFS(tbl_DCFC[C Montant € HT],tbl_DCFC[CW ORDER],Q$1,tbl_DCFC[BU_Key],"INT")</f>
        <v>0</v>
      </c>
      <c r="R28" s="400">
        <f>SUMIFS(tbl_DCFC[C Montant € HT],tbl_DCFC[CW ORDER],R$1,tbl_DCFC[BU_Key],"INT")</f>
        <v>0</v>
      </c>
      <c r="S28" s="400">
        <f>SUMIFS(tbl_DCFC[C Montant € HT],tbl_DCFC[CW ORDER],S$1,tbl_DCFC[BU_Key],"INT")</f>
        <v>0</v>
      </c>
      <c r="T28" s="400">
        <f>SUMIFS(tbl_DCFC[C Montant € HT],tbl_DCFC[CW ORDER],T$1,tbl_DCFC[BU_Key],"INT")</f>
        <v>0</v>
      </c>
      <c r="U28" s="400">
        <f>SUMIFS(tbl_DCFC[C Montant € HT],tbl_DCFC[CW ORDER],U$1,tbl_DCFC[BU_Key],"INT")</f>
        <v>0</v>
      </c>
      <c r="V28" s="400">
        <f>SUMIFS(tbl_DCFC[C Montant € HT],tbl_DCFC[CW ORDER],V$1,tbl_DCFC[BU_Key],"INT")</f>
        <v>0</v>
      </c>
      <c r="W28" s="400">
        <f>SUMIFS(tbl_DCFC[C Montant € HT],tbl_DCFC[CW ORDER],W$1,tbl_DCFC[BU_Key],"INT")</f>
        <v>0</v>
      </c>
      <c r="X28" s="400">
        <f>SUMIFS(tbl_DCFC[C Montant € HT],tbl_DCFC[CW ORDER],X$1,tbl_DCFC[BU_Key],"INT")</f>
        <v>0</v>
      </c>
      <c r="Y28" s="400">
        <f>SUMIFS(tbl_DCFC[C Montant € HT],tbl_DCFC[CW ORDER],Y$1,tbl_DCFC[BU_Key],"INT")</f>
        <v>0</v>
      </c>
      <c r="Z28" s="400">
        <f>SUMIFS(tbl_DCFC[C Montant € HT],tbl_DCFC[CW ORDER],Z$1,tbl_DCFC[BU_Key],"INT")</f>
        <v>0</v>
      </c>
      <c r="AA28" s="400">
        <f>SUMIFS(tbl_DCFC[C Montant € HT],tbl_DCFC[CW ORDER],AA$1,tbl_DCFC[BU_Key],"INT")</f>
        <v>0</v>
      </c>
      <c r="AB28" s="400">
        <f>SUMIFS(tbl_DCFC[C Montant € HT],tbl_DCFC[CW ORDER],AB$1,tbl_DCFC[BU_Key],"INT")</f>
        <v>0</v>
      </c>
      <c r="AC28" s="400">
        <f>SUMIFS(tbl_DCFC[C Montant € HT],tbl_DCFC[CW ORDER],AC$1,tbl_DCFC[BU_Key],"INT")</f>
        <v>0</v>
      </c>
      <c r="AD28" s="400">
        <f>SUMIFS(tbl_DCFC[C Montant € HT],tbl_DCFC[CW ORDER],AD$1,tbl_DCFC[BU_Key],"INT")</f>
        <v>0</v>
      </c>
      <c r="AE28" s="400">
        <f>SUMIFS(tbl_DCFC[C Montant € HT],tbl_DCFC[CW ORDER],AE$1,tbl_DCFC[BU_Key],"INT")</f>
        <v>0</v>
      </c>
      <c r="AF28" s="400">
        <f>SUMIFS(tbl_DCFC[C Montant € HT],tbl_DCFC[CW ORDER],AF$1,tbl_DCFC[BU_Key],"INT")</f>
        <v>0</v>
      </c>
      <c r="AG28" s="400">
        <f>SUMIFS(tbl_DCFC[C Montant € HT],tbl_DCFC[CW ORDER],AG$1,tbl_DCFC[BU_Key],"INT")</f>
        <v>0</v>
      </c>
      <c r="AH28" s="400">
        <f>SUMIFS(tbl_DCFC[C Montant € HT],tbl_DCFC[CW ORDER],AH$1,tbl_DCFC[BU_Key],"INT")</f>
        <v>0</v>
      </c>
      <c r="AI28" s="400">
        <f>SUMIFS(tbl_DCFC[C Montant € HT],tbl_DCFC[CW ORDER],AI$1,tbl_DCFC[BU_Key],"INT")</f>
        <v>0</v>
      </c>
      <c r="AJ28" s="400">
        <f>SUMIFS(tbl_DCFC[C Montant € HT],tbl_DCFC[CW ORDER],AJ$1,tbl_DCFC[BU_Key],"INT")</f>
        <v>0</v>
      </c>
      <c r="AK28" s="400">
        <f>SUMIFS(tbl_DCFC[C Montant € HT],tbl_DCFC[CW ORDER],AK$1,tbl_DCFC[BU_Key],"INT")</f>
        <v>0</v>
      </c>
      <c r="AL28" s="400">
        <f>SUMIFS(tbl_DCFC[C Montant € HT],tbl_DCFC[CW ORDER],AL$1,tbl_DCFC[BU_Key],"INT")</f>
        <v>0</v>
      </c>
      <c r="AM28" s="400">
        <f>SUMIFS(tbl_DCFC[C Montant € HT],tbl_DCFC[CW ORDER],AM$1,tbl_DCFC[BU_Key],"INT")</f>
        <v>0</v>
      </c>
      <c r="AN28" s="400">
        <f>SUMIFS(tbl_DCFC[C Montant € HT],tbl_DCFC[CW ORDER],AN$1,tbl_DCFC[BU_Key],"INT")</f>
        <v>0</v>
      </c>
      <c r="AO28" s="400">
        <f>SUMIFS(tbl_DCFC[C Montant € HT],tbl_DCFC[CW ORDER],AO$1,tbl_DCFC[BU_Key],"INT")</f>
        <v>0</v>
      </c>
      <c r="AP28" s="400">
        <f>SUMIFS(tbl_DCFC[C Montant € HT],tbl_DCFC[CW ORDER],AP$1,tbl_DCFC[BU_Key],"INT")</f>
        <v>0</v>
      </c>
      <c r="AQ28" s="400">
        <f>SUMIFS(tbl_DCFC[C Montant € HT],tbl_DCFC[CW ORDER],AQ$1,tbl_DCFC[BU_Key],"INT")</f>
        <v>0</v>
      </c>
      <c r="AR28" s="400">
        <f>SUMIFS(tbl_DCFC[C Montant € HT],tbl_DCFC[CW ORDER],AR$1,tbl_DCFC[BU_Key],"INT")</f>
        <v>0</v>
      </c>
      <c r="AS28" s="400">
        <f>SUMIFS(tbl_DCFC[C Montant € HT],tbl_DCFC[CW ORDER],AS$1,tbl_DCFC[BU_Key],"INT")</f>
        <v>0</v>
      </c>
      <c r="AT28" s="400">
        <f>SUMIFS(tbl_DCFC[C Montant € HT],tbl_DCFC[CW ORDER],AT$1,tbl_DCFC[BU_Key],"INT")</f>
        <v>0</v>
      </c>
      <c r="AU28" s="400">
        <f>SUMIFS(tbl_DCFC[C Montant € HT],tbl_DCFC[CW ORDER],AU$1,tbl_DCFC[BU_Key],"INT")</f>
        <v>0</v>
      </c>
      <c r="AV28" s="400">
        <f>SUMIFS(tbl_DCFC[C Montant € HT],tbl_DCFC[CW ORDER],AV$1,tbl_DCFC[BU_Key],"INT")</f>
        <v>0</v>
      </c>
      <c r="AW28" s="400">
        <f>SUMIFS(tbl_DCFC[C Montant € HT],tbl_DCFC[CW ORDER],AW$1,tbl_DCFC[BU_Key],"INT")</f>
        <v>0</v>
      </c>
      <c r="AX28" s="400">
        <f>SUMIFS(tbl_DCFC[C Montant € HT],tbl_DCFC[CW ORDER],AX$1,tbl_DCFC[BU_Key],"INT")</f>
        <v>0</v>
      </c>
      <c r="AY28" s="400">
        <f>SUMIFS(tbl_DCFC[C Montant € HT],tbl_DCFC[CW ORDER],AY$1,tbl_DCFC[BU_Key],"INT")</f>
        <v>0</v>
      </c>
      <c r="AZ28" s="400">
        <f>SUMIFS(tbl_DCFC[C Montant € HT],tbl_DCFC[CW ORDER],AZ$1,tbl_DCFC[BU_Key],"INT")</f>
        <v>0</v>
      </c>
      <c r="BA28" s="400">
        <f>SUMIFS(tbl_DCFC[C Montant € HT],tbl_DCFC[CW ORDER],BA$1,tbl_DCFC[BU_Key],"INT")</f>
        <v>0</v>
      </c>
      <c r="BB28" s="400">
        <f>SUMIFS(tbl_DCFC[C Montant € HT],tbl_DCFC[CW ORDER],BB$1,tbl_DCFC[BU_Key],"INT")</f>
        <v>0</v>
      </c>
    </row>
    <row r="29" spans="1:55" x14ac:dyDescent="0.3">
      <c r="B29" s="725" t="s">
        <v>822</v>
      </c>
      <c r="C29" s="435">
        <f>C25</f>
        <v>0</v>
      </c>
      <c r="D29" s="435">
        <f t="shared" ref="D29:AI29" si="79">C29+D25</f>
        <v>0</v>
      </c>
      <c r="E29" s="435">
        <f t="shared" si="79"/>
        <v>0</v>
      </c>
      <c r="F29" s="435">
        <f t="shared" si="79"/>
        <v>0</v>
      </c>
      <c r="G29" s="435">
        <f t="shared" si="79"/>
        <v>0</v>
      </c>
      <c r="H29" s="435">
        <f t="shared" si="79"/>
        <v>0</v>
      </c>
      <c r="I29" s="435">
        <f t="shared" si="79"/>
        <v>0</v>
      </c>
      <c r="J29" s="435">
        <f t="shared" si="79"/>
        <v>8579</v>
      </c>
      <c r="K29" s="435">
        <f t="shared" si="79"/>
        <v>8579</v>
      </c>
      <c r="L29" s="435">
        <f t="shared" si="79"/>
        <v>8579</v>
      </c>
      <c r="M29" s="435">
        <f t="shared" si="79"/>
        <v>8579</v>
      </c>
      <c r="N29" s="435">
        <f t="shared" si="79"/>
        <v>8579</v>
      </c>
      <c r="O29" s="435">
        <f t="shared" si="79"/>
        <v>8579</v>
      </c>
      <c r="P29" s="435">
        <f t="shared" si="79"/>
        <v>8579</v>
      </c>
      <c r="Q29" s="435">
        <f t="shared" si="79"/>
        <v>8579</v>
      </c>
      <c r="R29" s="435">
        <f t="shared" si="79"/>
        <v>8579</v>
      </c>
      <c r="S29" s="435">
        <f t="shared" si="79"/>
        <v>8579</v>
      </c>
      <c r="T29" s="435">
        <f t="shared" si="79"/>
        <v>8579</v>
      </c>
      <c r="U29" s="435">
        <f t="shared" si="79"/>
        <v>8579</v>
      </c>
      <c r="V29" s="435">
        <f t="shared" si="79"/>
        <v>8579</v>
      </c>
      <c r="W29" s="435">
        <f t="shared" si="79"/>
        <v>8579</v>
      </c>
      <c r="X29" s="435">
        <f t="shared" si="79"/>
        <v>8579</v>
      </c>
      <c r="Y29" s="435">
        <f t="shared" si="79"/>
        <v>8579</v>
      </c>
      <c r="Z29" s="435">
        <f t="shared" si="79"/>
        <v>8579</v>
      </c>
      <c r="AA29" s="435">
        <f t="shared" si="79"/>
        <v>8579</v>
      </c>
      <c r="AB29" s="435">
        <f t="shared" si="79"/>
        <v>8579</v>
      </c>
      <c r="AC29" s="435">
        <f t="shared" si="79"/>
        <v>8579</v>
      </c>
      <c r="AD29" s="435">
        <f t="shared" si="79"/>
        <v>8579</v>
      </c>
      <c r="AE29" s="435">
        <f t="shared" si="79"/>
        <v>8579</v>
      </c>
      <c r="AF29" s="435">
        <f t="shared" si="79"/>
        <v>8579</v>
      </c>
      <c r="AG29" s="435">
        <f t="shared" si="79"/>
        <v>8579</v>
      </c>
      <c r="AH29" s="435">
        <f t="shared" si="79"/>
        <v>8579</v>
      </c>
      <c r="AI29" s="435">
        <f t="shared" si="79"/>
        <v>8579</v>
      </c>
      <c r="AJ29" s="435">
        <f t="shared" ref="AJ29:BB29" si="80">AI29+AJ25</f>
        <v>8579</v>
      </c>
      <c r="AK29" s="435">
        <f t="shared" si="80"/>
        <v>8579</v>
      </c>
      <c r="AL29" s="435">
        <f t="shared" si="80"/>
        <v>8579</v>
      </c>
      <c r="AM29" s="435">
        <f t="shared" si="80"/>
        <v>8579</v>
      </c>
      <c r="AN29" s="435">
        <f t="shared" si="80"/>
        <v>8579</v>
      </c>
      <c r="AO29" s="435">
        <f t="shared" si="80"/>
        <v>8579</v>
      </c>
      <c r="AP29" s="435">
        <f t="shared" si="80"/>
        <v>8579</v>
      </c>
      <c r="AQ29" s="435">
        <f t="shared" si="80"/>
        <v>8579</v>
      </c>
      <c r="AR29" s="435">
        <f t="shared" si="80"/>
        <v>8579</v>
      </c>
      <c r="AS29" s="435">
        <f t="shared" si="80"/>
        <v>8579</v>
      </c>
      <c r="AT29" s="435">
        <f t="shared" si="80"/>
        <v>8579</v>
      </c>
      <c r="AU29" s="435">
        <f t="shared" si="80"/>
        <v>8579</v>
      </c>
      <c r="AV29" s="435">
        <f t="shared" si="80"/>
        <v>8579</v>
      </c>
      <c r="AW29" s="435">
        <f t="shared" si="80"/>
        <v>8579</v>
      </c>
      <c r="AX29" s="435">
        <f t="shared" si="80"/>
        <v>8579</v>
      </c>
      <c r="AY29" s="435">
        <f t="shared" si="80"/>
        <v>8579</v>
      </c>
      <c r="AZ29" s="435">
        <f t="shared" si="80"/>
        <v>8579</v>
      </c>
      <c r="BA29" s="435">
        <f t="shared" si="80"/>
        <v>8579</v>
      </c>
      <c r="BB29" s="435">
        <f t="shared" si="80"/>
        <v>8579</v>
      </c>
    </row>
    <row r="30" spans="1:55" x14ac:dyDescent="0.3">
      <c r="B30" s="725" t="s">
        <v>823</v>
      </c>
      <c r="C30" s="438">
        <f>C26</f>
        <v>0</v>
      </c>
      <c r="D30" s="438">
        <f t="shared" ref="D30:AI30" si="81">C30+D26</f>
        <v>0</v>
      </c>
      <c r="E30" s="438">
        <f t="shared" si="81"/>
        <v>0</v>
      </c>
      <c r="F30" s="438">
        <f t="shared" si="81"/>
        <v>0</v>
      </c>
      <c r="G30" s="438">
        <f t="shared" si="81"/>
        <v>0</v>
      </c>
      <c r="H30" s="438">
        <f t="shared" si="81"/>
        <v>0</v>
      </c>
      <c r="I30" s="438">
        <f t="shared" si="81"/>
        <v>0</v>
      </c>
      <c r="J30" s="438">
        <f t="shared" si="81"/>
        <v>9590</v>
      </c>
      <c r="K30" s="438">
        <f t="shared" si="81"/>
        <v>9590</v>
      </c>
      <c r="L30" s="438">
        <f t="shared" si="81"/>
        <v>9590</v>
      </c>
      <c r="M30" s="438">
        <f t="shared" si="81"/>
        <v>9590</v>
      </c>
      <c r="N30" s="438">
        <f t="shared" si="81"/>
        <v>9590</v>
      </c>
      <c r="O30" s="438">
        <f t="shared" si="81"/>
        <v>9776</v>
      </c>
      <c r="P30" s="438">
        <f t="shared" si="81"/>
        <v>9776</v>
      </c>
      <c r="Q30" s="438">
        <f t="shared" si="81"/>
        <v>9776</v>
      </c>
      <c r="R30" s="438">
        <f t="shared" si="81"/>
        <v>9776</v>
      </c>
      <c r="S30" s="438">
        <f t="shared" si="81"/>
        <v>9776</v>
      </c>
      <c r="T30" s="438">
        <f t="shared" si="81"/>
        <v>9776</v>
      </c>
      <c r="U30" s="438">
        <f t="shared" si="81"/>
        <v>9776</v>
      </c>
      <c r="V30" s="438">
        <f t="shared" si="81"/>
        <v>9776</v>
      </c>
      <c r="W30" s="438">
        <f t="shared" si="81"/>
        <v>9776</v>
      </c>
      <c r="X30" s="438">
        <f t="shared" si="81"/>
        <v>9776</v>
      </c>
      <c r="Y30" s="438">
        <f t="shared" si="81"/>
        <v>9776</v>
      </c>
      <c r="Z30" s="438">
        <f t="shared" si="81"/>
        <v>9776</v>
      </c>
      <c r="AA30" s="438">
        <f t="shared" si="81"/>
        <v>9776</v>
      </c>
      <c r="AB30" s="438">
        <f t="shared" si="81"/>
        <v>9776</v>
      </c>
      <c r="AC30" s="438">
        <f t="shared" si="81"/>
        <v>9776</v>
      </c>
      <c r="AD30" s="438">
        <f t="shared" si="81"/>
        <v>9776</v>
      </c>
      <c r="AE30" s="438">
        <f t="shared" si="81"/>
        <v>9776</v>
      </c>
      <c r="AF30" s="438">
        <f t="shared" si="81"/>
        <v>9776</v>
      </c>
      <c r="AG30" s="438">
        <f t="shared" si="81"/>
        <v>9776</v>
      </c>
      <c r="AH30" s="438">
        <f t="shared" si="81"/>
        <v>9776</v>
      </c>
      <c r="AI30" s="438">
        <f t="shared" si="81"/>
        <v>9776</v>
      </c>
      <c r="AJ30" s="438">
        <f t="shared" ref="AJ30:BB30" si="82">AI30+AJ26</f>
        <v>9776</v>
      </c>
      <c r="AK30" s="438">
        <f t="shared" si="82"/>
        <v>9776</v>
      </c>
      <c r="AL30" s="438">
        <f t="shared" si="82"/>
        <v>9776</v>
      </c>
      <c r="AM30" s="438">
        <f t="shared" si="82"/>
        <v>9776</v>
      </c>
      <c r="AN30" s="438">
        <f t="shared" si="82"/>
        <v>9776</v>
      </c>
      <c r="AO30" s="438">
        <f t="shared" si="82"/>
        <v>9776</v>
      </c>
      <c r="AP30" s="438">
        <f t="shared" si="82"/>
        <v>9776</v>
      </c>
      <c r="AQ30" s="438">
        <f t="shared" si="82"/>
        <v>9776</v>
      </c>
      <c r="AR30" s="438">
        <f t="shared" si="82"/>
        <v>9776</v>
      </c>
      <c r="AS30" s="438">
        <f t="shared" si="82"/>
        <v>9776</v>
      </c>
      <c r="AT30" s="438">
        <f t="shared" si="82"/>
        <v>9776</v>
      </c>
      <c r="AU30" s="438">
        <f t="shared" si="82"/>
        <v>9776</v>
      </c>
      <c r="AV30" s="438">
        <f t="shared" si="82"/>
        <v>9776</v>
      </c>
      <c r="AW30" s="438">
        <f t="shared" si="82"/>
        <v>9776</v>
      </c>
      <c r="AX30" s="438">
        <f t="shared" si="82"/>
        <v>9776</v>
      </c>
      <c r="AY30" s="438">
        <f t="shared" si="82"/>
        <v>9776</v>
      </c>
      <c r="AZ30" s="438">
        <f t="shared" si="82"/>
        <v>9776</v>
      </c>
      <c r="BA30" s="438">
        <f t="shared" si="82"/>
        <v>9776</v>
      </c>
      <c r="BB30" s="438">
        <f t="shared" si="82"/>
        <v>9776</v>
      </c>
    </row>
    <row r="31" spans="1:55" x14ac:dyDescent="0.3">
      <c r="B31" s="725" t="s">
        <v>824</v>
      </c>
      <c r="C31" s="438">
        <f>C27</f>
        <v>0</v>
      </c>
      <c r="D31" s="438">
        <f t="shared" ref="D31:AI31" si="83">C31+D27</f>
        <v>12384</v>
      </c>
      <c r="E31" s="438">
        <f t="shared" si="83"/>
        <v>13044</v>
      </c>
      <c r="F31" s="438">
        <f t="shared" si="83"/>
        <v>21780</v>
      </c>
      <c r="G31" s="438">
        <f t="shared" si="83"/>
        <v>26930</v>
      </c>
      <c r="H31" s="438">
        <f t="shared" si="83"/>
        <v>30110</v>
      </c>
      <c r="I31" s="438">
        <f t="shared" si="83"/>
        <v>107385</v>
      </c>
      <c r="J31" s="438">
        <f t="shared" si="83"/>
        <v>122293</v>
      </c>
      <c r="K31" s="438">
        <f t="shared" si="83"/>
        <v>130390</v>
      </c>
      <c r="L31" s="438">
        <f t="shared" si="83"/>
        <v>144066</v>
      </c>
      <c r="M31" s="438">
        <f t="shared" si="83"/>
        <v>146462</v>
      </c>
      <c r="N31" s="438">
        <f t="shared" si="83"/>
        <v>158685</v>
      </c>
      <c r="O31" s="438">
        <f t="shared" si="83"/>
        <v>159885</v>
      </c>
      <c r="P31" s="438">
        <f t="shared" si="83"/>
        <v>175016</v>
      </c>
      <c r="Q31" s="438">
        <f t="shared" si="83"/>
        <v>175016</v>
      </c>
      <c r="R31" s="438">
        <f t="shared" si="83"/>
        <v>175016</v>
      </c>
      <c r="S31" s="438">
        <f t="shared" si="83"/>
        <v>175016</v>
      </c>
      <c r="T31" s="438">
        <f t="shared" si="83"/>
        <v>175016</v>
      </c>
      <c r="U31" s="438">
        <f t="shared" si="83"/>
        <v>175016</v>
      </c>
      <c r="V31" s="438">
        <f t="shared" si="83"/>
        <v>175016</v>
      </c>
      <c r="W31" s="438">
        <f t="shared" si="83"/>
        <v>175016</v>
      </c>
      <c r="X31" s="438">
        <f t="shared" si="83"/>
        <v>175016</v>
      </c>
      <c r="Y31" s="438">
        <f t="shared" si="83"/>
        <v>175016</v>
      </c>
      <c r="Z31" s="438">
        <f t="shared" si="83"/>
        <v>175016</v>
      </c>
      <c r="AA31" s="438">
        <f t="shared" si="83"/>
        <v>175016</v>
      </c>
      <c r="AB31" s="438">
        <f t="shared" si="83"/>
        <v>175016</v>
      </c>
      <c r="AC31" s="438">
        <f t="shared" si="83"/>
        <v>175016</v>
      </c>
      <c r="AD31" s="438">
        <f t="shared" si="83"/>
        <v>175016</v>
      </c>
      <c r="AE31" s="438">
        <f t="shared" si="83"/>
        <v>175016</v>
      </c>
      <c r="AF31" s="438">
        <f t="shared" si="83"/>
        <v>175016</v>
      </c>
      <c r="AG31" s="438">
        <f t="shared" si="83"/>
        <v>175016</v>
      </c>
      <c r="AH31" s="438">
        <f t="shared" si="83"/>
        <v>175016</v>
      </c>
      <c r="AI31" s="438">
        <f t="shared" si="83"/>
        <v>175016</v>
      </c>
      <c r="AJ31" s="438">
        <f t="shared" ref="AJ31:BB31" si="84">AI31+AJ27</f>
        <v>175016</v>
      </c>
      <c r="AK31" s="438">
        <f t="shared" si="84"/>
        <v>175016</v>
      </c>
      <c r="AL31" s="438">
        <f t="shared" si="84"/>
        <v>175016</v>
      </c>
      <c r="AM31" s="438">
        <f t="shared" si="84"/>
        <v>175016</v>
      </c>
      <c r="AN31" s="438">
        <f t="shared" si="84"/>
        <v>175016</v>
      </c>
      <c r="AO31" s="438">
        <f t="shared" si="84"/>
        <v>175016</v>
      </c>
      <c r="AP31" s="438">
        <f t="shared" si="84"/>
        <v>175016</v>
      </c>
      <c r="AQ31" s="438">
        <f t="shared" si="84"/>
        <v>175016</v>
      </c>
      <c r="AR31" s="438">
        <f t="shared" si="84"/>
        <v>175016</v>
      </c>
      <c r="AS31" s="438">
        <f t="shared" si="84"/>
        <v>175016</v>
      </c>
      <c r="AT31" s="438">
        <f t="shared" si="84"/>
        <v>175016</v>
      </c>
      <c r="AU31" s="438">
        <f t="shared" si="84"/>
        <v>175016</v>
      </c>
      <c r="AV31" s="438">
        <f t="shared" si="84"/>
        <v>175016</v>
      </c>
      <c r="AW31" s="438">
        <f t="shared" si="84"/>
        <v>175016</v>
      </c>
      <c r="AX31" s="438">
        <f t="shared" si="84"/>
        <v>175016</v>
      </c>
      <c r="AY31" s="438">
        <f t="shared" si="84"/>
        <v>175016</v>
      </c>
      <c r="AZ31" s="438">
        <f t="shared" si="84"/>
        <v>175016</v>
      </c>
      <c r="BA31" s="438">
        <f t="shared" si="84"/>
        <v>175016</v>
      </c>
      <c r="BB31" s="438">
        <f t="shared" si="84"/>
        <v>175016</v>
      </c>
    </row>
    <row r="32" spans="1:55" x14ac:dyDescent="0.3">
      <c r="B32" s="725" t="s">
        <v>833</v>
      </c>
      <c r="C32" s="439">
        <f>C28</f>
        <v>0</v>
      </c>
      <c r="D32" s="439">
        <f>C32+D28</f>
        <v>0</v>
      </c>
      <c r="E32" s="439">
        <f t="shared" ref="E32:BB32" si="85">D32+E28</f>
        <v>0</v>
      </c>
      <c r="F32" s="439">
        <f t="shared" si="85"/>
        <v>0</v>
      </c>
      <c r="G32" s="439">
        <f t="shared" si="85"/>
        <v>0</v>
      </c>
      <c r="H32" s="439">
        <f t="shared" si="85"/>
        <v>0</v>
      </c>
      <c r="I32" s="439">
        <f t="shared" si="85"/>
        <v>0</v>
      </c>
      <c r="J32" s="439">
        <f t="shared" si="85"/>
        <v>0</v>
      </c>
      <c r="K32" s="439">
        <f t="shared" si="85"/>
        <v>0</v>
      </c>
      <c r="L32" s="439">
        <f t="shared" si="85"/>
        <v>0</v>
      </c>
      <c r="M32" s="439">
        <f t="shared" si="85"/>
        <v>0</v>
      </c>
      <c r="N32" s="439">
        <f t="shared" si="85"/>
        <v>0</v>
      </c>
      <c r="O32" s="439">
        <f t="shared" si="85"/>
        <v>0</v>
      </c>
      <c r="P32" s="439">
        <f t="shared" si="85"/>
        <v>0</v>
      </c>
      <c r="Q32" s="439">
        <f t="shared" si="85"/>
        <v>0</v>
      </c>
      <c r="R32" s="439">
        <f t="shared" si="85"/>
        <v>0</v>
      </c>
      <c r="S32" s="439">
        <f t="shared" si="85"/>
        <v>0</v>
      </c>
      <c r="T32" s="439">
        <f t="shared" si="85"/>
        <v>0</v>
      </c>
      <c r="U32" s="439">
        <f t="shared" si="85"/>
        <v>0</v>
      </c>
      <c r="V32" s="439">
        <f t="shared" si="85"/>
        <v>0</v>
      </c>
      <c r="W32" s="439">
        <f t="shared" si="85"/>
        <v>0</v>
      </c>
      <c r="X32" s="439">
        <f t="shared" si="85"/>
        <v>0</v>
      </c>
      <c r="Y32" s="439">
        <f t="shared" si="85"/>
        <v>0</v>
      </c>
      <c r="Z32" s="439">
        <f t="shared" si="85"/>
        <v>0</v>
      </c>
      <c r="AA32" s="439">
        <f t="shared" si="85"/>
        <v>0</v>
      </c>
      <c r="AB32" s="439">
        <f t="shared" si="85"/>
        <v>0</v>
      </c>
      <c r="AC32" s="439">
        <f t="shared" si="85"/>
        <v>0</v>
      </c>
      <c r="AD32" s="439">
        <f t="shared" si="85"/>
        <v>0</v>
      </c>
      <c r="AE32" s="439">
        <f t="shared" si="85"/>
        <v>0</v>
      </c>
      <c r="AF32" s="439">
        <f t="shared" si="85"/>
        <v>0</v>
      </c>
      <c r="AG32" s="439">
        <f t="shared" si="85"/>
        <v>0</v>
      </c>
      <c r="AH32" s="439">
        <f t="shared" si="85"/>
        <v>0</v>
      </c>
      <c r="AI32" s="439">
        <f t="shared" si="85"/>
        <v>0</v>
      </c>
      <c r="AJ32" s="439">
        <f t="shared" si="85"/>
        <v>0</v>
      </c>
      <c r="AK32" s="439">
        <f t="shared" si="85"/>
        <v>0</v>
      </c>
      <c r="AL32" s="439">
        <f t="shared" si="85"/>
        <v>0</v>
      </c>
      <c r="AM32" s="439">
        <f t="shared" si="85"/>
        <v>0</v>
      </c>
      <c r="AN32" s="439">
        <f t="shared" si="85"/>
        <v>0</v>
      </c>
      <c r="AO32" s="439">
        <f t="shared" si="85"/>
        <v>0</v>
      </c>
      <c r="AP32" s="439">
        <f t="shared" si="85"/>
        <v>0</v>
      </c>
      <c r="AQ32" s="439">
        <f t="shared" si="85"/>
        <v>0</v>
      </c>
      <c r="AR32" s="439">
        <f t="shared" si="85"/>
        <v>0</v>
      </c>
      <c r="AS32" s="439">
        <f t="shared" si="85"/>
        <v>0</v>
      </c>
      <c r="AT32" s="439">
        <f t="shared" si="85"/>
        <v>0</v>
      </c>
      <c r="AU32" s="439">
        <f t="shared" si="85"/>
        <v>0</v>
      </c>
      <c r="AV32" s="439">
        <f t="shared" si="85"/>
        <v>0</v>
      </c>
      <c r="AW32" s="439">
        <f t="shared" si="85"/>
        <v>0</v>
      </c>
      <c r="AX32" s="439">
        <f t="shared" si="85"/>
        <v>0</v>
      </c>
      <c r="AY32" s="439">
        <f t="shared" si="85"/>
        <v>0</v>
      </c>
      <c r="AZ32" s="439">
        <f t="shared" si="85"/>
        <v>0</v>
      </c>
      <c r="BA32" s="439">
        <f t="shared" si="85"/>
        <v>0</v>
      </c>
      <c r="BB32" s="439">
        <f t="shared" si="85"/>
        <v>0</v>
      </c>
    </row>
    <row r="36" spans="2:64" x14ac:dyDescent="0.3">
      <c r="B36" s="725" t="s">
        <v>825</v>
      </c>
      <c r="C36" s="637">
        <f>SUMIFS(tbl_DCFC[F Montant HT],tbl_DCFC[CW REV],C$1,tbl_DCFC[BU_Key],"GSE")</f>
        <v>0</v>
      </c>
      <c r="D36" s="637">
        <f>SUMIFS(tbl_DCFC[F Montant HT],tbl_DCFC[CW REV],D$1,tbl_DCFC[BU_Key],"GSE")</f>
        <v>0</v>
      </c>
      <c r="E36" s="637">
        <f>SUMIFS(tbl_DCFC[F Montant HT],tbl_DCFC[CW REV],E$1,tbl_DCFC[BU_Key],"GSE")</f>
        <v>0</v>
      </c>
      <c r="F36" s="637">
        <f>SUMIFS(tbl_DCFC[F Montant HT],tbl_DCFC[CW REV],F$1,tbl_DCFC[BU_Key],"GSE")</f>
        <v>0</v>
      </c>
      <c r="G36" s="637">
        <f>SUMIFS(tbl_DCFC[F Montant HT],tbl_DCFC[CW REV],G$1,tbl_DCFC[BU_Key],"GSE")</f>
        <v>0</v>
      </c>
      <c r="H36" s="637">
        <f>SUMIFS(tbl_DCFC[F Montant HT],tbl_DCFC[CW REV],H$1,tbl_DCFC[BU_Key],"GSE")</f>
        <v>0</v>
      </c>
      <c r="I36" s="637">
        <f>SUMIFS(tbl_DCFC[F Montant HT],tbl_DCFC[CW REV],I$1,tbl_DCFC[BU_Key],"GSE")</f>
        <v>0</v>
      </c>
      <c r="J36" s="637">
        <f>SUMIFS(tbl_DCFC[F Montant HT],tbl_DCFC[CW REV],J$1,tbl_DCFC[BU_Key],"GSE")</f>
        <v>0</v>
      </c>
      <c r="K36" s="637">
        <f>SUMIFS(tbl_DCFC[F Montant HT],tbl_DCFC[CW REV],K$1,tbl_DCFC[BU_Key],"GSE")</f>
        <v>0</v>
      </c>
      <c r="L36" s="637">
        <f>SUMIFS(tbl_DCFC[F Montant HT],tbl_DCFC[CW REV],L$1,tbl_DCFC[BU_Key],"GSE")</f>
        <v>0</v>
      </c>
      <c r="M36" s="637">
        <f>SUMIFS(tbl_DCFC[F Montant HT],tbl_DCFC[CW REV],M$1,tbl_DCFC[BU_Key],"GSE")</f>
        <v>0</v>
      </c>
      <c r="N36" s="637">
        <f>SUMIFS(tbl_DCFC[F Montant HT],tbl_DCFC[CW REV],N$1,tbl_DCFC[BU_Key],"GSE")</f>
        <v>8579</v>
      </c>
      <c r="O36" s="637">
        <f>SUMIFS(tbl_DCFC[F Montant HT],tbl_DCFC[CW REV],O$1,tbl_DCFC[BU_Key],"GSE")</f>
        <v>0</v>
      </c>
      <c r="P36" s="637">
        <f>SUMIFS(tbl_DCFC[F Montant HT],tbl_DCFC[CW REV],P$1,tbl_DCFC[BU_Key],"GSE")</f>
        <v>0</v>
      </c>
      <c r="Q36" s="637">
        <f>SUMIFS(tbl_DCFC[F Montant HT],tbl_DCFC[CW REV],Q$1,tbl_DCFC[BU_Key],"GSE")</f>
        <v>0</v>
      </c>
      <c r="R36" s="637">
        <f>SUMIFS(tbl_DCFC[F Montant HT],tbl_DCFC[CW REV],R$1,tbl_DCFC[BU_Key],"GSE")</f>
        <v>0</v>
      </c>
      <c r="S36" s="637">
        <f>SUMIFS(tbl_DCFC[F Montant HT],tbl_DCFC[CW REV],S$1,tbl_DCFC[BU_Key],"GSE")</f>
        <v>0</v>
      </c>
      <c r="T36" s="637">
        <f>SUMIFS(tbl_DCFC[F Montant HT],tbl_DCFC[CW REV],T$1,tbl_DCFC[BU_Key],"GSE")</f>
        <v>0</v>
      </c>
      <c r="U36" s="637">
        <f>SUMIFS(tbl_DCFC[F Montant HT],tbl_DCFC[CW REV],U$1,tbl_DCFC[BU_Key],"GSE")</f>
        <v>0</v>
      </c>
      <c r="V36" s="637">
        <f>SUMIFS(tbl_DCFC[F Montant HT],tbl_DCFC[CW REV],V$1,tbl_DCFC[BU_Key],"GSE")</f>
        <v>0</v>
      </c>
      <c r="W36" s="637">
        <f>SUMIFS(tbl_DCFC[F Montant HT],tbl_DCFC[CW REV],W$1,tbl_DCFC[BU_Key],"GSE")</f>
        <v>0</v>
      </c>
      <c r="X36" s="637">
        <f>SUMIFS(tbl_DCFC[F Montant HT],tbl_DCFC[CW REV],X$1,tbl_DCFC[BU_Key],"GSE")</f>
        <v>0</v>
      </c>
      <c r="Y36" s="637">
        <f>SUMIFS(tbl_DCFC[F Montant HT],tbl_DCFC[CW REV],Y$1,tbl_DCFC[BU_Key],"GSE")</f>
        <v>0</v>
      </c>
      <c r="Z36" s="637">
        <f>SUMIFS(tbl_DCFC[F Montant HT],tbl_DCFC[CW REV],Z$1,tbl_DCFC[BU_Key],"GSE")</f>
        <v>0</v>
      </c>
      <c r="AA36" s="637">
        <f>SUMIFS(tbl_DCFC[F Montant HT],tbl_DCFC[CW REV],AA$1,tbl_DCFC[BU_Key],"GSE")</f>
        <v>0</v>
      </c>
      <c r="AB36" s="637">
        <f>SUMIFS(tbl_DCFC[F Montant HT],tbl_DCFC[CW REV],AB$1,tbl_DCFC[BU_Key],"GSE")</f>
        <v>0</v>
      </c>
      <c r="AC36" s="637">
        <f>SUMIFS(tbl_DCFC[F Montant HT],tbl_DCFC[CW REV],AC$1,tbl_DCFC[BU_Key],"GSE")</f>
        <v>0</v>
      </c>
      <c r="AD36" s="637">
        <f>SUMIFS(tbl_DCFC[F Montant HT],tbl_DCFC[CW REV],AD$1,tbl_DCFC[BU_Key],"GSE")</f>
        <v>0</v>
      </c>
      <c r="AE36" s="637">
        <f>SUMIFS(tbl_DCFC[F Montant HT],tbl_DCFC[CW REV],AE$1,tbl_DCFC[BU_Key],"GSE")</f>
        <v>0</v>
      </c>
      <c r="AF36" s="637">
        <f>SUMIFS(tbl_DCFC[F Montant HT],tbl_DCFC[CW REV],AF$1,tbl_DCFC[BU_Key],"GSE")</f>
        <v>0</v>
      </c>
      <c r="AG36" s="637">
        <f>SUMIFS(tbl_DCFC[F Montant HT],tbl_DCFC[CW REV],AG$1,tbl_DCFC[BU_Key],"GSE")</f>
        <v>0</v>
      </c>
      <c r="AH36" s="637">
        <f>SUMIFS(tbl_DCFC[F Montant HT],tbl_DCFC[CW REV],AH$1,tbl_DCFC[BU_Key],"GSE")</f>
        <v>0</v>
      </c>
      <c r="AI36" s="637">
        <f>SUMIFS(tbl_DCFC[F Montant HT],tbl_DCFC[CW REV],AI$1,tbl_DCFC[BU_Key],"GSE")</f>
        <v>0</v>
      </c>
      <c r="AJ36" s="637">
        <f>SUMIFS(tbl_DCFC[F Montant HT],tbl_DCFC[CW REV],AJ$1,tbl_DCFC[BU_Key],"GSE")</f>
        <v>0</v>
      </c>
      <c r="AK36" s="637">
        <f>SUMIFS(tbl_DCFC[F Montant HT],tbl_DCFC[CW REV],AK$1,tbl_DCFC[BU_Key],"GSE")</f>
        <v>0</v>
      </c>
      <c r="AL36" s="637">
        <f>SUMIFS(tbl_DCFC[F Montant HT],tbl_DCFC[CW REV],AL$1,tbl_DCFC[BU_Key],"GSE")</f>
        <v>0</v>
      </c>
      <c r="AM36" s="637">
        <f>SUMIFS(tbl_DCFC[F Montant HT],tbl_DCFC[CW REV],AM$1,tbl_DCFC[BU_Key],"GSE")</f>
        <v>0</v>
      </c>
      <c r="AN36" s="637">
        <f>SUMIFS(tbl_DCFC[F Montant HT],tbl_DCFC[CW REV],AN$1,tbl_DCFC[BU_Key],"GSE")</f>
        <v>0</v>
      </c>
      <c r="AO36" s="637">
        <f>SUMIFS(tbl_DCFC[F Montant HT],tbl_DCFC[CW REV],AO$1,tbl_DCFC[BU_Key],"GSE")</f>
        <v>0</v>
      </c>
      <c r="AP36" s="637">
        <f>SUMIFS(tbl_DCFC[F Montant HT],tbl_DCFC[CW REV],AP$1,tbl_DCFC[BU_Key],"GSE")</f>
        <v>0</v>
      </c>
      <c r="AQ36" s="637">
        <f>SUMIFS(tbl_DCFC[F Montant HT],tbl_DCFC[CW REV],AQ$1,tbl_DCFC[BU_Key],"GSE")</f>
        <v>0</v>
      </c>
      <c r="AR36" s="637">
        <f>SUMIFS(tbl_DCFC[F Montant HT],tbl_DCFC[CW REV],AR$1,tbl_DCFC[BU_Key],"GSE")</f>
        <v>0</v>
      </c>
      <c r="AS36" s="637">
        <f>SUMIFS(tbl_DCFC[F Montant HT],tbl_DCFC[CW REV],AS$1,tbl_DCFC[BU_Key],"GSE")</f>
        <v>0</v>
      </c>
      <c r="AT36" s="637">
        <f>SUMIFS(tbl_DCFC[F Montant HT],tbl_DCFC[CW REV],AT$1,tbl_DCFC[BU_Key],"GSE")</f>
        <v>0</v>
      </c>
      <c r="AU36" s="637">
        <f>SUMIFS(tbl_DCFC[F Montant HT],tbl_DCFC[CW REV],AU$1,tbl_DCFC[BU_Key],"GSE")</f>
        <v>0</v>
      </c>
      <c r="AV36" s="637">
        <f>SUMIFS(tbl_DCFC[F Montant HT],tbl_DCFC[CW REV],AV$1,tbl_DCFC[BU_Key],"GSE")</f>
        <v>0</v>
      </c>
      <c r="AW36" s="637">
        <f>SUMIFS(tbl_DCFC[F Montant HT],tbl_DCFC[CW REV],AW$1,tbl_DCFC[BU_Key],"GSE")</f>
        <v>0</v>
      </c>
      <c r="AX36" s="637">
        <f>SUMIFS(tbl_DCFC[F Montant HT],tbl_DCFC[CW REV],AX$1,tbl_DCFC[BU_Key],"GSE")</f>
        <v>0</v>
      </c>
      <c r="AY36" s="637">
        <f>SUMIFS(tbl_DCFC[F Montant HT],tbl_DCFC[CW REV],AY$1,tbl_DCFC[BU_Key],"GSE")</f>
        <v>0</v>
      </c>
      <c r="AZ36" s="637">
        <f>SUMIFS(tbl_DCFC[F Montant HT],tbl_DCFC[CW REV],AZ$1,tbl_DCFC[BU_Key],"GSE")</f>
        <v>0</v>
      </c>
      <c r="BA36" s="637">
        <f>SUMIFS(tbl_DCFC[F Montant HT],tbl_DCFC[CW REV],BA$1,tbl_DCFC[BU_Key],"GSE")</f>
        <v>0</v>
      </c>
      <c r="BB36" s="637">
        <f>SUMIFS(tbl_DCFC[F Montant HT],tbl_DCFC[CW REV],BB$1,tbl_DCFC[BU_Key],"GSE")</f>
        <v>0</v>
      </c>
    </row>
    <row r="37" spans="2:64" x14ac:dyDescent="0.3">
      <c r="B37" s="725" t="s">
        <v>826</v>
      </c>
      <c r="C37" s="637">
        <f>SUMIFS(tbl_DCFC[F Montant HT],tbl_DCFC[CW REV],C$1,tbl_DCFC[BU_Key],"TOO")</f>
        <v>0</v>
      </c>
      <c r="D37" s="637">
        <f>SUMIFS(tbl_DCFC[F Montant HT],tbl_DCFC[CW REV],D$1,tbl_DCFC[BU_Key],"TOO")</f>
        <v>0</v>
      </c>
      <c r="E37" s="637">
        <f>SUMIFS(tbl_DCFC[F Montant HT],tbl_DCFC[CW REV],E$1,tbl_DCFC[BU_Key],"TOO")</f>
        <v>2750</v>
      </c>
      <c r="F37" s="637">
        <f>SUMIFS(tbl_DCFC[F Montant HT],tbl_DCFC[CW REV],F$1,tbl_DCFC[BU_Key],"TOO")</f>
        <v>0</v>
      </c>
      <c r="G37" s="637">
        <f>SUMIFS(tbl_DCFC[F Montant HT],tbl_DCFC[CW REV],G$1,tbl_DCFC[BU_Key],"TOO")</f>
        <v>0</v>
      </c>
      <c r="H37" s="637">
        <f>SUMIFS(tbl_DCFC[F Montant HT],tbl_DCFC[CW REV],H$1,tbl_DCFC[BU_Key],"TOO")</f>
        <v>0</v>
      </c>
      <c r="I37" s="637">
        <f>SUMIFS(tbl_DCFC[F Montant HT],tbl_DCFC[CW REV],I$1,tbl_DCFC[BU_Key],"TOO")</f>
        <v>4425</v>
      </c>
      <c r="J37" s="637">
        <f>SUMIFS(tbl_DCFC[F Montant HT],tbl_DCFC[CW REV],J$1,tbl_DCFC[BU_Key],"TOO")</f>
        <v>0</v>
      </c>
      <c r="K37" s="637">
        <f>SUMIFS(tbl_DCFC[F Montant HT],tbl_DCFC[CW REV],K$1,tbl_DCFC[BU_Key],"TOO")</f>
        <v>3236</v>
      </c>
      <c r="L37" s="637">
        <f>SUMIFS(tbl_DCFC[F Montant HT],tbl_DCFC[CW REV],L$1,tbl_DCFC[BU_Key],"TOO")</f>
        <v>0</v>
      </c>
      <c r="M37" s="637">
        <f>SUMIFS(tbl_DCFC[F Montant HT],tbl_DCFC[CW REV],M$1,tbl_DCFC[BU_Key],"TOO")</f>
        <v>0</v>
      </c>
      <c r="N37" s="637">
        <f>SUMIFS(tbl_DCFC[F Montant HT],tbl_DCFC[CW REV],N$1,tbl_DCFC[BU_Key],"TOO")</f>
        <v>0</v>
      </c>
      <c r="O37" s="637">
        <f>SUMIFS(tbl_DCFC[F Montant HT],tbl_DCFC[CW REV],O$1,tbl_DCFC[BU_Key],"TOO")</f>
        <v>0</v>
      </c>
      <c r="P37" s="637">
        <f>SUMIFS(tbl_DCFC[F Montant HT],tbl_DCFC[CW REV],P$1,tbl_DCFC[BU_Key],"TOO")</f>
        <v>186</v>
      </c>
      <c r="Q37" s="637">
        <f>SUMIFS(tbl_DCFC[F Montant HT],tbl_DCFC[CW REV],Q$1,tbl_DCFC[BU_Key],"TOO")</f>
        <v>0</v>
      </c>
      <c r="R37" s="637">
        <f>SUMIFS(tbl_DCFC[F Montant HT],tbl_DCFC[CW REV],R$1,tbl_DCFC[BU_Key],"TOO")</f>
        <v>0</v>
      </c>
      <c r="S37" s="637">
        <f>SUMIFS(tbl_DCFC[F Montant HT],tbl_DCFC[CW REV],S$1,tbl_DCFC[BU_Key],"TOO")</f>
        <v>0</v>
      </c>
      <c r="T37" s="637">
        <f>SUMIFS(tbl_DCFC[F Montant HT],tbl_DCFC[CW REV],T$1,tbl_DCFC[BU_Key],"TOO")</f>
        <v>0</v>
      </c>
      <c r="U37" s="637">
        <f>SUMIFS(tbl_DCFC[F Montant HT],tbl_DCFC[CW REV],U$1,tbl_DCFC[BU_Key],"TOO")</f>
        <v>0</v>
      </c>
      <c r="V37" s="637">
        <f>SUMIFS(tbl_DCFC[F Montant HT],tbl_DCFC[CW REV],V$1,tbl_DCFC[BU_Key],"TOO")</f>
        <v>0</v>
      </c>
      <c r="W37" s="637">
        <f>SUMIFS(tbl_DCFC[F Montant HT],tbl_DCFC[CW REV],W$1,tbl_DCFC[BU_Key],"TOO")</f>
        <v>0</v>
      </c>
      <c r="X37" s="637">
        <f>SUMIFS(tbl_DCFC[F Montant HT],tbl_DCFC[CW REV],X$1,tbl_DCFC[BU_Key],"TOO")</f>
        <v>0</v>
      </c>
      <c r="Y37" s="637">
        <f>SUMIFS(tbl_DCFC[F Montant HT],tbl_DCFC[CW REV],Y$1,tbl_DCFC[BU_Key],"TOO")</f>
        <v>0</v>
      </c>
      <c r="Z37" s="637">
        <f>SUMIFS(tbl_DCFC[F Montant HT],tbl_DCFC[CW REV],Z$1,tbl_DCFC[BU_Key],"TOO")</f>
        <v>0</v>
      </c>
      <c r="AA37" s="637">
        <f>SUMIFS(tbl_DCFC[F Montant HT],tbl_DCFC[CW REV],AA$1,tbl_DCFC[BU_Key],"TOO")</f>
        <v>0</v>
      </c>
      <c r="AB37" s="637">
        <f>SUMIFS(tbl_DCFC[F Montant HT],tbl_DCFC[CW REV],AB$1,tbl_DCFC[BU_Key],"TOO")</f>
        <v>0</v>
      </c>
      <c r="AC37" s="637">
        <f>SUMIFS(tbl_DCFC[F Montant HT],tbl_DCFC[CW REV],AC$1,tbl_DCFC[BU_Key],"TOO")</f>
        <v>0</v>
      </c>
      <c r="AD37" s="637">
        <f>SUMIFS(tbl_DCFC[F Montant HT],tbl_DCFC[CW REV],AD$1,tbl_DCFC[BU_Key],"TOO")</f>
        <v>0</v>
      </c>
      <c r="AE37" s="637">
        <f>SUMIFS(tbl_DCFC[F Montant HT],tbl_DCFC[CW REV],AE$1,tbl_DCFC[BU_Key],"TOO")</f>
        <v>0</v>
      </c>
      <c r="AF37" s="637">
        <f>SUMIFS(tbl_DCFC[F Montant HT],tbl_DCFC[CW REV],AF$1,tbl_DCFC[BU_Key],"TOO")</f>
        <v>0</v>
      </c>
      <c r="AG37" s="637">
        <f>SUMIFS(tbl_DCFC[F Montant HT],tbl_DCFC[CW REV],AG$1,tbl_DCFC[BU_Key],"TOO")</f>
        <v>0</v>
      </c>
      <c r="AH37" s="637">
        <f>SUMIFS(tbl_DCFC[F Montant HT],tbl_DCFC[CW REV],AH$1,tbl_DCFC[BU_Key],"TOO")</f>
        <v>0</v>
      </c>
      <c r="AI37" s="637">
        <f>SUMIFS(tbl_DCFC[F Montant HT],tbl_DCFC[CW REV],AI$1,tbl_DCFC[BU_Key],"TOO")</f>
        <v>0</v>
      </c>
      <c r="AJ37" s="637">
        <f>SUMIFS(tbl_DCFC[F Montant HT],tbl_DCFC[CW REV],AJ$1,tbl_DCFC[BU_Key],"TOO")</f>
        <v>0</v>
      </c>
      <c r="AK37" s="637">
        <f>SUMIFS(tbl_DCFC[F Montant HT],tbl_DCFC[CW REV],AK$1,tbl_DCFC[BU_Key],"TOO")</f>
        <v>0</v>
      </c>
      <c r="AL37" s="637">
        <f>SUMIFS(tbl_DCFC[F Montant HT],tbl_DCFC[CW REV],AL$1,tbl_DCFC[BU_Key],"TOO")</f>
        <v>0</v>
      </c>
      <c r="AM37" s="637">
        <f>SUMIFS(tbl_DCFC[F Montant HT],tbl_DCFC[CW REV],AM$1,tbl_DCFC[BU_Key],"TOO")</f>
        <v>0</v>
      </c>
      <c r="AN37" s="637">
        <f>SUMIFS(tbl_DCFC[F Montant HT],tbl_DCFC[CW REV],AN$1,tbl_DCFC[BU_Key],"TOO")</f>
        <v>0</v>
      </c>
      <c r="AO37" s="637">
        <f>SUMIFS(tbl_DCFC[F Montant HT],tbl_DCFC[CW REV],AO$1,tbl_DCFC[BU_Key],"TOO")</f>
        <v>0</v>
      </c>
      <c r="AP37" s="637">
        <f>SUMIFS(tbl_DCFC[F Montant HT],tbl_DCFC[CW REV],AP$1,tbl_DCFC[BU_Key],"TOO")</f>
        <v>0</v>
      </c>
      <c r="AQ37" s="637">
        <f>SUMIFS(tbl_DCFC[F Montant HT],tbl_DCFC[CW REV],AQ$1,tbl_DCFC[BU_Key],"TOO")</f>
        <v>0</v>
      </c>
      <c r="AR37" s="637">
        <f>SUMIFS(tbl_DCFC[F Montant HT],tbl_DCFC[CW REV],AR$1,tbl_DCFC[BU_Key],"TOO")</f>
        <v>0</v>
      </c>
      <c r="AS37" s="637">
        <f>SUMIFS(tbl_DCFC[F Montant HT],tbl_DCFC[CW REV],AS$1,tbl_DCFC[BU_Key],"TOO")</f>
        <v>0</v>
      </c>
      <c r="AT37" s="637">
        <f>SUMIFS(tbl_DCFC[F Montant HT],tbl_DCFC[CW REV],AT$1,tbl_DCFC[BU_Key],"TOO")</f>
        <v>0</v>
      </c>
      <c r="AU37" s="637">
        <f>SUMIFS(tbl_DCFC[F Montant HT],tbl_DCFC[CW REV],AU$1,tbl_DCFC[BU_Key],"TOO")</f>
        <v>0</v>
      </c>
      <c r="AV37" s="637">
        <f>SUMIFS(tbl_DCFC[F Montant HT],tbl_DCFC[CW REV],AV$1,tbl_DCFC[BU_Key],"TOO")</f>
        <v>0</v>
      </c>
      <c r="AW37" s="637">
        <f>SUMIFS(tbl_DCFC[F Montant HT],tbl_DCFC[CW REV],AW$1,tbl_DCFC[BU_Key],"TOO")</f>
        <v>0</v>
      </c>
      <c r="AX37" s="637">
        <f>SUMIFS(tbl_DCFC[F Montant HT],tbl_DCFC[CW REV],AX$1,tbl_DCFC[BU_Key],"TOO")</f>
        <v>0</v>
      </c>
      <c r="AY37" s="637">
        <f>SUMIFS(tbl_DCFC[F Montant HT],tbl_DCFC[CW REV],AY$1,tbl_DCFC[BU_Key],"TOO")</f>
        <v>0</v>
      </c>
      <c r="AZ37" s="637">
        <f>SUMIFS(tbl_DCFC[F Montant HT],tbl_DCFC[CW REV],AZ$1,tbl_DCFC[BU_Key],"TOO")</f>
        <v>0</v>
      </c>
      <c r="BA37" s="637">
        <f>SUMIFS(tbl_DCFC[F Montant HT],tbl_DCFC[CW REV],BA$1,tbl_DCFC[BU_Key],"TOO")</f>
        <v>0</v>
      </c>
      <c r="BB37" s="637">
        <f>SUMIFS(tbl_DCFC[F Montant HT],tbl_DCFC[CW REV],BB$1,tbl_DCFC[BU_Key],"TOO")</f>
        <v>0</v>
      </c>
    </row>
    <row r="38" spans="2:64" x14ac:dyDescent="0.3">
      <c r="B38" s="725" t="s">
        <v>827</v>
      </c>
      <c r="C38" s="637">
        <f>SUMIFS(tbl_DCFC[F Montant HT],tbl_DCFC[CW REV],C$1,tbl_DCFC[BU_Key],"SER")</f>
        <v>0</v>
      </c>
      <c r="D38" s="637">
        <f>SUMIFS(tbl_DCFC[F Montant HT],tbl_DCFC[CW REV],D$1,tbl_DCFC[BU_Key],"SER")</f>
        <v>3180</v>
      </c>
      <c r="E38" s="637">
        <f>SUMIFS(tbl_DCFC[F Montant HT],tbl_DCFC[CW REV],E$1,tbl_DCFC[BU_Key],"SER")</f>
        <v>2766</v>
      </c>
      <c r="F38" s="637">
        <f>SUMIFS(tbl_DCFC[F Montant HT],tbl_DCFC[CW REV],F$1,tbl_DCFC[BU_Key],"SER")</f>
        <v>0</v>
      </c>
      <c r="G38" s="637">
        <f>SUMIFS(tbl_DCFC[F Montant HT],tbl_DCFC[CW REV],G$1,tbl_DCFC[BU_Key],"SER")</f>
        <v>660</v>
      </c>
      <c r="H38" s="637">
        <f>SUMIFS(tbl_DCFC[F Montant HT],tbl_DCFC[CW REV],H$1,tbl_DCFC[BU_Key],"SER")</f>
        <v>20605</v>
      </c>
      <c r="I38" s="637">
        <f>SUMIFS(tbl_DCFC[F Montant HT],tbl_DCFC[CW REV],I$1,tbl_DCFC[BU_Key],"SER")</f>
        <v>660</v>
      </c>
      <c r="J38" s="637">
        <f>SUMIFS(tbl_DCFC[F Montant HT],tbl_DCFC[CW REV],J$1,tbl_DCFC[BU_Key],"SER")</f>
        <v>6347</v>
      </c>
      <c r="K38" s="637">
        <f>SUMIFS(tbl_DCFC[F Montant HT],tbl_DCFC[CW REV],K$1,tbl_DCFC[BU_Key],"SER")</f>
        <v>3180</v>
      </c>
      <c r="L38" s="637">
        <f>SUMIFS(tbl_DCFC[F Montant HT],tbl_DCFC[CW REV],L$1,tbl_DCFC[BU_Key],"SER")</f>
        <v>5883.5</v>
      </c>
      <c r="M38" s="637">
        <f>SUMIFS(tbl_DCFC[F Montant HT],tbl_DCFC[CW REV],M$1,tbl_DCFC[BU_Key],"SER")</f>
        <v>5120</v>
      </c>
      <c r="N38" s="637">
        <f>SUMIFS(tbl_DCFC[F Montant HT],tbl_DCFC[CW REV],N$1,tbl_DCFC[BU_Key],"SER")</f>
        <v>5810</v>
      </c>
      <c r="O38" s="637">
        <f>SUMIFS(tbl_DCFC[F Montant HT],tbl_DCFC[CW REV],O$1,tbl_DCFC[BU_Key],"SER")</f>
        <v>20320</v>
      </c>
      <c r="P38" s="637">
        <f>SUMIFS(tbl_DCFC[F Montant HT],tbl_DCFC[CW REV],P$1,tbl_DCFC[BU_Key],"SER")</f>
        <v>15123</v>
      </c>
      <c r="Q38" s="637">
        <f>SUMIFS(tbl_DCFC[F Montant HT],tbl_DCFC[CW REV],Q$1,tbl_DCFC[BU_Key],"SER")</f>
        <v>385</v>
      </c>
      <c r="R38" s="637">
        <f>SUMIFS(tbl_DCFC[F Montant HT],tbl_DCFC[CW REV],R$1,tbl_DCFC[BU_Key],"SER")</f>
        <v>0</v>
      </c>
      <c r="S38" s="637">
        <f>SUMIFS(tbl_DCFC[F Montant HT],tbl_DCFC[CW REV],S$1,tbl_DCFC[BU_Key],"SER")</f>
        <v>0</v>
      </c>
      <c r="T38" s="637">
        <f>SUMIFS(tbl_DCFC[F Montant HT],tbl_DCFC[CW REV],T$1,tbl_DCFC[BU_Key],"SER")</f>
        <v>0</v>
      </c>
      <c r="U38" s="637">
        <f>SUMIFS(tbl_DCFC[F Montant HT],tbl_DCFC[CW REV],U$1,tbl_DCFC[BU_Key],"SER")</f>
        <v>0</v>
      </c>
      <c r="V38" s="637">
        <f>SUMIFS(tbl_DCFC[F Montant HT],tbl_DCFC[CW REV],V$1,tbl_DCFC[BU_Key],"SER")</f>
        <v>0</v>
      </c>
      <c r="W38" s="637">
        <f>SUMIFS(tbl_DCFC[F Montant HT],tbl_DCFC[CW REV],W$1,tbl_DCFC[BU_Key],"SER")</f>
        <v>0</v>
      </c>
      <c r="X38" s="637">
        <f>SUMIFS(tbl_DCFC[F Montant HT],tbl_DCFC[CW REV],X$1,tbl_DCFC[BU_Key],"SER")</f>
        <v>0</v>
      </c>
      <c r="Y38" s="637">
        <f>SUMIFS(tbl_DCFC[F Montant HT],tbl_DCFC[CW REV],Y$1,tbl_DCFC[BU_Key],"SER")</f>
        <v>0</v>
      </c>
      <c r="Z38" s="637">
        <f>SUMIFS(tbl_DCFC[F Montant HT],tbl_DCFC[CW REV],Z$1,tbl_DCFC[BU_Key],"SER")</f>
        <v>0</v>
      </c>
      <c r="AA38" s="637">
        <f>SUMIFS(tbl_DCFC[F Montant HT],tbl_DCFC[CW REV],AA$1,tbl_DCFC[BU_Key],"SER")</f>
        <v>0</v>
      </c>
      <c r="AB38" s="637">
        <f>SUMIFS(tbl_DCFC[F Montant HT],tbl_DCFC[CW REV],AB$1,tbl_DCFC[BU_Key],"SER")</f>
        <v>0</v>
      </c>
      <c r="AC38" s="637">
        <f>SUMIFS(tbl_DCFC[F Montant HT],tbl_DCFC[CW REV],AC$1,tbl_DCFC[BU_Key],"SER")</f>
        <v>0</v>
      </c>
      <c r="AD38" s="637">
        <f>SUMIFS(tbl_DCFC[F Montant HT],tbl_DCFC[CW REV],AD$1,tbl_DCFC[BU_Key],"SER")</f>
        <v>0</v>
      </c>
      <c r="AE38" s="637">
        <f>SUMIFS(tbl_DCFC[F Montant HT],tbl_DCFC[CW REV],AE$1,tbl_DCFC[BU_Key],"SER")</f>
        <v>0</v>
      </c>
      <c r="AF38" s="637">
        <f>SUMIFS(tbl_DCFC[F Montant HT],tbl_DCFC[CW REV],AF$1,tbl_DCFC[BU_Key],"SER")</f>
        <v>0</v>
      </c>
      <c r="AG38" s="637">
        <f>SUMIFS(tbl_DCFC[F Montant HT],tbl_DCFC[CW REV],AG$1,tbl_DCFC[BU_Key],"SER")</f>
        <v>0</v>
      </c>
      <c r="AH38" s="637">
        <f>SUMIFS(tbl_DCFC[F Montant HT],tbl_DCFC[CW REV],AH$1,tbl_DCFC[BU_Key],"SER")</f>
        <v>0</v>
      </c>
      <c r="AI38" s="637">
        <f>SUMIFS(tbl_DCFC[F Montant HT],tbl_DCFC[CW REV],AI$1,tbl_DCFC[BU_Key],"SER")</f>
        <v>0</v>
      </c>
      <c r="AJ38" s="637">
        <f>SUMIFS(tbl_DCFC[F Montant HT],tbl_DCFC[CW REV],AJ$1,tbl_DCFC[BU_Key],"SER")</f>
        <v>0</v>
      </c>
      <c r="AK38" s="637">
        <f>SUMIFS(tbl_DCFC[F Montant HT],tbl_DCFC[CW REV],AK$1,tbl_DCFC[BU_Key],"SER")</f>
        <v>0</v>
      </c>
      <c r="AL38" s="637">
        <f>SUMIFS(tbl_DCFC[F Montant HT],tbl_DCFC[CW REV],AL$1,tbl_DCFC[BU_Key],"SER")</f>
        <v>0</v>
      </c>
      <c r="AM38" s="637">
        <f>SUMIFS(tbl_DCFC[F Montant HT],tbl_DCFC[CW REV],AM$1,tbl_DCFC[BU_Key],"SER")</f>
        <v>0</v>
      </c>
      <c r="AN38" s="637">
        <f>SUMIFS(tbl_DCFC[F Montant HT],tbl_DCFC[CW REV],AN$1,tbl_DCFC[BU_Key],"SER")</f>
        <v>0</v>
      </c>
      <c r="AO38" s="637">
        <f>SUMIFS(tbl_DCFC[F Montant HT],tbl_DCFC[CW REV],AO$1,tbl_DCFC[BU_Key],"SER")</f>
        <v>0</v>
      </c>
      <c r="AP38" s="637">
        <f>SUMIFS(tbl_DCFC[F Montant HT],tbl_DCFC[CW REV],AP$1,tbl_DCFC[BU_Key],"SER")</f>
        <v>0</v>
      </c>
      <c r="AQ38" s="637">
        <f>SUMIFS(tbl_DCFC[F Montant HT],tbl_DCFC[CW REV],AQ$1,tbl_DCFC[BU_Key],"SER")</f>
        <v>0</v>
      </c>
      <c r="AR38" s="637">
        <f>SUMIFS(tbl_DCFC[F Montant HT],tbl_DCFC[CW REV],AR$1,tbl_DCFC[BU_Key],"SER")</f>
        <v>0</v>
      </c>
      <c r="AS38" s="637">
        <f>SUMIFS(tbl_DCFC[F Montant HT],tbl_DCFC[CW REV],AS$1,tbl_DCFC[BU_Key],"SER")</f>
        <v>0</v>
      </c>
      <c r="AT38" s="637">
        <f>SUMIFS(tbl_DCFC[F Montant HT],tbl_DCFC[CW REV],AT$1,tbl_DCFC[BU_Key],"SER")</f>
        <v>0</v>
      </c>
      <c r="AU38" s="637">
        <f>SUMIFS(tbl_DCFC[F Montant HT],tbl_DCFC[CW REV],AU$1,tbl_DCFC[BU_Key],"SER")</f>
        <v>0</v>
      </c>
      <c r="AV38" s="637">
        <f>SUMIFS(tbl_DCFC[F Montant HT],tbl_DCFC[CW REV],AV$1,tbl_DCFC[BU_Key],"SER")</f>
        <v>0</v>
      </c>
      <c r="AW38" s="637">
        <f>SUMIFS(tbl_DCFC[F Montant HT],tbl_DCFC[CW REV],AW$1,tbl_DCFC[BU_Key],"SER")</f>
        <v>0</v>
      </c>
      <c r="AX38" s="637">
        <f>SUMIFS(tbl_DCFC[F Montant HT],tbl_DCFC[CW REV],AX$1,tbl_DCFC[BU_Key],"SER")</f>
        <v>0</v>
      </c>
      <c r="AY38" s="637">
        <f>SUMIFS(tbl_DCFC[F Montant HT],tbl_DCFC[CW REV],AY$1,tbl_DCFC[BU_Key],"SER")</f>
        <v>0</v>
      </c>
      <c r="AZ38" s="637">
        <f>SUMIFS(tbl_DCFC[F Montant HT],tbl_DCFC[CW REV],AZ$1,tbl_DCFC[BU_Key],"SER")</f>
        <v>0</v>
      </c>
      <c r="BA38" s="637">
        <f>SUMIFS(tbl_DCFC[F Montant HT],tbl_DCFC[CW REV],BA$1,tbl_DCFC[BU_Key],"SER")</f>
        <v>0</v>
      </c>
      <c r="BB38" s="637">
        <f>SUMIFS(tbl_DCFC[F Montant HT],tbl_DCFC[CW REV],BB$1,tbl_DCFC[BU_Key],"SER")</f>
        <v>0</v>
      </c>
    </row>
    <row r="39" spans="2:64" s="437" customFormat="1" x14ac:dyDescent="0.3">
      <c r="B39" s="725" t="s">
        <v>786</v>
      </c>
      <c r="C39" s="400">
        <f>SUMIFS(tbl_DCFC[F Montant HT],tbl_DCFC[CW REV],C$1,tbl_DCFC[BU_Key],"INT")</f>
        <v>0</v>
      </c>
      <c r="D39" s="400">
        <f>SUMIFS(tbl_DCFC[F Montant HT],tbl_DCFC[CW REV],D$1,tbl_DCFC[BU_Key],"INT")</f>
        <v>0</v>
      </c>
      <c r="E39" s="400">
        <f>SUMIFS(tbl_DCFC[F Montant HT],tbl_DCFC[CW REV],E$1,tbl_DCFC[BU_Key],"INT")</f>
        <v>0</v>
      </c>
      <c r="F39" s="400">
        <f>SUMIFS(tbl_DCFC[F Montant HT],tbl_DCFC[CW REV],F$1,tbl_DCFC[BU_Key],"INT")</f>
        <v>0</v>
      </c>
      <c r="G39" s="400">
        <f>SUMIFS(tbl_DCFC[F Montant HT],tbl_DCFC[CW REV],G$1,tbl_DCFC[BU_Key],"INT")</f>
        <v>0</v>
      </c>
      <c r="H39" s="400">
        <f>SUMIFS(tbl_DCFC[F Montant HT],tbl_DCFC[CW REV],H$1,tbl_DCFC[BU_Key],"INT")</f>
        <v>0</v>
      </c>
      <c r="I39" s="400">
        <f>SUMIFS(tbl_DCFC[F Montant HT],tbl_DCFC[CW REV],I$1,tbl_DCFC[BU_Key],"INT")</f>
        <v>0</v>
      </c>
      <c r="J39" s="400">
        <f>SUMIFS(tbl_DCFC[F Montant HT],tbl_DCFC[CW REV],J$1,tbl_DCFC[BU_Key],"INT")</f>
        <v>0</v>
      </c>
      <c r="K39" s="400">
        <f>SUMIFS(tbl_DCFC[F Montant HT],tbl_DCFC[CW REV],K$1,tbl_DCFC[BU_Key],"INT")</f>
        <v>0</v>
      </c>
      <c r="L39" s="400">
        <f>SUMIFS(tbl_DCFC[F Montant HT],tbl_DCFC[CW REV],L$1,tbl_DCFC[BU_Key],"INT")</f>
        <v>0</v>
      </c>
      <c r="M39" s="400">
        <f>SUMIFS(tbl_DCFC[F Montant HT],tbl_DCFC[CW REV],M$1,tbl_DCFC[BU_Key],"INT")</f>
        <v>0</v>
      </c>
      <c r="N39" s="400">
        <f>SUMIFS(tbl_DCFC[F Montant HT],tbl_DCFC[CW REV],N$1,tbl_DCFC[BU_Key],"INT")</f>
        <v>0</v>
      </c>
      <c r="O39" s="400">
        <f>SUMIFS(tbl_DCFC[F Montant HT],tbl_DCFC[CW REV],O$1,tbl_DCFC[BU_Key],"INT")</f>
        <v>0</v>
      </c>
      <c r="P39" s="400">
        <f>SUMIFS(tbl_DCFC[F Montant HT],tbl_DCFC[CW REV],P$1,tbl_DCFC[BU_Key],"INT")</f>
        <v>0</v>
      </c>
      <c r="Q39" s="400">
        <f>SUMIFS(tbl_DCFC[F Montant HT],tbl_DCFC[CW REV],Q$1,tbl_DCFC[BU_Key],"INT")</f>
        <v>0</v>
      </c>
      <c r="R39" s="400">
        <f>SUMIFS(tbl_DCFC[F Montant HT],tbl_DCFC[CW REV],R$1,tbl_DCFC[BU_Key],"INT")</f>
        <v>0</v>
      </c>
      <c r="S39" s="400">
        <f>SUMIFS(tbl_DCFC[F Montant HT],tbl_DCFC[CW REV],S$1,tbl_DCFC[BU_Key],"INT")</f>
        <v>0</v>
      </c>
      <c r="T39" s="400">
        <f>SUMIFS(tbl_DCFC[F Montant HT],tbl_DCFC[CW REV],T$1,tbl_DCFC[BU_Key],"INT")</f>
        <v>0</v>
      </c>
      <c r="U39" s="400">
        <f>SUMIFS(tbl_DCFC[F Montant HT],tbl_DCFC[CW REV],U$1,tbl_DCFC[BU_Key],"INT")</f>
        <v>0</v>
      </c>
      <c r="V39" s="400">
        <f>SUMIFS(tbl_DCFC[F Montant HT],tbl_DCFC[CW REV],V$1,tbl_DCFC[BU_Key],"INT")</f>
        <v>0</v>
      </c>
      <c r="W39" s="400">
        <f>SUMIFS(tbl_DCFC[F Montant HT],tbl_DCFC[CW REV],W$1,tbl_DCFC[BU_Key],"INT")</f>
        <v>0</v>
      </c>
      <c r="X39" s="400">
        <f>SUMIFS(tbl_DCFC[F Montant HT],tbl_DCFC[CW REV],X$1,tbl_DCFC[BU_Key],"INT")</f>
        <v>0</v>
      </c>
      <c r="Y39" s="400">
        <f>SUMIFS(tbl_DCFC[F Montant HT],tbl_DCFC[CW REV],Y$1,tbl_DCFC[BU_Key],"INT")</f>
        <v>0</v>
      </c>
      <c r="Z39" s="400">
        <f>SUMIFS(tbl_DCFC[F Montant HT],tbl_DCFC[CW REV],Z$1,tbl_DCFC[BU_Key],"INT")</f>
        <v>0</v>
      </c>
      <c r="AA39" s="400">
        <f>SUMIFS(tbl_DCFC[F Montant HT],tbl_DCFC[CW REV],AA$1,tbl_DCFC[BU_Key],"INT")</f>
        <v>0</v>
      </c>
      <c r="AB39" s="400">
        <f>SUMIFS(tbl_DCFC[F Montant HT],tbl_DCFC[CW REV],AB$1,tbl_DCFC[BU_Key],"INT")</f>
        <v>0</v>
      </c>
      <c r="AC39" s="400">
        <f>SUMIFS(tbl_DCFC[F Montant HT],tbl_DCFC[CW REV],AC$1,tbl_DCFC[BU_Key],"INT")</f>
        <v>0</v>
      </c>
      <c r="AD39" s="400">
        <f>SUMIFS(tbl_DCFC[F Montant HT],tbl_DCFC[CW REV],AD$1,tbl_DCFC[BU_Key],"INT")</f>
        <v>0</v>
      </c>
      <c r="AE39" s="400">
        <f>SUMIFS(tbl_DCFC[F Montant HT],tbl_DCFC[CW REV],AE$1,tbl_DCFC[BU_Key],"INT")</f>
        <v>0</v>
      </c>
      <c r="AF39" s="400">
        <f>SUMIFS(tbl_DCFC[F Montant HT],tbl_DCFC[CW REV],AF$1,tbl_DCFC[BU_Key],"INT")</f>
        <v>0</v>
      </c>
      <c r="AG39" s="400">
        <f>SUMIFS(tbl_DCFC[F Montant HT],tbl_DCFC[CW REV],AG$1,tbl_DCFC[BU_Key],"INT")</f>
        <v>0</v>
      </c>
      <c r="AH39" s="400">
        <f>SUMIFS(tbl_DCFC[F Montant HT],tbl_DCFC[CW REV],AH$1,tbl_DCFC[BU_Key],"INT")</f>
        <v>0</v>
      </c>
      <c r="AI39" s="400">
        <f>SUMIFS(tbl_DCFC[F Montant HT],tbl_DCFC[CW REV],AI$1,tbl_DCFC[BU_Key],"INT")</f>
        <v>0</v>
      </c>
      <c r="AJ39" s="400">
        <f>SUMIFS(tbl_DCFC[F Montant HT],tbl_DCFC[CW REV],AJ$1,tbl_DCFC[BU_Key],"INT")</f>
        <v>0</v>
      </c>
      <c r="AK39" s="400">
        <f>SUMIFS(tbl_DCFC[F Montant HT],tbl_DCFC[CW REV],AK$1,tbl_DCFC[BU_Key],"INT")</f>
        <v>0</v>
      </c>
      <c r="AL39" s="400">
        <f>SUMIFS(tbl_DCFC[F Montant HT],tbl_DCFC[CW REV],AL$1,tbl_DCFC[BU_Key],"INT")</f>
        <v>0</v>
      </c>
      <c r="AM39" s="400">
        <f>SUMIFS(tbl_DCFC[F Montant HT],tbl_DCFC[CW REV],AM$1,tbl_DCFC[BU_Key],"INT")</f>
        <v>0</v>
      </c>
      <c r="AN39" s="400">
        <f>SUMIFS(tbl_DCFC[F Montant HT],tbl_DCFC[CW REV],AN$1,tbl_DCFC[BU_Key],"INT")</f>
        <v>0</v>
      </c>
      <c r="AO39" s="400">
        <f>SUMIFS(tbl_DCFC[F Montant HT],tbl_DCFC[CW REV],AO$1,tbl_DCFC[BU_Key],"INT")</f>
        <v>0</v>
      </c>
      <c r="AP39" s="400">
        <f>SUMIFS(tbl_DCFC[F Montant HT],tbl_DCFC[CW REV],AP$1,tbl_DCFC[BU_Key],"INT")</f>
        <v>0</v>
      </c>
      <c r="AQ39" s="400">
        <f>SUMIFS(tbl_DCFC[F Montant HT],tbl_DCFC[CW REV],AQ$1,tbl_DCFC[BU_Key],"INT")</f>
        <v>0</v>
      </c>
      <c r="AR39" s="400">
        <f>SUMIFS(tbl_DCFC[F Montant HT],tbl_DCFC[CW REV],AR$1,tbl_DCFC[BU_Key],"INT")</f>
        <v>0</v>
      </c>
      <c r="AS39" s="400">
        <f>SUMIFS(tbl_DCFC[F Montant HT],tbl_DCFC[CW REV],AS$1,tbl_DCFC[BU_Key],"INT")</f>
        <v>0</v>
      </c>
      <c r="AT39" s="400">
        <f>SUMIFS(tbl_DCFC[F Montant HT],tbl_DCFC[CW REV],AT$1,tbl_DCFC[BU_Key],"INT")</f>
        <v>0</v>
      </c>
      <c r="AU39" s="400">
        <f>SUMIFS(tbl_DCFC[F Montant HT],tbl_DCFC[CW REV],AU$1,tbl_DCFC[BU_Key],"INT")</f>
        <v>0</v>
      </c>
      <c r="AV39" s="400">
        <f>SUMIFS(tbl_DCFC[F Montant HT],tbl_DCFC[CW REV],AV$1,tbl_DCFC[BU_Key],"INT")</f>
        <v>0</v>
      </c>
      <c r="AW39" s="400">
        <f>SUMIFS(tbl_DCFC[F Montant HT],tbl_DCFC[CW REV],AW$1,tbl_DCFC[BU_Key],"INT")</f>
        <v>0</v>
      </c>
      <c r="AX39" s="400">
        <f>SUMIFS(tbl_DCFC[F Montant HT],tbl_DCFC[CW REV],AX$1,tbl_DCFC[BU_Key],"INT")</f>
        <v>0</v>
      </c>
      <c r="AY39" s="400">
        <f>SUMIFS(tbl_DCFC[F Montant HT],tbl_DCFC[CW REV],AY$1,tbl_DCFC[BU_Key],"INT")</f>
        <v>0</v>
      </c>
      <c r="AZ39" s="400">
        <f>SUMIFS(tbl_DCFC[F Montant HT],tbl_DCFC[CW REV],AZ$1,tbl_DCFC[BU_Key],"INT")</f>
        <v>0</v>
      </c>
      <c r="BA39" s="400">
        <f>SUMIFS(tbl_DCFC[F Montant HT],tbl_DCFC[CW REV],BA$1,tbl_DCFC[BU_Key],"INT")</f>
        <v>0</v>
      </c>
      <c r="BB39" s="400">
        <f>SUMIFS(tbl_DCFC[F Montant HT],tbl_DCFC[CW REV],BB$1,tbl_DCFC[BU_Key],"INT")</f>
        <v>0</v>
      </c>
    </row>
    <row r="40" spans="2:64" x14ac:dyDescent="0.3">
      <c r="B40" s="725" t="s">
        <v>828</v>
      </c>
      <c r="C40" s="439">
        <f>C36</f>
        <v>0</v>
      </c>
      <c r="D40" s="439">
        <f t="shared" ref="D40:AI40" si="86">C40+D36</f>
        <v>0</v>
      </c>
      <c r="E40" s="439">
        <f t="shared" si="86"/>
        <v>0</v>
      </c>
      <c r="F40" s="439">
        <f t="shared" si="86"/>
        <v>0</v>
      </c>
      <c r="G40" s="439">
        <f t="shared" si="86"/>
        <v>0</v>
      </c>
      <c r="H40" s="439">
        <f t="shared" si="86"/>
        <v>0</v>
      </c>
      <c r="I40" s="439">
        <f t="shared" si="86"/>
        <v>0</v>
      </c>
      <c r="J40" s="439">
        <f t="shared" si="86"/>
        <v>0</v>
      </c>
      <c r="K40" s="439">
        <f t="shared" si="86"/>
        <v>0</v>
      </c>
      <c r="L40" s="439">
        <f t="shared" si="86"/>
        <v>0</v>
      </c>
      <c r="M40" s="439">
        <f t="shared" si="86"/>
        <v>0</v>
      </c>
      <c r="N40" s="439">
        <f t="shared" si="86"/>
        <v>8579</v>
      </c>
      <c r="O40" s="439">
        <f t="shared" si="86"/>
        <v>8579</v>
      </c>
      <c r="P40" s="439">
        <f t="shared" si="86"/>
        <v>8579</v>
      </c>
      <c r="Q40" s="439">
        <f t="shared" si="86"/>
        <v>8579</v>
      </c>
      <c r="R40" s="439">
        <f t="shared" si="86"/>
        <v>8579</v>
      </c>
      <c r="S40" s="439">
        <f t="shared" si="86"/>
        <v>8579</v>
      </c>
      <c r="T40" s="439">
        <f t="shared" si="86"/>
        <v>8579</v>
      </c>
      <c r="U40" s="439">
        <f t="shared" si="86"/>
        <v>8579</v>
      </c>
      <c r="V40" s="439">
        <f t="shared" si="86"/>
        <v>8579</v>
      </c>
      <c r="W40" s="439">
        <f t="shared" si="86"/>
        <v>8579</v>
      </c>
      <c r="X40" s="439">
        <f t="shared" si="86"/>
        <v>8579</v>
      </c>
      <c r="Y40" s="439">
        <f t="shared" si="86"/>
        <v>8579</v>
      </c>
      <c r="Z40" s="439">
        <f t="shared" si="86"/>
        <v>8579</v>
      </c>
      <c r="AA40" s="439">
        <f t="shared" si="86"/>
        <v>8579</v>
      </c>
      <c r="AB40" s="439">
        <f t="shared" si="86"/>
        <v>8579</v>
      </c>
      <c r="AC40" s="439">
        <f t="shared" si="86"/>
        <v>8579</v>
      </c>
      <c r="AD40" s="439">
        <f t="shared" si="86"/>
        <v>8579</v>
      </c>
      <c r="AE40" s="439">
        <f t="shared" si="86"/>
        <v>8579</v>
      </c>
      <c r="AF40" s="439">
        <f t="shared" si="86"/>
        <v>8579</v>
      </c>
      <c r="AG40" s="439">
        <f t="shared" si="86"/>
        <v>8579</v>
      </c>
      <c r="AH40" s="439">
        <f t="shared" si="86"/>
        <v>8579</v>
      </c>
      <c r="AI40" s="439">
        <f t="shared" si="86"/>
        <v>8579</v>
      </c>
      <c r="AJ40" s="439">
        <f t="shared" ref="AJ40:BB40" si="87">AI40+AJ36</f>
        <v>8579</v>
      </c>
      <c r="AK40" s="439">
        <f t="shared" si="87"/>
        <v>8579</v>
      </c>
      <c r="AL40" s="439">
        <f t="shared" si="87"/>
        <v>8579</v>
      </c>
      <c r="AM40" s="439">
        <f t="shared" si="87"/>
        <v>8579</v>
      </c>
      <c r="AN40" s="439">
        <f t="shared" si="87"/>
        <v>8579</v>
      </c>
      <c r="AO40" s="439">
        <f t="shared" si="87"/>
        <v>8579</v>
      </c>
      <c r="AP40" s="439">
        <f t="shared" si="87"/>
        <v>8579</v>
      </c>
      <c r="AQ40" s="439">
        <f t="shared" si="87"/>
        <v>8579</v>
      </c>
      <c r="AR40" s="439">
        <f t="shared" si="87"/>
        <v>8579</v>
      </c>
      <c r="AS40" s="439">
        <f t="shared" si="87"/>
        <v>8579</v>
      </c>
      <c r="AT40" s="439">
        <f t="shared" si="87"/>
        <v>8579</v>
      </c>
      <c r="AU40" s="439">
        <f t="shared" si="87"/>
        <v>8579</v>
      </c>
      <c r="AV40" s="439">
        <f t="shared" si="87"/>
        <v>8579</v>
      </c>
      <c r="AW40" s="439">
        <f t="shared" si="87"/>
        <v>8579</v>
      </c>
      <c r="AX40" s="439">
        <f t="shared" si="87"/>
        <v>8579</v>
      </c>
      <c r="AY40" s="439">
        <f t="shared" si="87"/>
        <v>8579</v>
      </c>
      <c r="AZ40" s="439">
        <f t="shared" si="87"/>
        <v>8579</v>
      </c>
      <c r="BA40" s="439">
        <f t="shared" si="87"/>
        <v>8579</v>
      </c>
      <c r="BB40" s="439">
        <f t="shared" si="87"/>
        <v>8579</v>
      </c>
    </row>
    <row r="41" spans="2:64" x14ac:dyDescent="0.3">
      <c r="B41" s="725" t="s">
        <v>829</v>
      </c>
      <c r="C41" s="439">
        <f t="shared" ref="C41:C42" si="88">C37</f>
        <v>0</v>
      </c>
      <c r="D41" s="439">
        <f t="shared" ref="D41:AI41" si="89">C41+D37</f>
        <v>0</v>
      </c>
      <c r="E41" s="439">
        <f t="shared" si="89"/>
        <v>2750</v>
      </c>
      <c r="F41" s="439">
        <f t="shared" si="89"/>
        <v>2750</v>
      </c>
      <c r="G41" s="439">
        <f t="shared" si="89"/>
        <v>2750</v>
      </c>
      <c r="H41" s="439">
        <f t="shared" si="89"/>
        <v>2750</v>
      </c>
      <c r="I41" s="439">
        <f t="shared" si="89"/>
        <v>7175</v>
      </c>
      <c r="J41" s="439">
        <f t="shared" si="89"/>
        <v>7175</v>
      </c>
      <c r="K41" s="439">
        <f t="shared" si="89"/>
        <v>10411</v>
      </c>
      <c r="L41" s="439">
        <f t="shared" si="89"/>
        <v>10411</v>
      </c>
      <c r="M41" s="439">
        <f t="shared" si="89"/>
        <v>10411</v>
      </c>
      <c r="N41" s="439">
        <f t="shared" si="89"/>
        <v>10411</v>
      </c>
      <c r="O41" s="439">
        <f t="shared" si="89"/>
        <v>10411</v>
      </c>
      <c r="P41" s="439">
        <f t="shared" si="89"/>
        <v>10597</v>
      </c>
      <c r="Q41" s="439">
        <f t="shared" si="89"/>
        <v>10597</v>
      </c>
      <c r="R41" s="439">
        <f t="shared" si="89"/>
        <v>10597</v>
      </c>
      <c r="S41" s="439">
        <f t="shared" si="89"/>
        <v>10597</v>
      </c>
      <c r="T41" s="439">
        <f t="shared" si="89"/>
        <v>10597</v>
      </c>
      <c r="U41" s="439">
        <f t="shared" si="89"/>
        <v>10597</v>
      </c>
      <c r="V41" s="439">
        <f t="shared" si="89"/>
        <v>10597</v>
      </c>
      <c r="W41" s="439">
        <f t="shared" si="89"/>
        <v>10597</v>
      </c>
      <c r="X41" s="439">
        <f t="shared" si="89"/>
        <v>10597</v>
      </c>
      <c r="Y41" s="439">
        <f t="shared" si="89"/>
        <v>10597</v>
      </c>
      <c r="Z41" s="439">
        <f t="shared" si="89"/>
        <v>10597</v>
      </c>
      <c r="AA41" s="439">
        <f t="shared" si="89"/>
        <v>10597</v>
      </c>
      <c r="AB41" s="439">
        <f t="shared" si="89"/>
        <v>10597</v>
      </c>
      <c r="AC41" s="439">
        <f t="shared" si="89"/>
        <v>10597</v>
      </c>
      <c r="AD41" s="439">
        <f t="shared" si="89"/>
        <v>10597</v>
      </c>
      <c r="AE41" s="439">
        <f t="shared" si="89"/>
        <v>10597</v>
      </c>
      <c r="AF41" s="439">
        <f t="shared" si="89"/>
        <v>10597</v>
      </c>
      <c r="AG41" s="439">
        <f t="shared" si="89"/>
        <v>10597</v>
      </c>
      <c r="AH41" s="439">
        <f t="shared" si="89"/>
        <v>10597</v>
      </c>
      <c r="AI41" s="439">
        <f t="shared" si="89"/>
        <v>10597</v>
      </c>
      <c r="AJ41" s="439">
        <f t="shared" ref="AJ41:BB41" si="90">AI41+AJ37</f>
        <v>10597</v>
      </c>
      <c r="AK41" s="439">
        <f t="shared" si="90"/>
        <v>10597</v>
      </c>
      <c r="AL41" s="439">
        <f t="shared" si="90"/>
        <v>10597</v>
      </c>
      <c r="AM41" s="439">
        <f t="shared" si="90"/>
        <v>10597</v>
      </c>
      <c r="AN41" s="439">
        <f t="shared" si="90"/>
        <v>10597</v>
      </c>
      <c r="AO41" s="439">
        <f t="shared" si="90"/>
        <v>10597</v>
      </c>
      <c r="AP41" s="439">
        <f t="shared" si="90"/>
        <v>10597</v>
      </c>
      <c r="AQ41" s="439">
        <f t="shared" si="90"/>
        <v>10597</v>
      </c>
      <c r="AR41" s="439">
        <f t="shared" si="90"/>
        <v>10597</v>
      </c>
      <c r="AS41" s="439">
        <f t="shared" si="90"/>
        <v>10597</v>
      </c>
      <c r="AT41" s="439">
        <f t="shared" si="90"/>
        <v>10597</v>
      </c>
      <c r="AU41" s="439">
        <f t="shared" si="90"/>
        <v>10597</v>
      </c>
      <c r="AV41" s="439">
        <f t="shared" si="90"/>
        <v>10597</v>
      </c>
      <c r="AW41" s="439">
        <f t="shared" si="90"/>
        <v>10597</v>
      </c>
      <c r="AX41" s="439">
        <f t="shared" si="90"/>
        <v>10597</v>
      </c>
      <c r="AY41" s="439">
        <f t="shared" si="90"/>
        <v>10597</v>
      </c>
      <c r="AZ41" s="439">
        <f t="shared" si="90"/>
        <v>10597</v>
      </c>
      <c r="BA41" s="439">
        <f t="shared" si="90"/>
        <v>10597</v>
      </c>
      <c r="BB41" s="439">
        <f t="shared" si="90"/>
        <v>10597</v>
      </c>
    </row>
    <row r="42" spans="2:64" x14ac:dyDescent="0.3">
      <c r="B42" s="725" t="s">
        <v>830</v>
      </c>
      <c r="C42" s="439">
        <f t="shared" si="88"/>
        <v>0</v>
      </c>
      <c r="D42" s="439">
        <f t="shared" ref="D42:AI42" si="91">C42+D38</f>
        <v>3180</v>
      </c>
      <c r="E42" s="439">
        <f t="shared" si="91"/>
        <v>5946</v>
      </c>
      <c r="F42" s="439">
        <f t="shared" si="91"/>
        <v>5946</v>
      </c>
      <c r="G42" s="439">
        <f t="shared" si="91"/>
        <v>6606</v>
      </c>
      <c r="H42" s="439">
        <f t="shared" si="91"/>
        <v>27211</v>
      </c>
      <c r="I42" s="439">
        <f t="shared" si="91"/>
        <v>27871</v>
      </c>
      <c r="J42" s="439">
        <f t="shared" si="91"/>
        <v>34218</v>
      </c>
      <c r="K42" s="439">
        <f t="shared" si="91"/>
        <v>37398</v>
      </c>
      <c r="L42" s="439">
        <f t="shared" si="91"/>
        <v>43281.5</v>
      </c>
      <c r="M42" s="439">
        <f t="shared" si="91"/>
        <v>48401.5</v>
      </c>
      <c r="N42" s="439">
        <f t="shared" si="91"/>
        <v>54211.5</v>
      </c>
      <c r="O42" s="439">
        <f t="shared" si="91"/>
        <v>74531.5</v>
      </c>
      <c r="P42" s="439">
        <f t="shared" si="91"/>
        <v>89654.5</v>
      </c>
      <c r="Q42" s="439">
        <f t="shared" si="91"/>
        <v>90039.5</v>
      </c>
      <c r="R42" s="439">
        <f t="shared" si="91"/>
        <v>90039.5</v>
      </c>
      <c r="S42" s="439">
        <f t="shared" si="91"/>
        <v>90039.5</v>
      </c>
      <c r="T42" s="439">
        <f t="shared" si="91"/>
        <v>90039.5</v>
      </c>
      <c r="U42" s="439">
        <f t="shared" si="91"/>
        <v>90039.5</v>
      </c>
      <c r="V42" s="439">
        <f t="shared" si="91"/>
        <v>90039.5</v>
      </c>
      <c r="W42" s="439">
        <f t="shared" si="91"/>
        <v>90039.5</v>
      </c>
      <c r="X42" s="439">
        <f t="shared" si="91"/>
        <v>90039.5</v>
      </c>
      <c r="Y42" s="439">
        <f t="shared" si="91"/>
        <v>90039.5</v>
      </c>
      <c r="Z42" s="439">
        <f t="shared" si="91"/>
        <v>90039.5</v>
      </c>
      <c r="AA42" s="439">
        <f t="shared" si="91"/>
        <v>90039.5</v>
      </c>
      <c r="AB42" s="439">
        <f t="shared" si="91"/>
        <v>90039.5</v>
      </c>
      <c r="AC42" s="439">
        <f t="shared" si="91"/>
        <v>90039.5</v>
      </c>
      <c r="AD42" s="439">
        <f t="shared" si="91"/>
        <v>90039.5</v>
      </c>
      <c r="AE42" s="439">
        <f t="shared" si="91"/>
        <v>90039.5</v>
      </c>
      <c r="AF42" s="439">
        <f t="shared" si="91"/>
        <v>90039.5</v>
      </c>
      <c r="AG42" s="439">
        <f t="shared" si="91"/>
        <v>90039.5</v>
      </c>
      <c r="AH42" s="439">
        <f t="shared" si="91"/>
        <v>90039.5</v>
      </c>
      <c r="AI42" s="439">
        <f t="shared" si="91"/>
        <v>90039.5</v>
      </c>
      <c r="AJ42" s="439">
        <f t="shared" ref="AJ42:BB42" si="92">AI42+AJ38</f>
        <v>90039.5</v>
      </c>
      <c r="AK42" s="439">
        <f t="shared" si="92"/>
        <v>90039.5</v>
      </c>
      <c r="AL42" s="439">
        <f t="shared" si="92"/>
        <v>90039.5</v>
      </c>
      <c r="AM42" s="439">
        <f t="shared" si="92"/>
        <v>90039.5</v>
      </c>
      <c r="AN42" s="439">
        <f t="shared" si="92"/>
        <v>90039.5</v>
      </c>
      <c r="AO42" s="439">
        <f t="shared" si="92"/>
        <v>90039.5</v>
      </c>
      <c r="AP42" s="439">
        <f t="shared" si="92"/>
        <v>90039.5</v>
      </c>
      <c r="AQ42" s="439">
        <f t="shared" si="92"/>
        <v>90039.5</v>
      </c>
      <c r="AR42" s="439">
        <f t="shared" si="92"/>
        <v>90039.5</v>
      </c>
      <c r="AS42" s="439">
        <f t="shared" si="92"/>
        <v>90039.5</v>
      </c>
      <c r="AT42" s="439">
        <f t="shared" si="92"/>
        <v>90039.5</v>
      </c>
      <c r="AU42" s="439">
        <f t="shared" si="92"/>
        <v>90039.5</v>
      </c>
      <c r="AV42" s="439">
        <f t="shared" si="92"/>
        <v>90039.5</v>
      </c>
      <c r="AW42" s="439">
        <f t="shared" si="92"/>
        <v>90039.5</v>
      </c>
      <c r="AX42" s="439">
        <f t="shared" si="92"/>
        <v>90039.5</v>
      </c>
      <c r="AY42" s="439">
        <f t="shared" si="92"/>
        <v>90039.5</v>
      </c>
      <c r="AZ42" s="439">
        <f t="shared" si="92"/>
        <v>90039.5</v>
      </c>
      <c r="BA42" s="439">
        <f t="shared" si="92"/>
        <v>90039.5</v>
      </c>
      <c r="BB42" s="439">
        <f t="shared" si="92"/>
        <v>90039.5</v>
      </c>
    </row>
    <row r="43" spans="2:64" x14ac:dyDescent="0.3">
      <c r="B43" s="725" t="s">
        <v>832</v>
      </c>
      <c r="C43" s="439">
        <f>C39</f>
        <v>0</v>
      </c>
      <c r="D43" s="439">
        <f>C43+D39</f>
        <v>0</v>
      </c>
      <c r="E43" s="439">
        <f t="shared" ref="E43:BB43" si="93">D43+E39</f>
        <v>0</v>
      </c>
      <c r="F43" s="439">
        <f t="shared" si="93"/>
        <v>0</v>
      </c>
      <c r="G43" s="439">
        <f t="shared" si="93"/>
        <v>0</v>
      </c>
      <c r="H43" s="439">
        <f t="shared" si="93"/>
        <v>0</v>
      </c>
      <c r="I43" s="439">
        <f t="shared" si="93"/>
        <v>0</v>
      </c>
      <c r="J43" s="439">
        <f t="shared" si="93"/>
        <v>0</v>
      </c>
      <c r="K43" s="439">
        <f t="shared" si="93"/>
        <v>0</v>
      </c>
      <c r="L43" s="439">
        <f t="shared" si="93"/>
        <v>0</v>
      </c>
      <c r="M43" s="439">
        <f t="shared" si="93"/>
        <v>0</v>
      </c>
      <c r="N43" s="439">
        <f t="shared" si="93"/>
        <v>0</v>
      </c>
      <c r="O43" s="439">
        <f t="shared" si="93"/>
        <v>0</v>
      </c>
      <c r="P43" s="439">
        <f t="shared" si="93"/>
        <v>0</v>
      </c>
      <c r="Q43" s="439">
        <f t="shared" si="93"/>
        <v>0</v>
      </c>
      <c r="R43" s="439">
        <f t="shared" si="93"/>
        <v>0</v>
      </c>
      <c r="S43" s="439">
        <f t="shared" si="93"/>
        <v>0</v>
      </c>
      <c r="T43" s="439">
        <f t="shared" si="93"/>
        <v>0</v>
      </c>
      <c r="U43" s="439">
        <f t="shared" si="93"/>
        <v>0</v>
      </c>
      <c r="V43" s="439">
        <f t="shared" si="93"/>
        <v>0</v>
      </c>
      <c r="W43" s="439">
        <f t="shared" si="93"/>
        <v>0</v>
      </c>
      <c r="X43" s="439">
        <f t="shared" si="93"/>
        <v>0</v>
      </c>
      <c r="Y43" s="439">
        <f t="shared" si="93"/>
        <v>0</v>
      </c>
      <c r="Z43" s="439">
        <f t="shared" si="93"/>
        <v>0</v>
      </c>
      <c r="AA43" s="439">
        <f t="shared" si="93"/>
        <v>0</v>
      </c>
      <c r="AB43" s="439">
        <f t="shared" si="93"/>
        <v>0</v>
      </c>
      <c r="AC43" s="439">
        <f t="shared" si="93"/>
        <v>0</v>
      </c>
      <c r="AD43" s="439">
        <f t="shared" si="93"/>
        <v>0</v>
      </c>
      <c r="AE43" s="439">
        <f t="shared" si="93"/>
        <v>0</v>
      </c>
      <c r="AF43" s="439">
        <f t="shared" si="93"/>
        <v>0</v>
      </c>
      <c r="AG43" s="439">
        <f t="shared" si="93"/>
        <v>0</v>
      </c>
      <c r="AH43" s="439">
        <f t="shared" si="93"/>
        <v>0</v>
      </c>
      <c r="AI43" s="439">
        <f t="shared" si="93"/>
        <v>0</v>
      </c>
      <c r="AJ43" s="439">
        <f t="shared" si="93"/>
        <v>0</v>
      </c>
      <c r="AK43" s="439">
        <f t="shared" si="93"/>
        <v>0</v>
      </c>
      <c r="AL43" s="439">
        <f t="shared" si="93"/>
        <v>0</v>
      </c>
      <c r="AM43" s="439">
        <f t="shared" si="93"/>
        <v>0</v>
      </c>
      <c r="AN43" s="439">
        <f t="shared" si="93"/>
        <v>0</v>
      </c>
      <c r="AO43" s="439">
        <f t="shared" si="93"/>
        <v>0</v>
      </c>
      <c r="AP43" s="439">
        <f t="shared" si="93"/>
        <v>0</v>
      </c>
      <c r="AQ43" s="439">
        <f t="shared" si="93"/>
        <v>0</v>
      </c>
      <c r="AR43" s="439">
        <f t="shared" si="93"/>
        <v>0</v>
      </c>
      <c r="AS43" s="439">
        <f t="shared" si="93"/>
        <v>0</v>
      </c>
      <c r="AT43" s="439">
        <f t="shared" si="93"/>
        <v>0</v>
      </c>
      <c r="AU43" s="439">
        <f t="shared" si="93"/>
        <v>0</v>
      </c>
      <c r="AV43" s="439">
        <f t="shared" si="93"/>
        <v>0</v>
      </c>
      <c r="AW43" s="439">
        <f t="shared" si="93"/>
        <v>0</v>
      </c>
      <c r="AX43" s="439">
        <f t="shared" si="93"/>
        <v>0</v>
      </c>
      <c r="AY43" s="439">
        <f t="shared" si="93"/>
        <v>0</v>
      </c>
      <c r="AZ43" s="439">
        <f t="shared" si="93"/>
        <v>0</v>
      </c>
      <c r="BA43" s="439">
        <f t="shared" si="93"/>
        <v>0</v>
      </c>
      <c r="BB43" s="439">
        <f t="shared" si="93"/>
        <v>0</v>
      </c>
    </row>
    <row r="44" spans="2:64" s="437" customFormat="1" x14ac:dyDescent="0.3">
      <c r="B44" s="725"/>
      <c r="C44" s="439"/>
      <c r="D44" s="439"/>
      <c r="E44" s="439"/>
      <c r="F44" s="439"/>
      <c r="G44" s="439"/>
      <c r="H44" s="439"/>
      <c r="I44" s="439"/>
      <c r="J44" s="439"/>
      <c r="K44" s="439"/>
      <c r="L44" s="439"/>
      <c r="M44" s="439"/>
      <c r="N44" s="439"/>
      <c r="O44" s="439"/>
      <c r="P44" s="439"/>
      <c r="Q44" s="439"/>
      <c r="R44" s="439"/>
      <c r="S44" s="439"/>
      <c r="T44" s="439"/>
      <c r="U44" s="439"/>
      <c r="V44" s="439"/>
      <c r="W44" s="439"/>
      <c r="X44" s="439"/>
      <c r="Y44" s="439"/>
      <c r="Z44" s="439"/>
      <c r="AA44" s="439"/>
      <c r="AB44" s="439"/>
      <c r="AC44" s="439"/>
      <c r="AD44" s="439"/>
      <c r="AE44" s="439"/>
      <c r="AF44" s="439"/>
      <c r="AG44" s="439"/>
      <c r="AH44" s="439"/>
      <c r="AI44" s="439"/>
      <c r="AJ44" s="439"/>
      <c r="AK44" s="439"/>
      <c r="AL44" s="439"/>
      <c r="AM44" s="439"/>
      <c r="AN44" s="439"/>
      <c r="AO44" s="439"/>
      <c r="AP44" s="439"/>
      <c r="AQ44" s="439"/>
      <c r="AR44" s="439"/>
      <c r="AS44" s="439"/>
      <c r="AT44" s="439"/>
      <c r="AU44" s="439"/>
      <c r="AV44" s="439"/>
      <c r="AW44" s="439"/>
      <c r="AX44" s="439"/>
      <c r="AY44" s="439"/>
      <c r="AZ44" s="439"/>
      <c r="BA44" s="439"/>
      <c r="BB44" s="439"/>
    </row>
    <row r="45" spans="2:64" s="437" customFormat="1" x14ac:dyDescent="0.3">
      <c r="B45"/>
      <c r="C45" s="439"/>
      <c r="D45" s="439"/>
      <c r="E45" s="439"/>
      <c r="F45" s="439"/>
      <c r="G45" s="439"/>
      <c r="H45" s="439"/>
      <c r="I45" s="439"/>
      <c r="J45" s="439"/>
      <c r="K45" s="439"/>
      <c r="L45" s="439"/>
      <c r="M45" s="439"/>
      <c r="N45" s="439"/>
      <c r="O45" s="439"/>
      <c r="P45" s="439"/>
      <c r="Q45" s="439"/>
      <c r="R45" s="439"/>
      <c r="S45" s="439"/>
      <c r="T45" s="439"/>
      <c r="U45" s="439"/>
      <c r="V45" s="439"/>
      <c r="W45" s="439"/>
      <c r="X45" s="439"/>
      <c r="Y45" s="439"/>
      <c r="Z45" s="439"/>
      <c r="AA45" s="439"/>
      <c r="AB45" s="439"/>
      <c r="AC45" s="439"/>
      <c r="AD45" s="439"/>
      <c r="AE45" s="439"/>
      <c r="AF45" s="439"/>
      <c r="AG45" s="439"/>
      <c r="AH45" s="439"/>
      <c r="AI45" s="439"/>
      <c r="AJ45" s="439"/>
      <c r="AK45" s="439"/>
      <c r="AL45" s="439"/>
      <c r="AM45" s="439"/>
      <c r="AN45" s="439"/>
      <c r="AO45" s="439"/>
      <c r="AP45" s="439"/>
      <c r="AQ45" s="439"/>
      <c r="AR45" s="439"/>
      <c r="AS45" s="439"/>
      <c r="AT45" s="439"/>
      <c r="AU45" s="439"/>
      <c r="AV45" s="439"/>
      <c r="AW45" s="439"/>
      <c r="AX45" s="439"/>
      <c r="AY45" s="439"/>
      <c r="AZ45" s="439"/>
      <c r="BA45" s="439"/>
      <c r="BB45" s="439"/>
    </row>
    <row r="46" spans="2:64" s="387" customFormat="1" x14ac:dyDescent="0.3">
      <c r="C46" s="738"/>
      <c r="D46" s="245"/>
      <c r="E46" s="245"/>
      <c r="F46" s="245"/>
      <c r="G46" s="245"/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  <c r="AS46" s="245"/>
      <c r="AT46" s="245"/>
      <c r="AU46" s="245"/>
      <c r="AV46" s="245"/>
      <c r="AW46" s="245"/>
      <c r="AX46" s="245"/>
      <c r="AY46" s="245"/>
      <c r="AZ46" s="245"/>
      <c r="BA46" s="245"/>
      <c r="BB46" s="245"/>
    </row>
    <row r="47" spans="2:64" s="387" customFormat="1" x14ac:dyDescent="0.3">
      <c r="B47" s="675" t="s">
        <v>669</v>
      </c>
      <c r="C47" s="637">
        <f>SUMIFS(Data!$AD$3:$AD$348,Data!$X$3:$X$348,C$1,Data!$Y$3:$Y$348,"2022",Data!$K$3:$K$348,'Reporting 2022'!$B15)</f>
        <v>0</v>
      </c>
      <c r="D47" s="637">
        <f>SUMIFS(Data!$AD$3:$AD$348,Data!$X$3:$X$348,D$1,Data!$Y$3:$Y$348,"2022",Data!$K$3:$K$348,'Reporting 2022'!$B15)</f>
        <v>0</v>
      </c>
      <c r="E47" s="637">
        <f>SUMIFS(Data!$AD$3:$AD$348,Data!$X$3:$X$348,E$1,Data!$Y$3:$Y$348,"2022",Data!$K$3:$K$348,'Reporting 2022'!$B15)</f>
        <v>0</v>
      </c>
      <c r="F47" s="637">
        <f>SUMIFS(Data!$AD$3:$AD$348,Data!$X$3:$X$348,F$1,Data!$Y$3:$Y$348,"2022",Data!$K$3:$K$348,'Reporting 2022'!$B15)</f>
        <v>0</v>
      </c>
      <c r="G47" s="637">
        <f>SUMIFS(Data!$AD$3:$AD$348,Data!$X$3:$X$348,G$1,Data!$Y$3:$Y$348,"2022",Data!$K$3:$K$348,'Reporting 2022'!$B15)</f>
        <v>0</v>
      </c>
      <c r="H47" s="637">
        <f>SUMIFS(Data!$AD$3:$AD$348,Data!$X$3:$X$348,H$1,Data!$Y$3:$Y$348,"2022",Data!$K$3:$K$348,'Reporting 2022'!$B15)</f>
        <v>0</v>
      </c>
      <c r="I47" s="637">
        <f>SUMIFS(Data!$AD$3:$AD$348,Data!$X$3:$X$348,I$1,Data!$Y$3:$Y$348,"2022",Data!$K$3:$K$348,'Reporting 2022'!$B15)</f>
        <v>0</v>
      </c>
      <c r="J47" s="637">
        <f>SUMIFS(Data!$AD$3:$AD$348,Data!$X$3:$X$348,J$1,Data!$Y$3:$Y$348,"2022",Data!$K$3:$K$348,'Reporting 2022'!$B15)</f>
        <v>0</v>
      </c>
      <c r="K47" s="637">
        <f>SUMIFS(Data!$AD$3:$AD$348,Data!$X$3:$X$348,K$1,Data!$Y$3:$Y$348,"2022",Data!$K$3:$K$348,'Reporting 2022'!$B15)</f>
        <v>0</v>
      </c>
      <c r="L47" s="637">
        <f>SUMIFS(Data!$AD$3:$AD$348,Data!$X$3:$X$348,L$1,Data!$Y$3:$Y$348,"2022",Data!$K$3:$K$348,'Reporting 2022'!$B15)</f>
        <v>0</v>
      </c>
      <c r="M47" s="637">
        <f>SUMIFS(Data!$AD$3:$AD$348,Data!$X$3:$X$348,M$1,Data!$Y$3:$Y$348,"2022",Data!$K$3:$K$348,'Reporting 2022'!$B15)</f>
        <v>0</v>
      </c>
      <c r="N47" s="637">
        <f>SUMIFS(Data!$AD$3:$AD$348,Data!$X$3:$X$348,N$1,Data!$Y$3:$Y$348,"2022",Data!$K$3:$K$348,'Reporting 2022'!$B15)</f>
        <v>8579</v>
      </c>
      <c r="O47" s="637">
        <f>SUMIFS(Data!$AD$3:$AD$348,Data!$X$3:$X$348,O$1,Data!$Y$3:$Y$348,"2022",Data!$K$3:$K$348,'Reporting 2022'!$B15)</f>
        <v>0</v>
      </c>
      <c r="P47" s="637">
        <f>SUMIFS(Data!$AD$3:$AD$348,Data!$X$3:$X$348,P$1,Data!$Y$3:$Y$348,"2022",Data!$K$3:$K$348,'Reporting 2022'!$B15)</f>
        <v>0</v>
      </c>
      <c r="Q47" s="637">
        <f>SUMIFS(Data!$AD$3:$AD$348,Data!$X$3:$X$348,Q$1,Data!$Y$3:$Y$348,"2022",Data!$K$3:$K$348,'Reporting 2022'!$B15)</f>
        <v>0</v>
      </c>
      <c r="R47" s="637">
        <f>SUMIFS(Data!$AD$3:$AD$348,Data!$X$3:$X$348,R$1,Data!$Y$3:$Y$348,"2022",Data!$K$3:$K$348,'Reporting 2022'!$B15)</f>
        <v>0</v>
      </c>
      <c r="S47" s="637">
        <f>SUMIFS(Data!$AD$3:$AD$348,Data!$X$3:$X$348,S$1,Data!$Y$3:$Y$348,"2022",Data!$K$3:$K$348,'Reporting 2022'!$B15)</f>
        <v>0</v>
      </c>
      <c r="T47" s="637">
        <f>SUMIFS(Data!$AD$3:$AD$348,Data!$X$3:$X$348,T$1,Data!$Y$3:$Y$348,"2022",Data!$K$3:$K$348,'Reporting 2022'!$B15)</f>
        <v>0</v>
      </c>
      <c r="U47" s="637">
        <f>SUMIFS(Data!$AD$3:$AD$348,Data!$X$3:$X$348,U$1,Data!$Y$3:$Y$348,"2022",Data!$K$3:$K$348,'Reporting 2022'!$B15)</f>
        <v>0</v>
      </c>
      <c r="V47" s="637">
        <f>SUMIFS(Data!$AD$3:$AD$348,Data!$X$3:$X$348,V$1,Data!$Y$3:$Y$348,"2022",Data!$K$3:$K$348,'Reporting 2022'!$B15)</f>
        <v>0</v>
      </c>
      <c r="W47" s="637">
        <f>SUMIFS(Data!$AD$3:$AD$348,Data!$X$3:$X$348,W$1,Data!$Y$3:$Y$348,"2022",Data!$K$3:$K$348,'Reporting 2022'!$B15)</f>
        <v>0</v>
      </c>
      <c r="X47" s="637">
        <f>SUMIFS(Data!$AD$3:$AD$348,Data!$X$3:$X$348,X$1,Data!$Y$3:$Y$348,"2022",Data!$K$3:$K$348,'Reporting 2022'!$B15)</f>
        <v>0</v>
      </c>
      <c r="Y47" s="637">
        <f>SUMIFS(Data!$AD$3:$AD$348,Data!$X$3:$X$348,Y$1,Data!$Y$3:$Y$348,"2022",Data!$K$3:$K$348,'Reporting 2022'!$B15)</f>
        <v>0</v>
      </c>
      <c r="Z47" s="637">
        <f>SUMIFS(Data!$AD$3:$AD$348,Data!$X$3:$X$348,Z$1,Data!$Y$3:$Y$348,"2022",Data!$K$3:$K$348,'Reporting 2022'!$B15)</f>
        <v>0</v>
      </c>
      <c r="AA47" s="637">
        <f>SUMIFS(Data!$AD$3:$AD$348,Data!$X$3:$X$348,AA$1,Data!$Y$3:$Y$348,"2022",Data!$K$3:$K$348,'Reporting 2022'!$B15)</f>
        <v>0</v>
      </c>
      <c r="AB47" s="637">
        <f>SUMIFS(Data!$AD$3:$AD$348,Data!$X$3:$X$348,AB$1,Data!$Y$3:$Y$348,"2022",Data!$K$3:$K$348,'Reporting 2022'!$B15)</f>
        <v>0</v>
      </c>
      <c r="AC47" s="637">
        <f>SUMIFS(Data!$AD$3:$AD$348,Data!$X$3:$X$348,AC$1,Data!$Y$3:$Y$348,"2022",Data!$K$3:$K$348,'Reporting 2022'!$B15)</f>
        <v>0</v>
      </c>
      <c r="AD47" s="637">
        <f>SUMIFS(Data!$AD$3:$AD$348,Data!$X$3:$X$348,AD$1,Data!$Y$3:$Y$348,"2022",Data!$K$3:$K$348,'Reporting 2022'!$B15)</f>
        <v>0</v>
      </c>
      <c r="AE47" s="637">
        <f>SUMIFS(Data!$AD$3:$AD$348,Data!$X$3:$X$348,AE$1,Data!$Y$3:$Y$348,"2022",Data!$K$3:$K$348,'Reporting 2022'!$B15)</f>
        <v>0</v>
      </c>
      <c r="AF47" s="637">
        <f>SUMIFS(Data!$AD$3:$AD$348,Data!$X$3:$X$348,AF$1,Data!$Y$3:$Y$348,"2022",Data!$K$3:$K$348,'Reporting 2022'!$B15)</f>
        <v>0</v>
      </c>
      <c r="AG47" s="637">
        <f>SUMIFS(Data!$AD$3:$AD$348,Data!$X$3:$X$348,AG$1,Data!$Y$3:$Y$348,"2022",Data!$K$3:$K$348,'Reporting 2022'!$B15)</f>
        <v>0</v>
      </c>
      <c r="AH47" s="637">
        <f>SUMIFS(Data!$AD$3:$AD$348,Data!$X$3:$X$348,AH$1,Data!$Y$3:$Y$348,"2022",Data!$K$3:$K$348,'Reporting 2022'!$B15)</f>
        <v>0</v>
      </c>
      <c r="AI47" s="637">
        <f>SUMIFS(Data!$AD$3:$AD$348,Data!$X$3:$X$348,AI$1,Data!$Y$3:$Y$348,"2022",Data!$K$3:$K$348,'Reporting 2022'!$B15)</f>
        <v>0</v>
      </c>
      <c r="AJ47" s="637">
        <f>SUMIFS(Data!$AD$3:$AD$348,Data!$X$3:$X$348,AJ$1,Data!$Y$3:$Y$348,"2022",Data!$K$3:$K$348,'Reporting 2022'!$B15)</f>
        <v>0</v>
      </c>
      <c r="AK47" s="637">
        <f>SUMIFS(Data!$AD$3:$AD$348,Data!$X$3:$X$348,AK$1,Data!$Y$3:$Y$348,"2022",Data!$K$3:$K$348,'Reporting 2022'!$B15)</f>
        <v>0</v>
      </c>
      <c r="AL47" s="637">
        <f>SUMIFS(Data!$AD$3:$AD$348,Data!$X$3:$X$348,AL$1,Data!$Y$3:$Y$348,"2022",Data!$K$3:$K$348,'Reporting 2022'!$B15)</f>
        <v>0</v>
      </c>
      <c r="AM47" s="637">
        <f>SUMIFS(Data!$AD$3:$AD$348,Data!$X$3:$X$348,AM$1,Data!$Y$3:$Y$348,"2022",Data!$K$3:$K$348,'Reporting 2022'!$B15)</f>
        <v>0</v>
      </c>
      <c r="AN47" s="637">
        <f>SUMIFS(Data!$AD$3:$AD$348,Data!$X$3:$X$348,AN$1,Data!$Y$3:$Y$348,"2022",Data!$K$3:$K$348,'Reporting 2022'!$B15)</f>
        <v>0</v>
      </c>
      <c r="AO47" s="637">
        <f>SUMIFS(Data!$AD$3:$AD$348,Data!$X$3:$X$348,AO$1,Data!$Y$3:$Y$348,"2022",Data!$K$3:$K$348,'Reporting 2022'!$B15)</f>
        <v>0</v>
      </c>
      <c r="AP47" s="637">
        <f>SUMIFS(Data!$AD$3:$AD$348,Data!$X$3:$X$348,AP$1,Data!$Y$3:$Y$348,"2022",Data!$K$3:$K$348,'Reporting 2022'!$B15)</f>
        <v>0</v>
      </c>
      <c r="AQ47" s="637">
        <f>SUMIFS(Data!$AD$3:$AD$348,Data!$X$3:$X$348,AQ$1,Data!$Y$3:$Y$348,"2022",Data!$K$3:$K$348,'Reporting 2022'!$B15)</f>
        <v>0</v>
      </c>
      <c r="AR47" s="637">
        <f>SUMIFS(Data!$AD$3:$AD$348,Data!$X$3:$X$348,AR$1,Data!$Y$3:$Y$348,"2022",Data!$K$3:$K$348,'Reporting 2022'!$B15)</f>
        <v>0</v>
      </c>
      <c r="AS47" s="637">
        <f>SUMIFS(Data!$AD$3:$AD$348,Data!$X$3:$X$348,AS$1,Data!$Y$3:$Y$348,"2022",Data!$K$3:$K$348,'Reporting 2022'!$B15)</f>
        <v>0</v>
      </c>
      <c r="AT47" s="637">
        <f>SUMIFS(Data!$AD$3:$AD$348,Data!$X$3:$X$348,AT$1,Data!$Y$3:$Y$348,"2022",Data!$K$3:$K$348,'Reporting 2022'!$B15)</f>
        <v>0</v>
      </c>
      <c r="AU47" s="637">
        <f>SUMIFS(Data!$AD$3:$AD$348,Data!$X$3:$X$348,AU$1,Data!$Y$3:$Y$348,"2022",Data!$K$3:$K$348,'Reporting 2022'!$B15)</f>
        <v>0</v>
      </c>
      <c r="AV47" s="637">
        <f>SUMIFS(Data!$AD$3:$AD$348,Data!$X$3:$X$348,AV$1,Data!$Y$3:$Y$348,"2022",Data!$K$3:$K$348,'Reporting 2022'!$B15)</f>
        <v>0</v>
      </c>
      <c r="AW47" s="637">
        <f>SUMIFS(Data!$AD$3:$AD$348,Data!$X$3:$X$348,AW$1,Data!$Y$3:$Y$348,"2022",Data!$K$3:$K$348,'Reporting 2022'!$B15)</f>
        <v>0</v>
      </c>
      <c r="AX47" s="637">
        <f>SUMIFS(Data!$AD$3:$AD$348,Data!$X$3:$X$348,AX$1,Data!$Y$3:$Y$348,"2022",Data!$K$3:$K$348,'Reporting 2022'!$B15)</f>
        <v>0</v>
      </c>
      <c r="AY47" s="637">
        <f>SUMIFS(Data!$AD$3:$AD$348,Data!$X$3:$X$348,AY$1,Data!$Y$3:$Y$348,"2022",Data!$K$3:$K$348,'Reporting 2022'!$B15)</f>
        <v>0</v>
      </c>
      <c r="AZ47" s="637">
        <f>SUMIFS(Data!$AD$3:$AD$348,Data!$X$3:$X$348,AZ$1,Data!$Y$3:$Y$348,"2022",Data!$K$3:$K$348,'Reporting 2022'!$B15)</f>
        <v>0</v>
      </c>
      <c r="BA47" s="637">
        <f>SUMIFS(Data!$AD$3:$AD$348,Data!$X$3:$X$348,BA$1,Data!$Y$3:$Y$348,"2022",Data!$K$3:$K$348,'Reporting 2022'!$B15)</f>
        <v>0</v>
      </c>
      <c r="BB47" s="637">
        <f>SUMIFS(Data!$AD$3:$AD$348,Data!$X$3:$X$348,BB$1,Data!$Y$3:$Y$348,"2022",Data!$K$3:$K$348,'Reporting 2022'!$B15)</f>
        <v>0</v>
      </c>
      <c r="BC47" s="381"/>
      <c r="BD47" s="381"/>
      <c r="BE47" s="381"/>
      <c r="BF47" s="381"/>
      <c r="BG47" s="381"/>
      <c r="BH47" s="381"/>
      <c r="BI47" s="381"/>
      <c r="BJ47" s="381"/>
      <c r="BK47" s="381"/>
      <c r="BL47" s="381"/>
    </row>
    <row r="48" spans="2:64" x14ac:dyDescent="0.3">
      <c r="B48" s="675" t="s">
        <v>604</v>
      </c>
      <c r="C48" s="637">
        <f>SUMIFS(Data!$AD$3:$AD$348,Data!$X$3:$X$348,C$1,Data!$Y$3:$Y$348,"2022",Data!$K$3:$K$348,'Reporting 2022'!$B16)</f>
        <v>0</v>
      </c>
      <c r="D48" s="637">
        <f>SUMIFS(Data!$AD$3:$AD$348,Data!$X$3:$X$348,D$1,Data!$Y$3:$Y$348,"2022",Data!$K$3:$K$348,'Reporting 2022'!$B16)</f>
        <v>0</v>
      </c>
      <c r="E48" s="637">
        <f>SUMIFS(Data!$AD$3:$AD$348,Data!$X$3:$X$348,E$1,Data!$Y$3:$Y$348,"2022",Data!$K$3:$K$348,'Reporting 2022'!$B16)</f>
        <v>0</v>
      </c>
      <c r="F48" s="637">
        <f>SUMIFS(Data!$AD$3:$AD$348,Data!$X$3:$X$348,F$1,Data!$Y$3:$Y$348,"2022",Data!$K$3:$K$348,'Reporting 2022'!$B16)</f>
        <v>0</v>
      </c>
      <c r="G48" s="637">
        <f>SUMIFS(Data!$AD$3:$AD$348,Data!$X$3:$X$348,G$1,Data!$Y$3:$Y$348,"2022",Data!$K$3:$K$348,'Reporting 2022'!$B16)</f>
        <v>0</v>
      </c>
      <c r="H48" s="637">
        <f>SUMIFS(Data!$AD$3:$AD$348,Data!$X$3:$X$348,H$1,Data!$Y$3:$Y$348,"2022",Data!$K$3:$K$348,'Reporting 2022'!$B16)</f>
        <v>0</v>
      </c>
      <c r="I48" s="637">
        <f>SUMIFS(Data!$AD$3:$AD$348,Data!$X$3:$X$348,I$1,Data!$Y$3:$Y$348,"2022",Data!$K$3:$K$348,'Reporting 2022'!$B16)</f>
        <v>0</v>
      </c>
      <c r="J48" s="637">
        <f>SUMIFS(Data!$AD$3:$AD$348,Data!$X$3:$X$348,J$1,Data!$Y$3:$Y$348,"2022",Data!$K$3:$K$348,'Reporting 2022'!$B16)</f>
        <v>0</v>
      </c>
      <c r="K48" s="637">
        <f>SUMIFS(Data!$AD$3:$AD$348,Data!$X$3:$X$348,K$1,Data!$Y$3:$Y$348,"2022",Data!$K$3:$K$348,'Reporting 2022'!$B16)</f>
        <v>0</v>
      </c>
      <c r="L48" s="637">
        <f>SUMIFS(Data!$AD$3:$AD$348,Data!$X$3:$X$348,L$1,Data!$Y$3:$Y$348,"2022",Data!$K$3:$K$348,'Reporting 2022'!$B16)</f>
        <v>0</v>
      </c>
      <c r="M48" s="637">
        <f>SUMIFS(Data!$AD$3:$AD$348,Data!$X$3:$X$348,M$1,Data!$Y$3:$Y$348,"2022",Data!$K$3:$K$348,'Reporting 2022'!$B16)</f>
        <v>0</v>
      </c>
      <c r="N48" s="637">
        <f>SUMIFS(Data!$AD$3:$AD$348,Data!$X$3:$X$348,N$1,Data!$Y$3:$Y$348,"2022",Data!$K$3:$K$348,'Reporting 2022'!$B16)</f>
        <v>0</v>
      </c>
      <c r="O48" s="637">
        <f>SUMIFS(Data!$AD$3:$AD$348,Data!$X$3:$X$348,O$1,Data!$Y$3:$Y$348,"2022",Data!$K$3:$K$348,'Reporting 2022'!$B16)</f>
        <v>0</v>
      </c>
      <c r="P48" s="637">
        <f>SUMIFS(Data!$AD$3:$AD$348,Data!$X$3:$X$348,P$1,Data!$Y$3:$Y$348,"2022",Data!$K$3:$K$348,'Reporting 2022'!$B16)</f>
        <v>0</v>
      </c>
      <c r="Q48" s="637">
        <f>SUMIFS(Data!$AD$3:$AD$348,Data!$X$3:$X$348,Q$1,Data!$Y$3:$Y$348,"2022",Data!$K$3:$K$348,'Reporting 2022'!$B16)</f>
        <v>0</v>
      </c>
      <c r="R48" s="637">
        <f>SUMIFS(Data!$AD$3:$AD$348,Data!$X$3:$X$348,R$1,Data!$Y$3:$Y$348,"2022",Data!$K$3:$K$348,'Reporting 2022'!$B16)</f>
        <v>0</v>
      </c>
      <c r="S48" s="637">
        <f>SUMIFS(Data!$AD$3:$AD$348,Data!$X$3:$X$348,S$1,Data!$Y$3:$Y$348,"2022",Data!$K$3:$K$348,'Reporting 2022'!$B16)</f>
        <v>0</v>
      </c>
      <c r="T48" s="637">
        <f>SUMIFS(Data!$AD$3:$AD$348,Data!$X$3:$X$348,T$1,Data!$Y$3:$Y$348,"2022",Data!$K$3:$K$348,'Reporting 2022'!$B16)</f>
        <v>0</v>
      </c>
      <c r="U48" s="637">
        <f>SUMIFS(Data!$AD$3:$AD$348,Data!$X$3:$X$348,U$1,Data!$Y$3:$Y$348,"2022",Data!$K$3:$K$348,'Reporting 2022'!$B16)</f>
        <v>0</v>
      </c>
      <c r="V48" s="637">
        <f>SUMIFS(Data!$AD$3:$AD$348,Data!$X$3:$X$348,V$1,Data!$Y$3:$Y$348,"2022",Data!$K$3:$K$348,'Reporting 2022'!$B16)</f>
        <v>0</v>
      </c>
      <c r="W48" s="637">
        <f>SUMIFS(Data!$AD$3:$AD$348,Data!$X$3:$X$348,W$1,Data!$Y$3:$Y$348,"2022",Data!$K$3:$K$348,'Reporting 2022'!$B16)</f>
        <v>0</v>
      </c>
      <c r="X48" s="637">
        <f>SUMIFS(Data!$AD$3:$AD$348,Data!$X$3:$X$348,X$1,Data!$Y$3:$Y$348,"2022",Data!$K$3:$K$348,'Reporting 2022'!$B16)</f>
        <v>0</v>
      </c>
      <c r="Y48" s="637">
        <f>SUMIFS(Data!$AD$3:$AD$348,Data!$X$3:$X$348,Y$1,Data!$Y$3:$Y$348,"2022",Data!$K$3:$K$348,'Reporting 2022'!$B16)</f>
        <v>0</v>
      </c>
      <c r="Z48" s="637">
        <f>SUMIFS(Data!$AD$3:$AD$348,Data!$X$3:$X$348,Z$1,Data!$Y$3:$Y$348,"2022",Data!$K$3:$K$348,'Reporting 2022'!$B16)</f>
        <v>0</v>
      </c>
      <c r="AA48" s="637">
        <f>SUMIFS(Data!$AD$3:$AD$348,Data!$X$3:$X$348,AA$1,Data!$Y$3:$Y$348,"2022",Data!$K$3:$K$348,'Reporting 2022'!$B16)</f>
        <v>0</v>
      </c>
      <c r="AB48" s="637">
        <f>SUMIFS(Data!$AD$3:$AD$348,Data!$X$3:$X$348,AB$1,Data!$Y$3:$Y$348,"2022",Data!$K$3:$K$348,'Reporting 2022'!$B16)</f>
        <v>0</v>
      </c>
      <c r="AC48" s="637">
        <f>SUMIFS(Data!$AD$3:$AD$348,Data!$X$3:$X$348,AC$1,Data!$Y$3:$Y$348,"2022",Data!$K$3:$K$348,'Reporting 2022'!$B16)</f>
        <v>0</v>
      </c>
      <c r="AD48" s="637">
        <f>SUMIFS(Data!$AD$3:$AD$348,Data!$X$3:$X$348,AD$1,Data!$Y$3:$Y$348,"2022",Data!$K$3:$K$348,'Reporting 2022'!$B16)</f>
        <v>0</v>
      </c>
      <c r="AE48" s="637">
        <f>SUMIFS(Data!$AD$3:$AD$348,Data!$X$3:$X$348,AE$1,Data!$Y$3:$Y$348,"2022",Data!$K$3:$K$348,'Reporting 2022'!$B16)</f>
        <v>0</v>
      </c>
      <c r="AF48" s="637">
        <f>SUMIFS(Data!$AD$3:$AD$348,Data!$X$3:$X$348,AF$1,Data!$Y$3:$Y$348,"2022",Data!$K$3:$K$348,'Reporting 2022'!$B16)</f>
        <v>0</v>
      </c>
      <c r="AG48" s="637">
        <f>SUMIFS(Data!$AD$3:$AD$348,Data!$X$3:$X$348,AG$1,Data!$Y$3:$Y$348,"2022",Data!$K$3:$K$348,'Reporting 2022'!$B16)</f>
        <v>0</v>
      </c>
      <c r="AH48" s="637">
        <f>SUMIFS(Data!$AD$3:$AD$348,Data!$X$3:$X$348,AH$1,Data!$Y$3:$Y$348,"2022",Data!$K$3:$K$348,'Reporting 2022'!$B16)</f>
        <v>0</v>
      </c>
      <c r="AI48" s="637">
        <f>SUMIFS(Data!$AD$3:$AD$348,Data!$X$3:$X$348,AI$1,Data!$Y$3:$Y$348,"2022",Data!$K$3:$K$348,'Reporting 2022'!$B16)</f>
        <v>0</v>
      </c>
      <c r="AJ48" s="637">
        <f>SUMIFS(Data!$AD$3:$AD$348,Data!$X$3:$X$348,AJ$1,Data!$Y$3:$Y$348,"2022",Data!$K$3:$K$348,'Reporting 2022'!$B16)</f>
        <v>0</v>
      </c>
      <c r="AK48" s="637">
        <f>SUMIFS(Data!$AD$3:$AD$348,Data!$X$3:$X$348,AK$1,Data!$Y$3:$Y$348,"2022",Data!$K$3:$K$348,'Reporting 2022'!$B16)</f>
        <v>0</v>
      </c>
      <c r="AL48" s="637">
        <f>SUMIFS(Data!$AD$3:$AD$348,Data!$X$3:$X$348,AL$1,Data!$Y$3:$Y$348,"2022",Data!$K$3:$K$348,'Reporting 2022'!$B16)</f>
        <v>0</v>
      </c>
      <c r="AM48" s="637">
        <f>SUMIFS(Data!$AD$3:$AD$348,Data!$X$3:$X$348,AM$1,Data!$Y$3:$Y$348,"2022",Data!$K$3:$K$348,'Reporting 2022'!$B16)</f>
        <v>0</v>
      </c>
      <c r="AN48" s="637">
        <f>SUMIFS(Data!$AD$3:$AD$348,Data!$X$3:$X$348,AN$1,Data!$Y$3:$Y$348,"2022",Data!$K$3:$K$348,'Reporting 2022'!$B16)</f>
        <v>0</v>
      </c>
      <c r="AO48" s="637">
        <f>SUMIFS(Data!$AD$3:$AD$348,Data!$X$3:$X$348,AO$1,Data!$Y$3:$Y$348,"2022",Data!$K$3:$K$348,'Reporting 2022'!$B16)</f>
        <v>0</v>
      </c>
      <c r="AP48" s="637">
        <f>SUMIFS(Data!$AD$3:$AD$348,Data!$X$3:$X$348,AP$1,Data!$Y$3:$Y$348,"2022",Data!$K$3:$K$348,'Reporting 2022'!$B16)</f>
        <v>0</v>
      </c>
      <c r="AQ48" s="637">
        <f>SUMIFS(Data!$AD$3:$AD$348,Data!$X$3:$X$348,AQ$1,Data!$Y$3:$Y$348,"2022",Data!$K$3:$K$348,'Reporting 2022'!$B16)</f>
        <v>0</v>
      </c>
      <c r="AR48" s="637">
        <f>SUMIFS(Data!$AD$3:$AD$348,Data!$X$3:$X$348,AR$1,Data!$Y$3:$Y$348,"2022",Data!$K$3:$K$348,'Reporting 2022'!$B16)</f>
        <v>0</v>
      </c>
      <c r="AS48" s="637">
        <f>SUMIFS(Data!$AD$3:$AD$348,Data!$X$3:$X$348,AS$1,Data!$Y$3:$Y$348,"2022",Data!$K$3:$K$348,'Reporting 2022'!$B16)</f>
        <v>0</v>
      </c>
      <c r="AT48" s="637">
        <f>SUMIFS(Data!$AD$3:$AD$348,Data!$X$3:$X$348,AT$1,Data!$Y$3:$Y$348,"2022",Data!$K$3:$K$348,'Reporting 2022'!$B16)</f>
        <v>0</v>
      </c>
      <c r="AU48" s="637">
        <f>SUMIFS(Data!$AD$3:$AD$348,Data!$X$3:$X$348,AU$1,Data!$Y$3:$Y$348,"2022",Data!$K$3:$K$348,'Reporting 2022'!$B16)</f>
        <v>0</v>
      </c>
      <c r="AV48" s="637">
        <f>SUMIFS(Data!$AD$3:$AD$348,Data!$X$3:$X$348,AV$1,Data!$Y$3:$Y$348,"2022",Data!$K$3:$K$348,'Reporting 2022'!$B16)</f>
        <v>0</v>
      </c>
      <c r="AW48" s="637">
        <f>SUMIFS(Data!$AD$3:$AD$348,Data!$X$3:$X$348,AW$1,Data!$Y$3:$Y$348,"2022",Data!$K$3:$K$348,'Reporting 2022'!$B16)</f>
        <v>0</v>
      </c>
      <c r="AX48" s="637">
        <f>SUMIFS(Data!$AD$3:$AD$348,Data!$X$3:$X$348,AX$1,Data!$Y$3:$Y$348,"2022",Data!$K$3:$K$348,'Reporting 2022'!$B16)</f>
        <v>0</v>
      </c>
      <c r="AY48" s="637">
        <f>SUMIFS(Data!$AD$3:$AD$348,Data!$X$3:$X$348,AY$1,Data!$Y$3:$Y$348,"2022",Data!$K$3:$K$348,'Reporting 2022'!$B16)</f>
        <v>0</v>
      </c>
      <c r="AZ48" s="637">
        <f>SUMIFS(Data!$AD$3:$AD$348,Data!$X$3:$X$348,AZ$1,Data!$Y$3:$Y$348,"2022",Data!$K$3:$K$348,'Reporting 2022'!$B16)</f>
        <v>0</v>
      </c>
      <c r="BA48" s="637">
        <f>SUMIFS(Data!$AD$3:$AD$348,Data!$X$3:$X$348,BA$1,Data!$Y$3:$Y$348,"2022",Data!$K$3:$K$348,'Reporting 2022'!$B16)</f>
        <v>0</v>
      </c>
      <c r="BB48" s="637">
        <f>SUMIFS(Data!$AD$3:$AD$348,Data!$X$3:$X$348,BB$1,Data!$Y$3:$Y$348,"2022",Data!$K$3:$K$348,'Reporting 2022'!$B16)</f>
        <v>0</v>
      </c>
      <c r="BC48" s="39"/>
      <c r="BD48" s="39"/>
      <c r="BE48" s="39"/>
      <c r="BF48" s="39"/>
      <c r="BG48" s="39"/>
      <c r="BH48" s="39"/>
      <c r="BI48" s="39"/>
      <c r="BJ48" s="39"/>
      <c r="BK48" s="39"/>
      <c r="BL48" s="39"/>
    </row>
    <row r="49" spans="2:64" x14ac:dyDescent="0.3">
      <c r="B49" s="675" t="s">
        <v>605</v>
      </c>
      <c r="C49" s="637">
        <f>SUMIFS(Data!$AD$3:$AD$348,Data!$X$3:$X$348,C$1,Data!$Y$3:$Y$348,"2022",Data!$K$3:$K$348,'Reporting 2022'!$B17)</f>
        <v>0</v>
      </c>
      <c r="D49" s="637">
        <f>SUMIFS(Data!$AD$3:$AD$348,Data!$X$3:$X$348,D$1,Data!$Y$3:$Y$348,"2022",Data!$K$3:$K$348,'Reporting 2022'!$B17)</f>
        <v>0</v>
      </c>
      <c r="E49" s="637">
        <f>SUMIFS(Data!$AD$3:$AD$348,Data!$X$3:$X$348,E$1,Data!$Y$3:$Y$348,"2022",Data!$K$3:$K$348,'Reporting 2022'!$B17)</f>
        <v>2750</v>
      </c>
      <c r="F49" s="637">
        <f>SUMIFS(Data!$AD$3:$AD$348,Data!$X$3:$X$348,F$1,Data!$Y$3:$Y$348,"2022",Data!$K$3:$K$348,'Reporting 2022'!$B17)</f>
        <v>0</v>
      </c>
      <c r="G49" s="637">
        <f>SUMIFS(Data!$AD$3:$AD$348,Data!$X$3:$X$348,G$1,Data!$Y$3:$Y$348,"2022",Data!$K$3:$K$348,'Reporting 2022'!$B17)</f>
        <v>0</v>
      </c>
      <c r="H49" s="637">
        <f>SUMIFS(Data!$AD$3:$AD$348,Data!$X$3:$X$348,H$1,Data!$Y$3:$Y$348,"2022",Data!$K$3:$K$348,'Reporting 2022'!$B17)</f>
        <v>0</v>
      </c>
      <c r="I49" s="637">
        <f>SUMIFS(Data!$AD$3:$AD$348,Data!$X$3:$X$348,I$1,Data!$Y$3:$Y$348,"2022",Data!$K$3:$K$348,'Reporting 2022'!$B17)</f>
        <v>0</v>
      </c>
      <c r="J49" s="637">
        <f>SUMIFS(Data!$AD$3:$AD$348,Data!$X$3:$X$348,J$1,Data!$Y$3:$Y$348,"2022",Data!$K$3:$K$348,'Reporting 2022'!$B17)</f>
        <v>0</v>
      </c>
      <c r="K49" s="637">
        <f>SUMIFS(Data!$AD$3:$AD$348,Data!$X$3:$X$348,K$1,Data!$Y$3:$Y$348,"2022",Data!$K$3:$K$348,'Reporting 2022'!$B17)</f>
        <v>0</v>
      </c>
      <c r="L49" s="637">
        <f>SUMIFS(Data!$AD$3:$AD$348,Data!$X$3:$X$348,L$1,Data!$Y$3:$Y$348,"2022",Data!$K$3:$K$348,'Reporting 2022'!$B17)</f>
        <v>0</v>
      </c>
      <c r="M49" s="637">
        <f>SUMIFS(Data!$AD$3:$AD$348,Data!$X$3:$X$348,M$1,Data!$Y$3:$Y$348,"2022",Data!$K$3:$K$348,'Reporting 2022'!$B17)</f>
        <v>0</v>
      </c>
      <c r="N49" s="637">
        <f>SUMIFS(Data!$AD$3:$AD$348,Data!$X$3:$X$348,N$1,Data!$Y$3:$Y$348,"2022",Data!$K$3:$K$348,'Reporting 2022'!$B17)</f>
        <v>0</v>
      </c>
      <c r="O49" s="637">
        <f>SUMIFS(Data!$AD$3:$AD$348,Data!$X$3:$X$348,O$1,Data!$Y$3:$Y$348,"2022",Data!$K$3:$K$348,'Reporting 2022'!$B17)</f>
        <v>0</v>
      </c>
      <c r="P49" s="637">
        <f>SUMIFS(Data!$AD$3:$AD$348,Data!$X$3:$X$348,P$1,Data!$Y$3:$Y$348,"2022",Data!$K$3:$K$348,'Reporting 2022'!$B17)</f>
        <v>0</v>
      </c>
      <c r="Q49" s="637">
        <f>SUMIFS(Data!$AD$3:$AD$348,Data!$X$3:$X$348,Q$1,Data!$Y$3:$Y$348,"2022",Data!$K$3:$K$348,'Reporting 2022'!$B17)</f>
        <v>0</v>
      </c>
      <c r="R49" s="637">
        <f>SUMIFS(Data!$AD$3:$AD$348,Data!$X$3:$X$348,R$1,Data!$Y$3:$Y$348,"2022",Data!$K$3:$K$348,'Reporting 2022'!$B17)</f>
        <v>0</v>
      </c>
      <c r="S49" s="637">
        <f>SUMIFS(Data!$AD$3:$AD$348,Data!$X$3:$X$348,S$1,Data!$Y$3:$Y$348,"2022",Data!$K$3:$K$348,'Reporting 2022'!$B17)</f>
        <v>0</v>
      </c>
      <c r="T49" s="637">
        <f>SUMIFS(Data!$AD$3:$AD$348,Data!$X$3:$X$348,T$1,Data!$Y$3:$Y$348,"2022",Data!$K$3:$K$348,'Reporting 2022'!$B17)</f>
        <v>0</v>
      </c>
      <c r="U49" s="637">
        <f>SUMIFS(Data!$AD$3:$AD$348,Data!$X$3:$X$348,U$1,Data!$Y$3:$Y$348,"2022",Data!$K$3:$K$348,'Reporting 2022'!$B17)</f>
        <v>0</v>
      </c>
      <c r="V49" s="637">
        <f>SUMIFS(Data!$AD$3:$AD$348,Data!$X$3:$X$348,V$1,Data!$Y$3:$Y$348,"2022",Data!$K$3:$K$348,'Reporting 2022'!$B17)</f>
        <v>0</v>
      </c>
      <c r="W49" s="637">
        <f>SUMIFS(Data!$AD$3:$AD$348,Data!$X$3:$X$348,W$1,Data!$Y$3:$Y$348,"2022",Data!$K$3:$K$348,'Reporting 2022'!$B17)</f>
        <v>0</v>
      </c>
      <c r="X49" s="637">
        <f>SUMIFS(Data!$AD$3:$AD$348,Data!$X$3:$X$348,X$1,Data!$Y$3:$Y$348,"2022",Data!$K$3:$K$348,'Reporting 2022'!$B17)</f>
        <v>0</v>
      </c>
      <c r="Y49" s="637">
        <f>SUMIFS(Data!$AD$3:$AD$348,Data!$X$3:$X$348,Y$1,Data!$Y$3:$Y$348,"2022",Data!$K$3:$K$348,'Reporting 2022'!$B17)</f>
        <v>0</v>
      </c>
      <c r="Z49" s="637">
        <f>SUMIFS(Data!$AD$3:$AD$348,Data!$X$3:$X$348,Z$1,Data!$Y$3:$Y$348,"2022",Data!$K$3:$K$348,'Reporting 2022'!$B17)</f>
        <v>0</v>
      </c>
      <c r="AA49" s="637">
        <f>SUMIFS(Data!$AD$3:$AD$348,Data!$X$3:$X$348,AA$1,Data!$Y$3:$Y$348,"2022",Data!$K$3:$K$348,'Reporting 2022'!$B17)</f>
        <v>0</v>
      </c>
      <c r="AB49" s="637">
        <f>SUMIFS(Data!$AD$3:$AD$348,Data!$X$3:$X$348,AB$1,Data!$Y$3:$Y$348,"2022",Data!$K$3:$K$348,'Reporting 2022'!$B17)</f>
        <v>0</v>
      </c>
      <c r="AC49" s="637">
        <f>SUMIFS(Data!$AD$3:$AD$348,Data!$X$3:$X$348,AC$1,Data!$Y$3:$Y$348,"2022",Data!$K$3:$K$348,'Reporting 2022'!$B17)</f>
        <v>0</v>
      </c>
      <c r="AD49" s="637">
        <f>SUMIFS(Data!$AD$3:$AD$348,Data!$X$3:$X$348,AD$1,Data!$Y$3:$Y$348,"2022",Data!$K$3:$K$348,'Reporting 2022'!$B17)</f>
        <v>0</v>
      </c>
      <c r="AE49" s="637">
        <f>SUMIFS(Data!$AD$3:$AD$348,Data!$X$3:$X$348,AE$1,Data!$Y$3:$Y$348,"2022",Data!$K$3:$K$348,'Reporting 2022'!$B17)</f>
        <v>0</v>
      </c>
      <c r="AF49" s="637">
        <f>SUMIFS(Data!$AD$3:$AD$348,Data!$X$3:$X$348,AF$1,Data!$Y$3:$Y$348,"2022",Data!$K$3:$K$348,'Reporting 2022'!$B17)</f>
        <v>0</v>
      </c>
      <c r="AG49" s="637">
        <f>SUMIFS(Data!$AD$3:$AD$348,Data!$X$3:$X$348,AG$1,Data!$Y$3:$Y$348,"2022",Data!$K$3:$K$348,'Reporting 2022'!$B17)</f>
        <v>0</v>
      </c>
      <c r="AH49" s="637">
        <f>SUMIFS(Data!$AD$3:$AD$348,Data!$X$3:$X$348,AH$1,Data!$Y$3:$Y$348,"2022",Data!$K$3:$K$348,'Reporting 2022'!$B17)</f>
        <v>0</v>
      </c>
      <c r="AI49" s="637">
        <f>SUMIFS(Data!$AD$3:$AD$348,Data!$X$3:$X$348,AI$1,Data!$Y$3:$Y$348,"2022",Data!$K$3:$K$348,'Reporting 2022'!$B17)</f>
        <v>0</v>
      </c>
      <c r="AJ49" s="637">
        <f>SUMIFS(Data!$AD$3:$AD$348,Data!$X$3:$X$348,AJ$1,Data!$Y$3:$Y$348,"2022",Data!$K$3:$K$348,'Reporting 2022'!$B17)</f>
        <v>0</v>
      </c>
      <c r="AK49" s="637">
        <f>SUMIFS(Data!$AD$3:$AD$348,Data!$X$3:$X$348,AK$1,Data!$Y$3:$Y$348,"2022",Data!$K$3:$K$348,'Reporting 2022'!$B17)</f>
        <v>0</v>
      </c>
      <c r="AL49" s="637">
        <f>SUMIFS(Data!$AD$3:$AD$348,Data!$X$3:$X$348,AL$1,Data!$Y$3:$Y$348,"2022",Data!$K$3:$K$348,'Reporting 2022'!$B17)</f>
        <v>0</v>
      </c>
      <c r="AM49" s="637">
        <f>SUMIFS(Data!$AD$3:$AD$348,Data!$X$3:$X$348,AM$1,Data!$Y$3:$Y$348,"2022",Data!$K$3:$K$348,'Reporting 2022'!$B17)</f>
        <v>0</v>
      </c>
      <c r="AN49" s="637">
        <f>SUMIFS(Data!$AD$3:$AD$348,Data!$X$3:$X$348,AN$1,Data!$Y$3:$Y$348,"2022",Data!$K$3:$K$348,'Reporting 2022'!$B17)</f>
        <v>0</v>
      </c>
      <c r="AO49" s="637">
        <f>SUMIFS(Data!$AD$3:$AD$348,Data!$X$3:$X$348,AO$1,Data!$Y$3:$Y$348,"2022",Data!$K$3:$K$348,'Reporting 2022'!$B17)</f>
        <v>0</v>
      </c>
      <c r="AP49" s="637">
        <f>SUMIFS(Data!$AD$3:$AD$348,Data!$X$3:$X$348,AP$1,Data!$Y$3:$Y$348,"2022",Data!$K$3:$K$348,'Reporting 2022'!$B17)</f>
        <v>0</v>
      </c>
      <c r="AQ49" s="637">
        <f>SUMIFS(Data!$AD$3:$AD$348,Data!$X$3:$X$348,AQ$1,Data!$Y$3:$Y$348,"2022",Data!$K$3:$K$348,'Reporting 2022'!$B17)</f>
        <v>0</v>
      </c>
      <c r="AR49" s="637">
        <f>SUMIFS(Data!$AD$3:$AD$348,Data!$X$3:$X$348,AR$1,Data!$Y$3:$Y$348,"2022",Data!$K$3:$K$348,'Reporting 2022'!$B17)</f>
        <v>0</v>
      </c>
      <c r="AS49" s="637">
        <f>SUMIFS(Data!$AD$3:$AD$348,Data!$X$3:$X$348,AS$1,Data!$Y$3:$Y$348,"2022",Data!$K$3:$K$348,'Reporting 2022'!$B17)</f>
        <v>0</v>
      </c>
      <c r="AT49" s="637">
        <f>SUMIFS(Data!$AD$3:$AD$348,Data!$X$3:$X$348,AT$1,Data!$Y$3:$Y$348,"2022",Data!$K$3:$K$348,'Reporting 2022'!$B17)</f>
        <v>0</v>
      </c>
      <c r="AU49" s="637">
        <f>SUMIFS(Data!$AD$3:$AD$348,Data!$X$3:$X$348,AU$1,Data!$Y$3:$Y$348,"2022",Data!$K$3:$K$348,'Reporting 2022'!$B17)</f>
        <v>0</v>
      </c>
      <c r="AV49" s="637">
        <f>SUMIFS(Data!$AD$3:$AD$348,Data!$X$3:$X$348,AV$1,Data!$Y$3:$Y$348,"2022",Data!$K$3:$K$348,'Reporting 2022'!$B17)</f>
        <v>0</v>
      </c>
      <c r="AW49" s="637">
        <f>SUMIFS(Data!$AD$3:$AD$348,Data!$X$3:$X$348,AW$1,Data!$Y$3:$Y$348,"2022",Data!$K$3:$K$348,'Reporting 2022'!$B17)</f>
        <v>0</v>
      </c>
      <c r="AX49" s="637">
        <f>SUMIFS(Data!$AD$3:$AD$348,Data!$X$3:$X$348,AX$1,Data!$Y$3:$Y$348,"2022",Data!$K$3:$K$348,'Reporting 2022'!$B17)</f>
        <v>0</v>
      </c>
      <c r="AY49" s="637">
        <f>SUMIFS(Data!$AD$3:$AD$348,Data!$X$3:$X$348,AY$1,Data!$Y$3:$Y$348,"2022",Data!$K$3:$K$348,'Reporting 2022'!$B17)</f>
        <v>0</v>
      </c>
      <c r="AZ49" s="637">
        <f>SUMIFS(Data!$AD$3:$AD$348,Data!$X$3:$X$348,AZ$1,Data!$Y$3:$Y$348,"2022",Data!$K$3:$K$348,'Reporting 2022'!$B17)</f>
        <v>0</v>
      </c>
      <c r="BA49" s="637">
        <f>SUMIFS(Data!$AD$3:$AD$348,Data!$X$3:$X$348,BA$1,Data!$Y$3:$Y$348,"2022",Data!$K$3:$K$348,'Reporting 2022'!$B17)</f>
        <v>0</v>
      </c>
      <c r="BB49" s="637">
        <f>SUMIFS(Data!$AD$3:$AD$348,Data!$X$3:$X$348,BB$1,Data!$Y$3:$Y$348,"2022",Data!$K$3:$K$348,'Reporting 2022'!$B17)</f>
        <v>0</v>
      </c>
      <c r="BC49" s="39"/>
      <c r="BD49" s="39"/>
      <c r="BE49" s="39"/>
      <c r="BF49" s="39"/>
      <c r="BG49" s="39"/>
      <c r="BH49" s="39"/>
      <c r="BI49" s="39"/>
      <c r="BJ49" s="39"/>
      <c r="BK49" s="39"/>
      <c r="BL49" s="39"/>
    </row>
    <row r="50" spans="2:64" x14ac:dyDescent="0.3">
      <c r="B50" s="675" t="s">
        <v>606</v>
      </c>
      <c r="C50" s="637">
        <f>SUMIFS(Data!$AD$3:$AD$348,Data!$X$3:$X$348,C$1,Data!$Y$3:$Y$348,"2022",Data!$K$3:$K$348,'Reporting 2022'!$B18)</f>
        <v>0</v>
      </c>
      <c r="D50" s="637">
        <f>SUMIFS(Data!$AD$3:$AD$348,Data!$X$3:$X$348,D$1,Data!$Y$3:$Y$348,"2022",Data!$K$3:$K$348,'Reporting 2022'!$B18)</f>
        <v>0</v>
      </c>
      <c r="E50" s="637">
        <f>SUMIFS(Data!$AD$3:$AD$348,Data!$X$3:$X$348,E$1,Data!$Y$3:$Y$348,"2022",Data!$K$3:$K$348,'Reporting 2022'!$B18)</f>
        <v>0</v>
      </c>
      <c r="F50" s="637">
        <f>SUMIFS(Data!$AD$3:$AD$348,Data!$X$3:$X$348,F$1,Data!$Y$3:$Y$348,"2022",Data!$K$3:$K$348,'Reporting 2022'!$B18)</f>
        <v>0</v>
      </c>
      <c r="G50" s="637">
        <f>SUMIFS(Data!$AD$3:$AD$348,Data!$X$3:$X$348,G$1,Data!$Y$3:$Y$348,"2022",Data!$K$3:$K$348,'Reporting 2022'!$B18)</f>
        <v>0</v>
      </c>
      <c r="H50" s="637">
        <f>SUMIFS(Data!$AD$3:$AD$348,Data!$X$3:$X$348,H$1,Data!$Y$3:$Y$348,"2022",Data!$K$3:$K$348,'Reporting 2022'!$B18)</f>
        <v>0</v>
      </c>
      <c r="I50" s="637">
        <f>SUMIFS(Data!$AD$3:$AD$348,Data!$X$3:$X$348,I$1,Data!$Y$3:$Y$348,"2022",Data!$K$3:$K$348,'Reporting 2022'!$B18)</f>
        <v>0</v>
      </c>
      <c r="J50" s="637">
        <f>SUMIFS(Data!$AD$3:$AD$348,Data!$X$3:$X$348,J$1,Data!$Y$3:$Y$348,"2022",Data!$K$3:$K$348,'Reporting 2022'!$B18)</f>
        <v>0</v>
      </c>
      <c r="K50" s="637">
        <f>SUMIFS(Data!$AD$3:$AD$348,Data!$X$3:$X$348,K$1,Data!$Y$3:$Y$348,"2022",Data!$K$3:$K$348,'Reporting 2022'!$B18)</f>
        <v>0</v>
      </c>
      <c r="L50" s="637">
        <f>SUMIFS(Data!$AD$3:$AD$348,Data!$X$3:$X$348,L$1,Data!$Y$3:$Y$348,"2022",Data!$K$3:$K$348,'Reporting 2022'!$B18)</f>
        <v>0</v>
      </c>
      <c r="M50" s="637">
        <f>SUMIFS(Data!$AD$3:$AD$348,Data!$X$3:$X$348,M$1,Data!$Y$3:$Y$348,"2022",Data!$K$3:$K$348,'Reporting 2022'!$B18)</f>
        <v>0</v>
      </c>
      <c r="N50" s="637">
        <f>SUMIFS(Data!$AD$3:$AD$348,Data!$X$3:$X$348,N$1,Data!$Y$3:$Y$348,"2022",Data!$K$3:$K$348,'Reporting 2022'!$B18)</f>
        <v>0</v>
      </c>
      <c r="O50" s="637">
        <f>SUMIFS(Data!$AD$3:$AD$348,Data!$X$3:$X$348,O$1,Data!$Y$3:$Y$348,"2022",Data!$K$3:$K$348,'Reporting 2022'!$B18)</f>
        <v>0</v>
      </c>
      <c r="P50" s="637">
        <f>SUMIFS(Data!$AD$3:$AD$348,Data!$X$3:$X$348,P$1,Data!$Y$3:$Y$348,"2022",Data!$K$3:$K$348,'Reporting 2022'!$B18)</f>
        <v>0</v>
      </c>
      <c r="Q50" s="637">
        <f>SUMIFS(Data!$AD$3:$AD$348,Data!$X$3:$X$348,Q$1,Data!$Y$3:$Y$348,"2022",Data!$K$3:$K$348,'Reporting 2022'!$B18)</f>
        <v>0</v>
      </c>
      <c r="R50" s="637">
        <f>SUMIFS(Data!$AD$3:$AD$348,Data!$X$3:$X$348,R$1,Data!$Y$3:$Y$348,"2022",Data!$K$3:$K$348,'Reporting 2022'!$B18)</f>
        <v>0</v>
      </c>
      <c r="S50" s="637">
        <f>SUMIFS(Data!$AD$3:$AD$348,Data!$X$3:$X$348,S$1,Data!$Y$3:$Y$348,"2022",Data!$K$3:$K$348,'Reporting 2022'!$B18)</f>
        <v>0</v>
      </c>
      <c r="T50" s="637">
        <f>SUMIFS(Data!$AD$3:$AD$348,Data!$X$3:$X$348,T$1,Data!$Y$3:$Y$348,"2022",Data!$K$3:$K$348,'Reporting 2022'!$B18)</f>
        <v>0</v>
      </c>
      <c r="U50" s="637">
        <f>SUMIFS(Data!$AD$3:$AD$348,Data!$X$3:$X$348,U$1,Data!$Y$3:$Y$348,"2022",Data!$K$3:$K$348,'Reporting 2022'!$B18)</f>
        <v>0</v>
      </c>
      <c r="V50" s="637">
        <f>SUMIFS(Data!$AD$3:$AD$348,Data!$X$3:$X$348,V$1,Data!$Y$3:$Y$348,"2022",Data!$K$3:$K$348,'Reporting 2022'!$B18)</f>
        <v>0</v>
      </c>
      <c r="W50" s="637">
        <f>SUMIFS(Data!$AD$3:$AD$348,Data!$X$3:$X$348,W$1,Data!$Y$3:$Y$348,"2022",Data!$K$3:$K$348,'Reporting 2022'!$B18)</f>
        <v>0</v>
      </c>
      <c r="X50" s="637">
        <f>SUMIFS(Data!$AD$3:$AD$348,Data!$X$3:$X$348,X$1,Data!$Y$3:$Y$348,"2022",Data!$K$3:$K$348,'Reporting 2022'!$B18)</f>
        <v>0</v>
      </c>
      <c r="Y50" s="637">
        <f>SUMIFS(Data!$AD$3:$AD$348,Data!$X$3:$X$348,Y$1,Data!$Y$3:$Y$348,"2022",Data!$K$3:$K$348,'Reporting 2022'!$B18)</f>
        <v>0</v>
      </c>
      <c r="Z50" s="637">
        <f>SUMIFS(Data!$AD$3:$AD$348,Data!$X$3:$X$348,Z$1,Data!$Y$3:$Y$348,"2022",Data!$K$3:$K$348,'Reporting 2022'!$B18)</f>
        <v>0</v>
      </c>
      <c r="AA50" s="637">
        <f>SUMIFS(Data!$AD$3:$AD$348,Data!$X$3:$X$348,AA$1,Data!$Y$3:$Y$348,"2022",Data!$K$3:$K$348,'Reporting 2022'!$B18)</f>
        <v>0</v>
      </c>
      <c r="AB50" s="637">
        <f>SUMIFS(Data!$AD$3:$AD$348,Data!$X$3:$X$348,AB$1,Data!$Y$3:$Y$348,"2022",Data!$K$3:$K$348,'Reporting 2022'!$B18)</f>
        <v>0</v>
      </c>
      <c r="AC50" s="637">
        <f>SUMIFS(Data!$AD$3:$AD$348,Data!$X$3:$X$348,AC$1,Data!$Y$3:$Y$348,"2022",Data!$K$3:$K$348,'Reporting 2022'!$B18)</f>
        <v>0</v>
      </c>
      <c r="AD50" s="637">
        <f>SUMIFS(Data!$AD$3:$AD$348,Data!$X$3:$X$348,AD$1,Data!$Y$3:$Y$348,"2022",Data!$K$3:$K$348,'Reporting 2022'!$B18)</f>
        <v>0</v>
      </c>
      <c r="AE50" s="637">
        <f>SUMIFS(Data!$AD$3:$AD$348,Data!$X$3:$X$348,AE$1,Data!$Y$3:$Y$348,"2022",Data!$K$3:$K$348,'Reporting 2022'!$B18)</f>
        <v>0</v>
      </c>
      <c r="AF50" s="637">
        <f>SUMIFS(Data!$AD$3:$AD$348,Data!$X$3:$X$348,AF$1,Data!$Y$3:$Y$348,"2022",Data!$K$3:$K$348,'Reporting 2022'!$B18)</f>
        <v>0</v>
      </c>
      <c r="AG50" s="637">
        <f>SUMIFS(Data!$AD$3:$AD$348,Data!$X$3:$X$348,AG$1,Data!$Y$3:$Y$348,"2022",Data!$K$3:$K$348,'Reporting 2022'!$B18)</f>
        <v>0</v>
      </c>
      <c r="AH50" s="637">
        <f>SUMIFS(Data!$AD$3:$AD$348,Data!$X$3:$X$348,AH$1,Data!$Y$3:$Y$348,"2022",Data!$K$3:$K$348,'Reporting 2022'!$B18)</f>
        <v>0</v>
      </c>
      <c r="AI50" s="637">
        <f>SUMIFS(Data!$AD$3:$AD$348,Data!$X$3:$X$348,AI$1,Data!$Y$3:$Y$348,"2022",Data!$K$3:$K$348,'Reporting 2022'!$B18)</f>
        <v>0</v>
      </c>
      <c r="AJ50" s="637">
        <f>SUMIFS(Data!$AD$3:$AD$348,Data!$X$3:$X$348,AJ$1,Data!$Y$3:$Y$348,"2022",Data!$K$3:$K$348,'Reporting 2022'!$B18)</f>
        <v>0</v>
      </c>
      <c r="AK50" s="637">
        <f>SUMIFS(Data!$AD$3:$AD$348,Data!$X$3:$X$348,AK$1,Data!$Y$3:$Y$348,"2022",Data!$K$3:$K$348,'Reporting 2022'!$B18)</f>
        <v>0</v>
      </c>
      <c r="AL50" s="637">
        <f>SUMIFS(Data!$AD$3:$AD$348,Data!$X$3:$X$348,AL$1,Data!$Y$3:$Y$348,"2022",Data!$K$3:$K$348,'Reporting 2022'!$B18)</f>
        <v>0</v>
      </c>
      <c r="AM50" s="637">
        <f>SUMIFS(Data!$AD$3:$AD$348,Data!$X$3:$X$348,AM$1,Data!$Y$3:$Y$348,"2022",Data!$K$3:$K$348,'Reporting 2022'!$B18)</f>
        <v>0</v>
      </c>
      <c r="AN50" s="637">
        <f>SUMIFS(Data!$AD$3:$AD$348,Data!$X$3:$X$348,AN$1,Data!$Y$3:$Y$348,"2022",Data!$K$3:$K$348,'Reporting 2022'!$B18)</f>
        <v>0</v>
      </c>
      <c r="AO50" s="637">
        <f>SUMIFS(Data!$AD$3:$AD$348,Data!$X$3:$X$348,AO$1,Data!$Y$3:$Y$348,"2022",Data!$K$3:$K$348,'Reporting 2022'!$B18)</f>
        <v>0</v>
      </c>
      <c r="AP50" s="637">
        <f>SUMIFS(Data!$AD$3:$AD$348,Data!$X$3:$X$348,AP$1,Data!$Y$3:$Y$348,"2022",Data!$K$3:$K$348,'Reporting 2022'!$B18)</f>
        <v>0</v>
      </c>
      <c r="AQ50" s="637">
        <f>SUMIFS(Data!$AD$3:$AD$348,Data!$X$3:$X$348,AQ$1,Data!$Y$3:$Y$348,"2022",Data!$K$3:$K$348,'Reporting 2022'!$B18)</f>
        <v>0</v>
      </c>
      <c r="AR50" s="637">
        <f>SUMIFS(Data!$AD$3:$AD$348,Data!$X$3:$X$348,AR$1,Data!$Y$3:$Y$348,"2022",Data!$K$3:$K$348,'Reporting 2022'!$B18)</f>
        <v>0</v>
      </c>
      <c r="AS50" s="637">
        <f>SUMIFS(Data!$AD$3:$AD$348,Data!$X$3:$X$348,AS$1,Data!$Y$3:$Y$348,"2022",Data!$K$3:$K$348,'Reporting 2022'!$B18)</f>
        <v>0</v>
      </c>
      <c r="AT50" s="637">
        <f>SUMIFS(Data!$AD$3:$AD$348,Data!$X$3:$X$348,AT$1,Data!$Y$3:$Y$348,"2022",Data!$K$3:$K$348,'Reporting 2022'!$B18)</f>
        <v>0</v>
      </c>
      <c r="AU50" s="637">
        <f>SUMIFS(Data!$AD$3:$AD$348,Data!$X$3:$X$348,AU$1,Data!$Y$3:$Y$348,"2022",Data!$K$3:$K$348,'Reporting 2022'!$B18)</f>
        <v>0</v>
      </c>
      <c r="AV50" s="637">
        <f>SUMIFS(Data!$AD$3:$AD$348,Data!$X$3:$X$348,AV$1,Data!$Y$3:$Y$348,"2022",Data!$K$3:$K$348,'Reporting 2022'!$B18)</f>
        <v>0</v>
      </c>
      <c r="AW50" s="637">
        <f>SUMIFS(Data!$AD$3:$AD$348,Data!$X$3:$X$348,AW$1,Data!$Y$3:$Y$348,"2022",Data!$K$3:$K$348,'Reporting 2022'!$B18)</f>
        <v>0</v>
      </c>
      <c r="AX50" s="637">
        <f>SUMIFS(Data!$AD$3:$AD$348,Data!$X$3:$X$348,AX$1,Data!$Y$3:$Y$348,"2022",Data!$K$3:$K$348,'Reporting 2022'!$B18)</f>
        <v>0</v>
      </c>
      <c r="AY50" s="637">
        <f>SUMIFS(Data!$AD$3:$AD$348,Data!$X$3:$X$348,AY$1,Data!$Y$3:$Y$348,"2022",Data!$K$3:$K$348,'Reporting 2022'!$B18)</f>
        <v>0</v>
      </c>
      <c r="AZ50" s="637">
        <f>SUMIFS(Data!$AD$3:$AD$348,Data!$X$3:$X$348,AZ$1,Data!$Y$3:$Y$348,"2022",Data!$K$3:$K$348,'Reporting 2022'!$B18)</f>
        <v>0</v>
      </c>
      <c r="BA50" s="637">
        <f>SUMIFS(Data!$AD$3:$AD$348,Data!$X$3:$X$348,BA$1,Data!$Y$3:$Y$348,"2022",Data!$K$3:$K$348,'Reporting 2022'!$B18)</f>
        <v>0</v>
      </c>
      <c r="BB50" s="637">
        <f>SUMIFS(Data!$AD$3:$AD$348,Data!$X$3:$X$348,BB$1,Data!$Y$3:$Y$348,"2022",Data!$K$3:$K$348,'Reporting 2022'!$B18)</f>
        <v>0</v>
      </c>
      <c r="BC50" s="39"/>
      <c r="BD50" s="39"/>
      <c r="BE50" s="39"/>
      <c r="BF50" s="39"/>
      <c r="BG50" s="39"/>
      <c r="BH50" s="39"/>
      <c r="BI50" s="39"/>
      <c r="BJ50" s="39"/>
      <c r="BK50" s="39"/>
      <c r="BL50" s="39"/>
    </row>
    <row r="51" spans="2:64" s="437" customFormat="1" x14ac:dyDescent="0.3">
      <c r="B51" s="675" t="s">
        <v>607</v>
      </c>
      <c r="C51" s="637">
        <f>SUMIFS(Data!$AD$3:$AD$348,Data!$X$3:$X$348,C$1,Data!$Y$3:$Y$348,"2022",Data!$K$3:$K$348,'Reporting 2022'!$B19)</f>
        <v>0</v>
      </c>
      <c r="D51" s="637">
        <f>SUMIFS(Data!$AD$3:$AD$348,Data!$X$3:$X$348,D$1,Data!$Y$3:$Y$348,"2022",Data!$K$3:$K$348,'Reporting 2022'!$B19)</f>
        <v>0</v>
      </c>
      <c r="E51" s="637">
        <f>SUMIFS(Data!$AD$3:$AD$348,Data!$X$3:$X$348,E$1,Data!$Y$3:$Y$348,"2022",Data!$K$3:$K$348,'Reporting 2022'!$B19)</f>
        <v>0</v>
      </c>
      <c r="F51" s="637">
        <f>SUMIFS(Data!$AD$3:$AD$348,Data!$X$3:$X$348,F$1,Data!$Y$3:$Y$348,"2022",Data!$K$3:$K$348,'Reporting 2022'!$B19)</f>
        <v>0</v>
      </c>
      <c r="G51" s="637">
        <f>SUMIFS(Data!$AD$3:$AD$348,Data!$X$3:$X$348,G$1,Data!$Y$3:$Y$348,"2022",Data!$K$3:$K$348,'Reporting 2022'!$B19)</f>
        <v>0</v>
      </c>
      <c r="H51" s="637">
        <f>SUMIFS(Data!$AD$3:$AD$348,Data!$X$3:$X$348,H$1,Data!$Y$3:$Y$348,"2022",Data!$K$3:$K$348,'Reporting 2022'!$B19)</f>
        <v>0</v>
      </c>
      <c r="I51" s="637">
        <f>SUMIFS(Data!$AD$3:$AD$348,Data!$X$3:$X$348,I$1,Data!$Y$3:$Y$348,"2022",Data!$K$3:$K$348,'Reporting 2022'!$B19)</f>
        <v>0</v>
      </c>
      <c r="J51" s="637">
        <f>SUMIFS(Data!$AD$3:$AD$348,Data!$X$3:$X$348,J$1,Data!$Y$3:$Y$348,"2022",Data!$K$3:$K$348,'Reporting 2022'!$B19)</f>
        <v>0</v>
      </c>
      <c r="K51" s="637">
        <f>SUMIFS(Data!$AD$3:$AD$348,Data!$X$3:$X$348,K$1,Data!$Y$3:$Y$348,"2022",Data!$K$3:$K$348,'Reporting 2022'!$B19)</f>
        <v>0</v>
      </c>
      <c r="L51" s="637">
        <f>SUMIFS(Data!$AD$3:$AD$348,Data!$X$3:$X$348,L$1,Data!$Y$3:$Y$348,"2022",Data!$K$3:$K$348,'Reporting 2022'!$B19)</f>
        <v>0</v>
      </c>
      <c r="M51" s="637">
        <f>SUMIFS(Data!$AD$3:$AD$348,Data!$X$3:$X$348,M$1,Data!$Y$3:$Y$348,"2022",Data!$K$3:$K$348,'Reporting 2022'!$B19)</f>
        <v>0</v>
      </c>
      <c r="N51" s="637">
        <f>SUMIFS(Data!$AD$3:$AD$348,Data!$X$3:$X$348,N$1,Data!$Y$3:$Y$348,"2022",Data!$K$3:$K$348,'Reporting 2022'!$B19)</f>
        <v>0</v>
      </c>
      <c r="O51" s="637">
        <f>SUMIFS(Data!$AD$3:$AD$348,Data!$X$3:$X$348,O$1,Data!$Y$3:$Y$348,"2022",Data!$K$3:$K$348,'Reporting 2022'!$B19)</f>
        <v>0</v>
      </c>
      <c r="P51" s="637">
        <f>SUMIFS(Data!$AD$3:$AD$348,Data!$X$3:$X$348,P$1,Data!$Y$3:$Y$348,"2022",Data!$K$3:$K$348,'Reporting 2022'!$B19)</f>
        <v>0</v>
      </c>
      <c r="Q51" s="637">
        <f>SUMIFS(Data!$AD$3:$AD$348,Data!$X$3:$X$348,Q$1,Data!$Y$3:$Y$348,"2022",Data!$K$3:$K$348,'Reporting 2022'!$B19)</f>
        <v>0</v>
      </c>
      <c r="R51" s="637">
        <f>SUMIFS(Data!$AD$3:$AD$348,Data!$X$3:$X$348,R$1,Data!$Y$3:$Y$348,"2022",Data!$K$3:$K$348,'Reporting 2022'!$B19)</f>
        <v>0</v>
      </c>
      <c r="S51" s="637">
        <f>SUMIFS(Data!$AD$3:$AD$348,Data!$X$3:$X$348,S$1,Data!$Y$3:$Y$348,"2022",Data!$K$3:$K$348,'Reporting 2022'!$B19)</f>
        <v>0</v>
      </c>
      <c r="T51" s="637">
        <f>SUMIFS(Data!$AD$3:$AD$348,Data!$X$3:$X$348,T$1,Data!$Y$3:$Y$348,"2022",Data!$K$3:$K$348,'Reporting 2022'!$B19)</f>
        <v>0</v>
      </c>
      <c r="U51" s="637">
        <f>SUMIFS(Data!$AD$3:$AD$348,Data!$X$3:$X$348,U$1,Data!$Y$3:$Y$348,"2022",Data!$K$3:$K$348,'Reporting 2022'!$B19)</f>
        <v>0</v>
      </c>
      <c r="V51" s="637">
        <f>SUMIFS(Data!$AD$3:$AD$348,Data!$X$3:$X$348,V$1,Data!$Y$3:$Y$348,"2022",Data!$K$3:$K$348,'Reporting 2022'!$B19)</f>
        <v>0</v>
      </c>
      <c r="W51" s="637">
        <f>SUMIFS(Data!$AD$3:$AD$348,Data!$X$3:$X$348,W$1,Data!$Y$3:$Y$348,"2022",Data!$K$3:$K$348,'Reporting 2022'!$B19)</f>
        <v>0</v>
      </c>
      <c r="X51" s="637">
        <f>SUMIFS(Data!$AD$3:$AD$348,Data!$X$3:$X$348,X$1,Data!$Y$3:$Y$348,"2022",Data!$K$3:$K$348,'Reporting 2022'!$B19)</f>
        <v>0</v>
      </c>
      <c r="Y51" s="637">
        <f>SUMIFS(Data!$AD$3:$AD$348,Data!$X$3:$X$348,Y$1,Data!$Y$3:$Y$348,"2022",Data!$K$3:$K$348,'Reporting 2022'!$B19)</f>
        <v>0</v>
      </c>
      <c r="Z51" s="637">
        <f>SUMIFS(Data!$AD$3:$AD$348,Data!$X$3:$X$348,Z$1,Data!$Y$3:$Y$348,"2022",Data!$K$3:$K$348,'Reporting 2022'!$B19)</f>
        <v>0</v>
      </c>
      <c r="AA51" s="637">
        <f>SUMIFS(Data!$AD$3:$AD$348,Data!$X$3:$X$348,AA$1,Data!$Y$3:$Y$348,"2022",Data!$K$3:$K$348,'Reporting 2022'!$B19)</f>
        <v>0</v>
      </c>
      <c r="AB51" s="637">
        <f>SUMIFS(Data!$AD$3:$AD$348,Data!$X$3:$X$348,AB$1,Data!$Y$3:$Y$348,"2022",Data!$K$3:$K$348,'Reporting 2022'!$B19)</f>
        <v>0</v>
      </c>
      <c r="AC51" s="637">
        <f>SUMIFS(Data!$AD$3:$AD$348,Data!$X$3:$X$348,AC$1,Data!$Y$3:$Y$348,"2022",Data!$K$3:$K$348,'Reporting 2022'!$B19)</f>
        <v>0</v>
      </c>
      <c r="AD51" s="637">
        <f>SUMIFS(Data!$AD$3:$AD$348,Data!$X$3:$X$348,AD$1,Data!$Y$3:$Y$348,"2022",Data!$K$3:$K$348,'Reporting 2022'!$B19)</f>
        <v>0</v>
      </c>
      <c r="AE51" s="637">
        <f>SUMIFS(Data!$AD$3:$AD$348,Data!$X$3:$X$348,AE$1,Data!$Y$3:$Y$348,"2022",Data!$K$3:$K$348,'Reporting 2022'!$B19)</f>
        <v>0</v>
      </c>
      <c r="AF51" s="637">
        <f>SUMIFS(Data!$AD$3:$AD$348,Data!$X$3:$X$348,AF$1,Data!$Y$3:$Y$348,"2022",Data!$K$3:$K$348,'Reporting 2022'!$B19)</f>
        <v>0</v>
      </c>
      <c r="AG51" s="637">
        <f>SUMIFS(Data!$AD$3:$AD$348,Data!$X$3:$X$348,AG$1,Data!$Y$3:$Y$348,"2022",Data!$K$3:$K$348,'Reporting 2022'!$B19)</f>
        <v>0</v>
      </c>
      <c r="AH51" s="637">
        <f>SUMIFS(Data!$AD$3:$AD$348,Data!$X$3:$X$348,AH$1,Data!$Y$3:$Y$348,"2022",Data!$K$3:$K$348,'Reporting 2022'!$B19)</f>
        <v>0</v>
      </c>
      <c r="AI51" s="637">
        <f>SUMIFS(Data!$AD$3:$AD$348,Data!$X$3:$X$348,AI$1,Data!$Y$3:$Y$348,"2022",Data!$K$3:$K$348,'Reporting 2022'!$B19)</f>
        <v>0</v>
      </c>
      <c r="AJ51" s="637">
        <f>SUMIFS(Data!$AD$3:$AD$348,Data!$X$3:$X$348,AJ$1,Data!$Y$3:$Y$348,"2022",Data!$K$3:$K$348,'Reporting 2022'!$B19)</f>
        <v>0</v>
      </c>
      <c r="AK51" s="637">
        <f>SUMIFS(Data!$AD$3:$AD$348,Data!$X$3:$X$348,AK$1,Data!$Y$3:$Y$348,"2022",Data!$K$3:$K$348,'Reporting 2022'!$B19)</f>
        <v>0</v>
      </c>
      <c r="AL51" s="637">
        <f>SUMIFS(Data!$AD$3:$AD$348,Data!$X$3:$X$348,AL$1,Data!$Y$3:$Y$348,"2022",Data!$K$3:$K$348,'Reporting 2022'!$B19)</f>
        <v>0</v>
      </c>
      <c r="AM51" s="637">
        <f>SUMIFS(Data!$AD$3:$AD$348,Data!$X$3:$X$348,AM$1,Data!$Y$3:$Y$348,"2022",Data!$K$3:$K$348,'Reporting 2022'!$B19)</f>
        <v>0</v>
      </c>
      <c r="AN51" s="637">
        <f>SUMIFS(Data!$AD$3:$AD$348,Data!$X$3:$X$348,AN$1,Data!$Y$3:$Y$348,"2022",Data!$K$3:$K$348,'Reporting 2022'!$B19)</f>
        <v>0</v>
      </c>
      <c r="AO51" s="637">
        <f>SUMIFS(Data!$AD$3:$AD$348,Data!$X$3:$X$348,AO$1,Data!$Y$3:$Y$348,"2022",Data!$K$3:$K$348,'Reporting 2022'!$B19)</f>
        <v>0</v>
      </c>
      <c r="AP51" s="637">
        <f>SUMIFS(Data!$AD$3:$AD$348,Data!$X$3:$X$348,AP$1,Data!$Y$3:$Y$348,"2022",Data!$K$3:$K$348,'Reporting 2022'!$B19)</f>
        <v>0</v>
      </c>
      <c r="AQ51" s="637">
        <f>SUMIFS(Data!$AD$3:$AD$348,Data!$X$3:$X$348,AQ$1,Data!$Y$3:$Y$348,"2022",Data!$K$3:$K$348,'Reporting 2022'!$B19)</f>
        <v>0</v>
      </c>
      <c r="AR51" s="637">
        <f>SUMIFS(Data!$AD$3:$AD$348,Data!$X$3:$X$348,AR$1,Data!$Y$3:$Y$348,"2022",Data!$K$3:$K$348,'Reporting 2022'!$B19)</f>
        <v>0</v>
      </c>
      <c r="AS51" s="637">
        <f>SUMIFS(Data!$AD$3:$AD$348,Data!$X$3:$X$348,AS$1,Data!$Y$3:$Y$348,"2022",Data!$K$3:$K$348,'Reporting 2022'!$B19)</f>
        <v>0</v>
      </c>
      <c r="AT51" s="637">
        <f>SUMIFS(Data!$AD$3:$AD$348,Data!$X$3:$X$348,AT$1,Data!$Y$3:$Y$348,"2022",Data!$K$3:$K$348,'Reporting 2022'!$B19)</f>
        <v>0</v>
      </c>
      <c r="AU51" s="637">
        <f>SUMIFS(Data!$AD$3:$AD$348,Data!$X$3:$X$348,AU$1,Data!$Y$3:$Y$348,"2022",Data!$K$3:$K$348,'Reporting 2022'!$B19)</f>
        <v>0</v>
      </c>
      <c r="AV51" s="637">
        <f>SUMIFS(Data!$AD$3:$AD$348,Data!$X$3:$X$348,AV$1,Data!$Y$3:$Y$348,"2022",Data!$K$3:$K$348,'Reporting 2022'!$B19)</f>
        <v>0</v>
      </c>
      <c r="AW51" s="637">
        <f>SUMIFS(Data!$AD$3:$AD$348,Data!$X$3:$X$348,AW$1,Data!$Y$3:$Y$348,"2022",Data!$K$3:$K$348,'Reporting 2022'!$B19)</f>
        <v>0</v>
      </c>
      <c r="AX51" s="637">
        <f>SUMIFS(Data!$AD$3:$AD$348,Data!$X$3:$X$348,AX$1,Data!$Y$3:$Y$348,"2022",Data!$K$3:$K$348,'Reporting 2022'!$B19)</f>
        <v>0</v>
      </c>
      <c r="AY51" s="637">
        <f>SUMIFS(Data!$AD$3:$AD$348,Data!$X$3:$X$348,AY$1,Data!$Y$3:$Y$348,"2022",Data!$K$3:$K$348,'Reporting 2022'!$B19)</f>
        <v>0</v>
      </c>
      <c r="AZ51" s="637">
        <f>SUMIFS(Data!$AD$3:$AD$348,Data!$X$3:$X$348,AZ$1,Data!$Y$3:$Y$348,"2022",Data!$K$3:$K$348,'Reporting 2022'!$B19)</f>
        <v>0</v>
      </c>
      <c r="BA51" s="637">
        <f>SUMIFS(Data!$AD$3:$AD$348,Data!$X$3:$X$348,BA$1,Data!$Y$3:$Y$348,"2022",Data!$K$3:$K$348,'Reporting 2022'!$B19)</f>
        <v>0</v>
      </c>
      <c r="BB51" s="637">
        <f>SUMIFS(Data!$AD$3:$AD$348,Data!$X$3:$X$348,BB$1,Data!$Y$3:$Y$348,"2022",Data!$K$3:$K$348,'Reporting 2022'!$B19)</f>
        <v>0</v>
      </c>
      <c r="BC51" s="39"/>
      <c r="BD51" s="39"/>
      <c r="BE51" s="39"/>
      <c r="BF51" s="39"/>
      <c r="BG51" s="39"/>
      <c r="BH51" s="39"/>
      <c r="BI51" s="39"/>
      <c r="BJ51" s="39"/>
      <c r="BK51" s="39"/>
      <c r="BL51" s="39"/>
    </row>
    <row r="52" spans="2:64" x14ac:dyDescent="0.3">
      <c r="B52" s="675" t="s">
        <v>608</v>
      </c>
      <c r="C52" s="637">
        <f>SUMIFS(Data!$AD$3:$AD$348,Data!$X$3:$X$348,C$1,Data!$Y$3:$Y$348,"2022",Data!$K$3:$K$348,'Reporting 2022'!$B20)</f>
        <v>0</v>
      </c>
      <c r="D52" s="637">
        <f>SUMIFS(Data!$AD$3:$AD$348,Data!$X$3:$X$348,D$1,Data!$Y$3:$Y$348,"2022",Data!$K$3:$K$348,'Reporting 2022'!$B20)</f>
        <v>3180</v>
      </c>
      <c r="E52" s="637">
        <f>SUMIFS(Data!$AD$3:$AD$348,Data!$X$3:$X$348,E$1,Data!$Y$3:$Y$348,"2022",Data!$K$3:$K$348,'Reporting 2022'!$B20)</f>
        <v>0</v>
      </c>
      <c r="F52" s="637">
        <f>SUMIFS(Data!$AD$3:$AD$348,Data!$X$3:$X$348,F$1,Data!$Y$3:$Y$348,"2022",Data!$K$3:$K$348,'Reporting 2022'!$B20)</f>
        <v>0</v>
      </c>
      <c r="G52" s="637">
        <f>SUMIFS(Data!$AD$3:$AD$348,Data!$X$3:$X$348,G$1,Data!$Y$3:$Y$348,"2022",Data!$K$3:$K$348,'Reporting 2022'!$B20)</f>
        <v>0</v>
      </c>
      <c r="H52" s="637">
        <f>SUMIFS(Data!$AD$3:$AD$348,Data!$X$3:$X$348,H$1,Data!$Y$3:$Y$348,"2022",Data!$K$3:$K$348,'Reporting 2022'!$B20)</f>
        <v>11760</v>
      </c>
      <c r="I52" s="637">
        <f>SUMIFS(Data!$AD$3:$AD$348,Data!$X$3:$X$348,I$1,Data!$Y$3:$Y$348,"2022",Data!$K$3:$K$348,'Reporting 2022'!$B20)</f>
        <v>0</v>
      </c>
      <c r="J52" s="637">
        <f>SUMIFS(Data!$AD$3:$AD$348,Data!$X$3:$X$348,J$1,Data!$Y$3:$Y$348,"2022",Data!$K$3:$K$348,'Reporting 2022'!$B20)</f>
        <v>5150</v>
      </c>
      <c r="K52" s="637">
        <f>SUMIFS(Data!$AD$3:$AD$348,Data!$X$3:$X$348,K$1,Data!$Y$3:$Y$348,"2022",Data!$K$3:$K$348,'Reporting 2022'!$B20)</f>
        <v>3180</v>
      </c>
      <c r="L52" s="637">
        <f>SUMIFS(Data!$AD$3:$AD$348,Data!$X$3:$X$348,L$1,Data!$Y$3:$Y$348,"2022",Data!$K$3:$K$348,'Reporting 2022'!$B20)</f>
        <v>0</v>
      </c>
      <c r="M52" s="637">
        <f>SUMIFS(Data!$AD$3:$AD$348,Data!$X$3:$X$348,M$1,Data!$Y$3:$Y$348,"2022",Data!$K$3:$K$348,'Reporting 2022'!$B20)</f>
        <v>0</v>
      </c>
      <c r="N52" s="637">
        <f>SUMIFS(Data!$AD$3:$AD$348,Data!$X$3:$X$348,N$1,Data!$Y$3:$Y$348,"2022",Data!$K$3:$K$348,'Reporting 2022'!$B20)</f>
        <v>3120</v>
      </c>
      <c r="O52" s="637">
        <f>SUMIFS(Data!$AD$3:$AD$348,Data!$X$3:$X$348,O$1,Data!$Y$3:$Y$348,"2022",Data!$K$3:$K$348,'Reporting 2022'!$B20)</f>
        <v>0</v>
      </c>
      <c r="P52" s="637">
        <f>SUMIFS(Data!$AD$3:$AD$348,Data!$X$3:$X$348,P$1,Data!$Y$3:$Y$348,"2022",Data!$K$3:$K$348,'Reporting 2022'!$B20)</f>
        <v>5950</v>
      </c>
      <c r="Q52" s="637">
        <f>SUMIFS(Data!$AD$3:$AD$348,Data!$X$3:$X$348,Q$1,Data!$Y$3:$Y$348,"2022",Data!$K$3:$K$348,'Reporting 2022'!$B20)</f>
        <v>0</v>
      </c>
      <c r="R52" s="637">
        <f>SUMIFS(Data!$AD$3:$AD$348,Data!$X$3:$X$348,R$1,Data!$Y$3:$Y$348,"2022",Data!$K$3:$K$348,'Reporting 2022'!$B20)</f>
        <v>0</v>
      </c>
      <c r="S52" s="637">
        <f>SUMIFS(Data!$AD$3:$AD$348,Data!$X$3:$X$348,S$1,Data!$Y$3:$Y$348,"2022",Data!$K$3:$K$348,'Reporting 2022'!$B20)</f>
        <v>0</v>
      </c>
      <c r="T52" s="637">
        <f>SUMIFS(Data!$AD$3:$AD$348,Data!$X$3:$X$348,T$1,Data!$Y$3:$Y$348,"2022",Data!$K$3:$K$348,'Reporting 2022'!$B20)</f>
        <v>0</v>
      </c>
      <c r="U52" s="637">
        <f>SUMIFS(Data!$AD$3:$AD$348,Data!$X$3:$X$348,U$1,Data!$Y$3:$Y$348,"2022",Data!$K$3:$K$348,'Reporting 2022'!$B20)</f>
        <v>0</v>
      </c>
      <c r="V52" s="637">
        <f>SUMIFS(Data!$AD$3:$AD$348,Data!$X$3:$X$348,V$1,Data!$Y$3:$Y$348,"2022",Data!$K$3:$K$348,'Reporting 2022'!$B20)</f>
        <v>0</v>
      </c>
      <c r="W52" s="637">
        <f>SUMIFS(Data!$AD$3:$AD$348,Data!$X$3:$X$348,W$1,Data!$Y$3:$Y$348,"2022",Data!$K$3:$K$348,'Reporting 2022'!$B20)</f>
        <v>0</v>
      </c>
      <c r="X52" s="637">
        <f>SUMIFS(Data!$AD$3:$AD$348,Data!$X$3:$X$348,X$1,Data!$Y$3:$Y$348,"2022",Data!$K$3:$K$348,'Reporting 2022'!$B20)</f>
        <v>0</v>
      </c>
      <c r="Y52" s="637">
        <f>SUMIFS(Data!$AD$3:$AD$348,Data!$X$3:$X$348,Y$1,Data!$Y$3:$Y$348,"2022",Data!$K$3:$K$348,'Reporting 2022'!$B20)</f>
        <v>0</v>
      </c>
      <c r="Z52" s="637">
        <f>SUMIFS(Data!$AD$3:$AD$348,Data!$X$3:$X$348,Z$1,Data!$Y$3:$Y$348,"2022",Data!$K$3:$K$348,'Reporting 2022'!$B20)</f>
        <v>0</v>
      </c>
      <c r="AA52" s="637">
        <f>SUMIFS(Data!$AD$3:$AD$348,Data!$X$3:$X$348,AA$1,Data!$Y$3:$Y$348,"2022",Data!$K$3:$K$348,'Reporting 2022'!$B20)</f>
        <v>0</v>
      </c>
      <c r="AB52" s="637">
        <f>SUMIFS(Data!$AD$3:$AD$348,Data!$X$3:$X$348,AB$1,Data!$Y$3:$Y$348,"2022",Data!$K$3:$K$348,'Reporting 2022'!$B20)</f>
        <v>0</v>
      </c>
      <c r="AC52" s="637">
        <f>SUMIFS(Data!$AD$3:$AD$348,Data!$X$3:$X$348,AC$1,Data!$Y$3:$Y$348,"2022",Data!$K$3:$K$348,'Reporting 2022'!$B20)</f>
        <v>0</v>
      </c>
      <c r="AD52" s="637">
        <f>SUMIFS(Data!$AD$3:$AD$348,Data!$X$3:$X$348,AD$1,Data!$Y$3:$Y$348,"2022",Data!$K$3:$K$348,'Reporting 2022'!$B20)</f>
        <v>0</v>
      </c>
      <c r="AE52" s="637">
        <f>SUMIFS(Data!$AD$3:$AD$348,Data!$X$3:$X$348,AE$1,Data!$Y$3:$Y$348,"2022",Data!$K$3:$K$348,'Reporting 2022'!$B20)</f>
        <v>0</v>
      </c>
      <c r="AF52" s="637">
        <f>SUMIFS(Data!$AD$3:$AD$348,Data!$X$3:$X$348,AF$1,Data!$Y$3:$Y$348,"2022",Data!$K$3:$K$348,'Reporting 2022'!$B20)</f>
        <v>0</v>
      </c>
      <c r="AG52" s="637">
        <f>SUMIFS(Data!$AD$3:$AD$348,Data!$X$3:$X$348,AG$1,Data!$Y$3:$Y$348,"2022",Data!$K$3:$K$348,'Reporting 2022'!$B20)</f>
        <v>0</v>
      </c>
      <c r="AH52" s="637">
        <f>SUMIFS(Data!$AD$3:$AD$348,Data!$X$3:$X$348,AH$1,Data!$Y$3:$Y$348,"2022",Data!$K$3:$K$348,'Reporting 2022'!$B20)</f>
        <v>0</v>
      </c>
      <c r="AI52" s="637">
        <f>SUMIFS(Data!$AD$3:$AD$348,Data!$X$3:$X$348,AI$1,Data!$Y$3:$Y$348,"2022",Data!$K$3:$K$348,'Reporting 2022'!$B20)</f>
        <v>0</v>
      </c>
      <c r="AJ52" s="637">
        <f>SUMIFS(Data!$AD$3:$AD$348,Data!$X$3:$X$348,AJ$1,Data!$Y$3:$Y$348,"2022",Data!$K$3:$K$348,'Reporting 2022'!$B20)</f>
        <v>0</v>
      </c>
      <c r="AK52" s="637">
        <f>SUMIFS(Data!$AD$3:$AD$348,Data!$X$3:$X$348,AK$1,Data!$Y$3:$Y$348,"2022",Data!$K$3:$K$348,'Reporting 2022'!$B20)</f>
        <v>0</v>
      </c>
      <c r="AL52" s="637">
        <f>SUMIFS(Data!$AD$3:$AD$348,Data!$X$3:$X$348,AL$1,Data!$Y$3:$Y$348,"2022",Data!$K$3:$K$348,'Reporting 2022'!$B20)</f>
        <v>0</v>
      </c>
      <c r="AM52" s="637">
        <f>SUMIFS(Data!$AD$3:$AD$348,Data!$X$3:$X$348,AM$1,Data!$Y$3:$Y$348,"2022",Data!$K$3:$K$348,'Reporting 2022'!$B20)</f>
        <v>0</v>
      </c>
      <c r="AN52" s="637">
        <f>SUMIFS(Data!$AD$3:$AD$348,Data!$X$3:$X$348,AN$1,Data!$Y$3:$Y$348,"2022",Data!$K$3:$K$348,'Reporting 2022'!$B20)</f>
        <v>0</v>
      </c>
      <c r="AO52" s="637">
        <f>SUMIFS(Data!$AD$3:$AD$348,Data!$X$3:$X$348,AO$1,Data!$Y$3:$Y$348,"2022",Data!$K$3:$K$348,'Reporting 2022'!$B20)</f>
        <v>0</v>
      </c>
      <c r="AP52" s="637">
        <f>SUMIFS(Data!$AD$3:$AD$348,Data!$X$3:$X$348,AP$1,Data!$Y$3:$Y$348,"2022",Data!$K$3:$K$348,'Reporting 2022'!$B20)</f>
        <v>0</v>
      </c>
      <c r="AQ52" s="637">
        <f>SUMIFS(Data!$AD$3:$AD$348,Data!$X$3:$X$348,AQ$1,Data!$Y$3:$Y$348,"2022",Data!$K$3:$K$348,'Reporting 2022'!$B20)</f>
        <v>0</v>
      </c>
      <c r="AR52" s="637">
        <f>SUMIFS(Data!$AD$3:$AD$348,Data!$X$3:$X$348,AR$1,Data!$Y$3:$Y$348,"2022",Data!$K$3:$K$348,'Reporting 2022'!$B20)</f>
        <v>0</v>
      </c>
      <c r="AS52" s="637">
        <f>SUMIFS(Data!$AD$3:$AD$348,Data!$X$3:$X$348,AS$1,Data!$Y$3:$Y$348,"2022",Data!$K$3:$K$348,'Reporting 2022'!$B20)</f>
        <v>0</v>
      </c>
      <c r="AT52" s="637">
        <f>SUMIFS(Data!$AD$3:$AD$348,Data!$X$3:$X$348,AT$1,Data!$Y$3:$Y$348,"2022",Data!$K$3:$K$348,'Reporting 2022'!$B20)</f>
        <v>0</v>
      </c>
      <c r="AU52" s="637">
        <f>SUMIFS(Data!$AD$3:$AD$348,Data!$X$3:$X$348,AU$1,Data!$Y$3:$Y$348,"2022",Data!$K$3:$K$348,'Reporting 2022'!$B20)</f>
        <v>0</v>
      </c>
      <c r="AV52" s="637">
        <f>SUMIFS(Data!$AD$3:$AD$348,Data!$X$3:$X$348,AV$1,Data!$Y$3:$Y$348,"2022",Data!$K$3:$K$348,'Reporting 2022'!$B20)</f>
        <v>0</v>
      </c>
      <c r="AW52" s="637">
        <f>SUMIFS(Data!$AD$3:$AD$348,Data!$X$3:$X$348,AW$1,Data!$Y$3:$Y$348,"2022",Data!$K$3:$K$348,'Reporting 2022'!$B20)</f>
        <v>0</v>
      </c>
      <c r="AX52" s="637">
        <f>SUMIFS(Data!$AD$3:$AD$348,Data!$X$3:$X$348,AX$1,Data!$Y$3:$Y$348,"2022",Data!$K$3:$K$348,'Reporting 2022'!$B20)</f>
        <v>0</v>
      </c>
      <c r="AY52" s="637">
        <f>SUMIFS(Data!$AD$3:$AD$348,Data!$X$3:$X$348,AY$1,Data!$Y$3:$Y$348,"2022",Data!$K$3:$K$348,'Reporting 2022'!$B20)</f>
        <v>0</v>
      </c>
      <c r="AZ52" s="637">
        <f>SUMIFS(Data!$AD$3:$AD$348,Data!$X$3:$X$348,AZ$1,Data!$Y$3:$Y$348,"2022",Data!$K$3:$K$348,'Reporting 2022'!$B20)</f>
        <v>0</v>
      </c>
      <c r="BA52" s="637">
        <f>SUMIFS(Data!$AD$3:$AD$348,Data!$X$3:$X$348,BA$1,Data!$Y$3:$Y$348,"2022",Data!$K$3:$K$348,'Reporting 2022'!$B20)</f>
        <v>0</v>
      </c>
      <c r="BB52" s="637">
        <f>SUMIFS(Data!$AD$3:$AD$348,Data!$X$3:$X$348,BB$1,Data!$Y$3:$Y$348,"2022",Data!$K$3:$K$348,'Reporting 2022'!$B20)</f>
        <v>0</v>
      </c>
      <c r="BC52" s="39"/>
      <c r="BD52" s="39"/>
      <c r="BE52" s="39"/>
      <c r="BF52" s="39"/>
      <c r="BG52" s="39"/>
      <c r="BH52" s="39"/>
      <c r="BI52" s="39"/>
      <c r="BJ52" s="39"/>
      <c r="BK52" s="39"/>
      <c r="BL52" s="39"/>
    </row>
    <row r="53" spans="2:64" x14ac:dyDescent="0.3">
      <c r="B53" s="675" t="s">
        <v>609</v>
      </c>
      <c r="C53" s="637">
        <f>SUMIFS(Data!$AD$3:$AD$348,Data!$X$3:$X$348,C$1,Data!$Y$3:$Y$348,"2022",Data!$K$3:$K$348,'Reporting 2022'!$B21)</f>
        <v>0</v>
      </c>
      <c r="D53" s="637">
        <f>SUMIFS(Data!$AD$3:$AD$348,Data!$X$3:$X$348,D$1,Data!$Y$3:$Y$348,"2022",Data!$K$3:$K$348,'Reporting 2022'!$B21)</f>
        <v>0</v>
      </c>
      <c r="E53" s="637">
        <f>SUMIFS(Data!$AD$3:$AD$348,Data!$X$3:$X$348,E$1,Data!$Y$3:$Y$348,"2022",Data!$K$3:$K$348,'Reporting 2022'!$B21)</f>
        <v>0</v>
      </c>
      <c r="F53" s="637">
        <f>SUMIFS(Data!$AD$3:$AD$348,Data!$X$3:$X$348,F$1,Data!$Y$3:$Y$348,"2022",Data!$K$3:$K$348,'Reporting 2022'!$B21)</f>
        <v>0</v>
      </c>
      <c r="G53" s="637">
        <f>SUMIFS(Data!$AD$3:$AD$348,Data!$X$3:$X$348,G$1,Data!$Y$3:$Y$348,"2022",Data!$K$3:$K$348,'Reporting 2022'!$B21)</f>
        <v>0</v>
      </c>
      <c r="H53" s="637">
        <f>SUMIFS(Data!$AD$3:$AD$348,Data!$X$3:$X$348,H$1,Data!$Y$3:$Y$348,"2022",Data!$K$3:$K$348,'Reporting 2022'!$B21)</f>
        <v>0</v>
      </c>
      <c r="I53" s="637">
        <f>SUMIFS(Data!$AD$3:$AD$348,Data!$X$3:$X$348,I$1,Data!$Y$3:$Y$348,"2022",Data!$K$3:$K$348,'Reporting 2022'!$B21)</f>
        <v>0</v>
      </c>
      <c r="J53" s="637">
        <f>SUMIFS(Data!$AD$3:$AD$348,Data!$X$3:$X$348,J$1,Data!$Y$3:$Y$348,"2022",Data!$K$3:$K$348,'Reporting 2022'!$B21)</f>
        <v>0</v>
      </c>
      <c r="K53" s="637">
        <f>SUMIFS(Data!$AD$3:$AD$348,Data!$X$3:$X$348,K$1,Data!$Y$3:$Y$348,"2022",Data!$K$3:$K$348,'Reporting 2022'!$B21)</f>
        <v>0</v>
      </c>
      <c r="L53" s="637">
        <f>SUMIFS(Data!$AD$3:$AD$348,Data!$X$3:$X$348,L$1,Data!$Y$3:$Y$348,"2022",Data!$K$3:$K$348,'Reporting 2022'!$B21)</f>
        <v>0</v>
      </c>
      <c r="M53" s="637">
        <f>SUMIFS(Data!$AD$3:$AD$348,Data!$X$3:$X$348,M$1,Data!$Y$3:$Y$348,"2022",Data!$K$3:$K$348,'Reporting 2022'!$B21)</f>
        <v>0</v>
      </c>
      <c r="N53" s="637">
        <f>SUMIFS(Data!$AD$3:$AD$348,Data!$X$3:$X$348,N$1,Data!$Y$3:$Y$348,"2022",Data!$K$3:$K$348,'Reporting 2022'!$B21)</f>
        <v>0</v>
      </c>
      <c r="O53" s="637">
        <f>SUMIFS(Data!$AD$3:$AD$348,Data!$X$3:$X$348,O$1,Data!$Y$3:$Y$348,"2022",Data!$K$3:$K$348,'Reporting 2022'!$B21)</f>
        <v>0</v>
      </c>
      <c r="P53" s="637">
        <f>SUMIFS(Data!$AD$3:$AD$348,Data!$X$3:$X$348,P$1,Data!$Y$3:$Y$348,"2022",Data!$K$3:$K$348,'Reporting 2022'!$B21)</f>
        <v>0</v>
      </c>
      <c r="Q53" s="637">
        <f>SUMIFS(Data!$AD$3:$AD$348,Data!$X$3:$X$348,Q$1,Data!$Y$3:$Y$348,"2022",Data!$K$3:$K$348,'Reporting 2022'!$B21)</f>
        <v>0</v>
      </c>
      <c r="R53" s="637">
        <f>SUMIFS(Data!$AD$3:$AD$348,Data!$X$3:$X$348,R$1,Data!$Y$3:$Y$348,"2022",Data!$K$3:$K$348,'Reporting 2022'!$B21)</f>
        <v>0</v>
      </c>
      <c r="S53" s="637">
        <f>SUMIFS(Data!$AD$3:$AD$348,Data!$X$3:$X$348,S$1,Data!$Y$3:$Y$348,"2022",Data!$K$3:$K$348,'Reporting 2022'!$B21)</f>
        <v>0</v>
      </c>
      <c r="T53" s="637">
        <f>SUMIFS(Data!$AD$3:$AD$348,Data!$X$3:$X$348,T$1,Data!$Y$3:$Y$348,"2022",Data!$K$3:$K$348,'Reporting 2022'!$B21)</f>
        <v>0</v>
      </c>
      <c r="U53" s="637">
        <f>SUMIFS(Data!$AD$3:$AD$348,Data!$X$3:$X$348,U$1,Data!$Y$3:$Y$348,"2022",Data!$K$3:$K$348,'Reporting 2022'!$B21)</f>
        <v>0</v>
      </c>
      <c r="V53" s="637">
        <f>SUMIFS(Data!$AD$3:$AD$348,Data!$X$3:$X$348,V$1,Data!$Y$3:$Y$348,"2022",Data!$K$3:$K$348,'Reporting 2022'!$B21)</f>
        <v>0</v>
      </c>
      <c r="W53" s="637">
        <f>SUMIFS(Data!$AD$3:$AD$348,Data!$X$3:$X$348,W$1,Data!$Y$3:$Y$348,"2022",Data!$K$3:$K$348,'Reporting 2022'!$B21)</f>
        <v>0</v>
      </c>
      <c r="X53" s="637">
        <f>SUMIFS(Data!$AD$3:$AD$348,Data!$X$3:$X$348,X$1,Data!$Y$3:$Y$348,"2022",Data!$K$3:$K$348,'Reporting 2022'!$B21)</f>
        <v>0</v>
      </c>
      <c r="Y53" s="637">
        <f>SUMIFS(Data!$AD$3:$AD$348,Data!$X$3:$X$348,Y$1,Data!$Y$3:$Y$348,"2022",Data!$K$3:$K$348,'Reporting 2022'!$B21)</f>
        <v>0</v>
      </c>
      <c r="Z53" s="637">
        <f>SUMIFS(Data!$AD$3:$AD$348,Data!$X$3:$X$348,Z$1,Data!$Y$3:$Y$348,"2022",Data!$K$3:$K$348,'Reporting 2022'!$B21)</f>
        <v>0</v>
      </c>
      <c r="AA53" s="637">
        <f>SUMIFS(Data!$AD$3:$AD$348,Data!$X$3:$X$348,AA$1,Data!$Y$3:$Y$348,"2022",Data!$K$3:$K$348,'Reporting 2022'!$B21)</f>
        <v>0</v>
      </c>
      <c r="AB53" s="637">
        <f>SUMIFS(Data!$AD$3:$AD$348,Data!$X$3:$X$348,AB$1,Data!$Y$3:$Y$348,"2022",Data!$K$3:$K$348,'Reporting 2022'!$B21)</f>
        <v>0</v>
      </c>
      <c r="AC53" s="637">
        <f>SUMIFS(Data!$AD$3:$AD$348,Data!$X$3:$X$348,AC$1,Data!$Y$3:$Y$348,"2022",Data!$K$3:$K$348,'Reporting 2022'!$B21)</f>
        <v>0</v>
      </c>
      <c r="AD53" s="637">
        <f>SUMIFS(Data!$AD$3:$AD$348,Data!$X$3:$X$348,AD$1,Data!$Y$3:$Y$348,"2022",Data!$K$3:$K$348,'Reporting 2022'!$B21)</f>
        <v>0</v>
      </c>
      <c r="AE53" s="637">
        <f>SUMIFS(Data!$AD$3:$AD$348,Data!$X$3:$X$348,AE$1,Data!$Y$3:$Y$348,"2022",Data!$K$3:$K$348,'Reporting 2022'!$B21)</f>
        <v>0</v>
      </c>
      <c r="AF53" s="637">
        <f>SUMIFS(Data!$AD$3:$AD$348,Data!$X$3:$X$348,AF$1,Data!$Y$3:$Y$348,"2022",Data!$K$3:$K$348,'Reporting 2022'!$B21)</f>
        <v>0</v>
      </c>
      <c r="AG53" s="637">
        <f>SUMIFS(Data!$AD$3:$AD$348,Data!$X$3:$X$348,AG$1,Data!$Y$3:$Y$348,"2022",Data!$K$3:$K$348,'Reporting 2022'!$B21)</f>
        <v>0</v>
      </c>
      <c r="AH53" s="637">
        <f>SUMIFS(Data!$AD$3:$AD$348,Data!$X$3:$X$348,AH$1,Data!$Y$3:$Y$348,"2022",Data!$K$3:$K$348,'Reporting 2022'!$B21)</f>
        <v>0</v>
      </c>
      <c r="AI53" s="637">
        <f>SUMIFS(Data!$AD$3:$AD$348,Data!$X$3:$X$348,AI$1,Data!$Y$3:$Y$348,"2022",Data!$K$3:$K$348,'Reporting 2022'!$B21)</f>
        <v>0</v>
      </c>
      <c r="AJ53" s="637">
        <f>SUMIFS(Data!$AD$3:$AD$348,Data!$X$3:$X$348,AJ$1,Data!$Y$3:$Y$348,"2022",Data!$K$3:$K$348,'Reporting 2022'!$B21)</f>
        <v>0</v>
      </c>
      <c r="AK53" s="637">
        <f>SUMIFS(Data!$AD$3:$AD$348,Data!$X$3:$X$348,AK$1,Data!$Y$3:$Y$348,"2022",Data!$K$3:$K$348,'Reporting 2022'!$B21)</f>
        <v>0</v>
      </c>
      <c r="AL53" s="637">
        <f>SUMIFS(Data!$AD$3:$AD$348,Data!$X$3:$X$348,AL$1,Data!$Y$3:$Y$348,"2022",Data!$K$3:$K$348,'Reporting 2022'!$B21)</f>
        <v>0</v>
      </c>
      <c r="AM53" s="637">
        <f>SUMIFS(Data!$AD$3:$AD$348,Data!$X$3:$X$348,AM$1,Data!$Y$3:$Y$348,"2022",Data!$K$3:$K$348,'Reporting 2022'!$B21)</f>
        <v>0</v>
      </c>
      <c r="AN53" s="637">
        <f>SUMIFS(Data!$AD$3:$AD$348,Data!$X$3:$X$348,AN$1,Data!$Y$3:$Y$348,"2022",Data!$K$3:$K$348,'Reporting 2022'!$B21)</f>
        <v>0</v>
      </c>
      <c r="AO53" s="637">
        <f>SUMIFS(Data!$AD$3:$AD$348,Data!$X$3:$X$348,AO$1,Data!$Y$3:$Y$348,"2022",Data!$K$3:$K$348,'Reporting 2022'!$B21)</f>
        <v>0</v>
      </c>
      <c r="AP53" s="637">
        <f>SUMIFS(Data!$AD$3:$AD$348,Data!$X$3:$X$348,AP$1,Data!$Y$3:$Y$348,"2022",Data!$K$3:$K$348,'Reporting 2022'!$B21)</f>
        <v>0</v>
      </c>
      <c r="AQ53" s="637">
        <f>SUMIFS(Data!$AD$3:$AD$348,Data!$X$3:$X$348,AQ$1,Data!$Y$3:$Y$348,"2022",Data!$K$3:$K$348,'Reporting 2022'!$B21)</f>
        <v>0</v>
      </c>
      <c r="AR53" s="637">
        <f>SUMIFS(Data!$AD$3:$AD$348,Data!$X$3:$X$348,AR$1,Data!$Y$3:$Y$348,"2022",Data!$K$3:$K$348,'Reporting 2022'!$B21)</f>
        <v>0</v>
      </c>
      <c r="AS53" s="637">
        <f>SUMIFS(Data!$AD$3:$AD$348,Data!$X$3:$X$348,AS$1,Data!$Y$3:$Y$348,"2022",Data!$K$3:$K$348,'Reporting 2022'!$B21)</f>
        <v>0</v>
      </c>
      <c r="AT53" s="637">
        <f>SUMIFS(Data!$AD$3:$AD$348,Data!$X$3:$X$348,AT$1,Data!$Y$3:$Y$348,"2022",Data!$K$3:$K$348,'Reporting 2022'!$B21)</f>
        <v>0</v>
      </c>
      <c r="AU53" s="637">
        <f>SUMIFS(Data!$AD$3:$AD$348,Data!$X$3:$X$348,AU$1,Data!$Y$3:$Y$348,"2022",Data!$K$3:$K$348,'Reporting 2022'!$B21)</f>
        <v>0</v>
      </c>
      <c r="AV53" s="637">
        <f>SUMIFS(Data!$AD$3:$AD$348,Data!$X$3:$X$348,AV$1,Data!$Y$3:$Y$348,"2022",Data!$K$3:$K$348,'Reporting 2022'!$B21)</f>
        <v>0</v>
      </c>
      <c r="AW53" s="637">
        <f>SUMIFS(Data!$AD$3:$AD$348,Data!$X$3:$X$348,AW$1,Data!$Y$3:$Y$348,"2022",Data!$K$3:$K$348,'Reporting 2022'!$B21)</f>
        <v>0</v>
      </c>
      <c r="AX53" s="637">
        <f>SUMIFS(Data!$AD$3:$AD$348,Data!$X$3:$X$348,AX$1,Data!$Y$3:$Y$348,"2022",Data!$K$3:$K$348,'Reporting 2022'!$B21)</f>
        <v>0</v>
      </c>
      <c r="AY53" s="637">
        <f>SUMIFS(Data!$AD$3:$AD$348,Data!$X$3:$X$348,AY$1,Data!$Y$3:$Y$348,"2022",Data!$K$3:$K$348,'Reporting 2022'!$B21)</f>
        <v>0</v>
      </c>
      <c r="AZ53" s="637">
        <f>SUMIFS(Data!$AD$3:$AD$348,Data!$X$3:$X$348,AZ$1,Data!$Y$3:$Y$348,"2022",Data!$K$3:$K$348,'Reporting 2022'!$B21)</f>
        <v>0</v>
      </c>
      <c r="BA53" s="637">
        <f>SUMIFS(Data!$AD$3:$AD$348,Data!$X$3:$X$348,BA$1,Data!$Y$3:$Y$348,"2022",Data!$K$3:$K$348,'Reporting 2022'!$B21)</f>
        <v>0</v>
      </c>
      <c r="BB53" s="637">
        <f>SUMIFS(Data!$AD$3:$AD$348,Data!$X$3:$X$348,BB$1,Data!$Y$3:$Y$348,"2022",Data!$K$3:$K$348,'Reporting 2022'!$B21)</f>
        <v>0</v>
      </c>
      <c r="BC53" s="39"/>
      <c r="BD53" s="39"/>
      <c r="BE53" s="39"/>
      <c r="BF53" s="39"/>
      <c r="BG53" s="39"/>
      <c r="BH53" s="39"/>
      <c r="BI53" s="39"/>
      <c r="BJ53" s="39"/>
      <c r="BK53" s="39"/>
      <c r="BL53" s="39"/>
    </row>
    <row r="54" spans="2:64" x14ac:dyDescent="0.3">
      <c r="B54" s="675" t="s">
        <v>610</v>
      </c>
      <c r="C54" s="637">
        <f>SUMIFS(Data!$AD$3:$AD$348,Data!$X$3:$X$348,C$1,Data!$Y$3:$Y$348,"2022",Data!$K$3:$K$348,'Reporting 2022'!$B22)</f>
        <v>0</v>
      </c>
      <c r="D54" s="637">
        <f>SUMIFS(Data!$AD$3:$AD$348,Data!$X$3:$X$348,D$1,Data!$Y$3:$Y$348,"2022",Data!$K$3:$K$348,'Reporting 2022'!$B22)</f>
        <v>0</v>
      </c>
      <c r="E54" s="637">
        <f>SUMIFS(Data!$AD$3:$AD$348,Data!$X$3:$X$348,E$1,Data!$Y$3:$Y$348,"2022",Data!$K$3:$K$348,'Reporting 2022'!$B22)</f>
        <v>2766</v>
      </c>
      <c r="F54" s="637">
        <f>SUMIFS(Data!$AD$3:$AD$348,Data!$X$3:$X$348,F$1,Data!$Y$3:$Y$348,"2022",Data!$K$3:$K$348,'Reporting 2022'!$B22)</f>
        <v>0</v>
      </c>
      <c r="G54" s="637">
        <f>SUMIFS(Data!$AD$3:$AD$348,Data!$X$3:$X$348,G$1,Data!$Y$3:$Y$348,"2022",Data!$K$3:$K$348,'Reporting 2022'!$B22)</f>
        <v>660</v>
      </c>
      <c r="H54" s="637">
        <f>SUMIFS(Data!$AD$3:$AD$348,Data!$X$3:$X$348,H$1,Data!$Y$3:$Y$348,"2022",Data!$K$3:$K$348,'Reporting 2022'!$B22)</f>
        <v>8845</v>
      </c>
      <c r="I54" s="637">
        <f>SUMIFS(Data!$AD$3:$AD$348,Data!$X$3:$X$348,I$1,Data!$Y$3:$Y$348,"2022",Data!$K$3:$K$348,'Reporting 2022'!$B22)</f>
        <v>660</v>
      </c>
      <c r="J54" s="637">
        <f>SUMIFS(Data!$AD$3:$AD$348,Data!$X$3:$X$348,J$1,Data!$Y$3:$Y$348,"2022",Data!$K$3:$K$348,'Reporting 2022'!$B22)</f>
        <v>1197</v>
      </c>
      <c r="K54" s="637">
        <f>SUMIFS(Data!$AD$3:$AD$348,Data!$X$3:$X$348,K$1,Data!$Y$3:$Y$348,"2022",Data!$K$3:$K$348,'Reporting 2022'!$B22)</f>
        <v>0</v>
      </c>
      <c r="L54" s="637">
        <f>SUMIFS(Data!$AD$3:$AD$348,Data!$X$3:$X$348,L$1,Data!$Y$3:$Y$348,"2022",Data!$K$3:$K$348,'Reporting 2022'!$B22)</f>
        <v>5883.5</v>
      </c>
      <c r="M54" s="637">
        <f>SUMIFS(Data!$AD$3:$AD$348,Data!$X$3:$X$348,M$1,Data!$Y$3:$Y$348,"2022",Data!$K$3:$K$348,'Reporting 2022'!$B22)</f>
        <v>5120</v>
      </c>
      <c r="N54" s="637">
        <f>SUMIFS(Data!$AD$3:$AD$348,Data!$X$3:$X$348,N$1,Data!$Y$3:$Y$348,"2022",Data!$K$3:$K$348,'Reporting 2022'!$B22)</f>
        <v>2690</v>
      </c>
      <c r="O54" s="637">
        <f>SUMIFS(Data!$AD$3:$AD$348,Data!$X$3:$X$348,O$1,Data!$Y$3:$Y$348,"2022",Data!$K$3:$K$348,'Reporting 2022'!$B22)</f>
        <v>20320</v>
      </c>
      <c r="P54" s="637">
        <f>SUMIFS(Data!$AD$3:$AD$348,Data!$X$3:$X$348,P$1,Data!$Y$3:$Y$348,"2022",Data!$K$3:$K$348,'Reporting 2022'!$B22)</f>
        <v>9173</v>
      </c>
      <c r="Q54" s="637">
        <f>SUMIFS(Data!$AD$3:$AD$348,Data!$X$3:$X$348,Q$1,Data!$Y$3:$Y$348,"2022",Data!$K$3:$K$348,'Reporting 2022'!$B22)</f>
        <v>385</v>
      </c>
      <c r="R54" s="637">
        <f>SUMIFS(Data!$AD$3:$AD$348,Data!$X$3:$X$348,R$1,Data!$Y$3:$Y$348,"2022",Data!$K$3:$K$348,'Reporting 2022'!$B22)</f>
        <v>0</v>
      </c>
      <c r="S54" s="637">
        <f>SUMIFS(Data!$AD$3:$AD$348,Data!$X$3:$X$348,S$1,Data!$Y$3:$Y$348,"2022",Data!$K$3:$K$348,'Reporting 2022'!$B22)</f>
        <v>0</v>
      </c>
      <c r="T54" s="637">
        <f>SUMIFS(Data!$AD$3:$AD$348,Data!$X$3:$X$348,T$1,Data!$Y$3:$Y$348,"2022",Data!$K$3:$K$348,'Reporting 2022'!$B22)</f>
        <v>0</v>
      </c>
      <c r="U54" s="637">
        <f>SUMIFS(Data!$AD$3:$AD$348,Data!$X$3:$X$348,U$1,Data!$Y$3:$Y$348,"2022",Data!$K$3:$K$348,'Reporting 2022'!$B22)</f>
        <v>0</v>
      </c>
      <c r="V54" s="637">
        <f>SUMIFS(Data!$AD$3:$AD$348,Data!$X$3:$X$348,V$1,Data!$Y$3:$Y$348,"2022",Data!$K$3:$K$348,'Reporting 2022'!$B22)</f>
        <v>0</v>
      </c>
      <c r="W54" s="637">
        <f>SUMIFS(Data!$AD$3:$AD$348,Data!$X$3:$X$348,W$1,Data!$Y$3:$Y$348,"2022",Data!$K$3:$K$348,'Reporting 2022'!$B22)</f>
        <v>0</v>
      </c>
      <c r="X54" s="637">
        <f>SUMIFS(Data!$AD$3:$AD$348,Data!$X$3:$X$348,X$1,Data!$Y$3:$Y$348,"2022",Data!$K$3:$K$348,'Reporting 2022'!$B22)</f>
        <v>0</v>
      </c>
      <c r="Y54" s="637">
        <f>SUMIFS(Data!$AD$3:$AD$348,Data!$X$3:$X$348,Y$1,Data!$Y$3:$Y$348,"2022",Data!$K$3:$K$348,'Reporting 2022'!$B22)</f>
        <v>0</v>
      </c>
      <c r="Z54" s="637">
        <f>SUMIFS(Data!$AD$3:$AD$348,Data!$X$3:$X$348,Z$1,Data!$Y$3:$Y$348,"2022",Data!$K$3:$K$348,'Reporting 2022'!$B22)</f>
        <v>0</v>
      </c>
      <c r="AA54" s="637">
        <f>SUMIFS(Data!$AD$3:$AD$348,Data!$X$3:$X$348,AA$1,Data!$Y$3:$Y$348,"2022",Data!$K$3:$K$348,'Reporting 2022'!$B22)</f>
        <v>0</v>
      </c>
      <c r="AB54" s="637">
        <f>SUMIFS(Data!$AD$3:$AD$348,Data!$X$3:$X$348,AB$1,Data!$Y$3:$Y$348,"2022",Data!$K$3:$K$348,'Reporting 2022'!$B22)</f>
        <v>0</v>
      </c>
      <c r="AC54" s="637">
        <f>SUMIFS(Data!$AD$3:$AD$348,Data!$X$3:$X$348,AC$1,Data!$Y$3:$Y$348,"2022",Data!$K$3:$K$348,'Reporting 2022'!$B22)</f>
        <v>0</v>
      </c>
      <c r="AD54" s="637">
        <f>SUMIFS(Data!$AD$3:$AD$348,Data!$X$3:$X$348,AD$1,Data!$Y$3:$Y$348,"2022",Data!$K$3:$K$348,'Reporting 2022'!$B22)</f>
        <v>0</v>
      </c>
      <c r="AE54" s="637">
        <f>SUMIFS(Data!$AD$3:$AD$348,Data!$X$3:$X$348,AE$1,Data!$Y$3:$Y$348,"2022",Data!$K$3:$K$348,'Reporting 2022'!$B22)</f>
        <v>0</v>
      </c>
      <c r="AF54" s="637">
        <f>SUMIFS(Data!$AD$3:$AD$348,Data!$X$3:$X$348,AF$1,Data!$Y$3:$Y$348,"2022",Data!$K$3:$K$348,'Reporting 2022'!$B22)</f>
        <v>0</v>
      </c>
      <c r="AG54" s="637">
        <f>SUMIFS(Data!$AD$3:$AD$348,Data!$X$3:$X$348,AG$1,Data!$Y$3:$Y$348,"2022",Data!$K$3:$K$348,'Reporting 2022'!$B22)</f>
        <v>0</v>
      </c>
      <c r="AH54" s="637">
        <f>SUMIFS(Data!$AD$3:$AD$348,Data!$X$3:$X$348,AH$1,Data!$Y$3:$Y$348,"2022",Data!$K$3:$K$348,'Reporting 2022'!$B22)</f>
        <v>0</v>
      </c>
      <c r="AI54" s="637">
        <f>SUMIFS(Data!$AD$3:$AD$348,Data!$X$3:$X$348,AI$1,Data!$Y$3:$Y$348,"2022",Data!$K$3:$K$348,'Reporting 2022'!$B22)</f>
        <v>0</v>
      </c>
      <c r="AJ54" s="637">
        <f>SUMIFS(Data!$AD$3:$AD$348,Data!$X$3:$X$348,AJ$1,Data!$Y$3:$Y$348,"2022",Data!$K$3:$K$348,'Reporting 2022'!$B22)</f>
        <v>0</v>
      </c>
      <c r="AK54" s="637">
        <f>SUMIFS(Data!$AD$3:$AD$348,Data!$X$3:$X$348,AK$1,Data!$Y$3:$Y$348,"2022",Data!$K$3:$K$348,'Reporting 2022'!$B22)</f>
        <v>0</v>
      </c>
      <c r="AL54" s="637">
        <f>SUMIFS(Data!$AD$3:$AD$348,Data!$X$3:$X$348,AL$1,Data!$Y$3:$Y$348,"2022",Data!$K$3:$K$348,'Reporting 2022'!$B22)</f>
        <v>0</v>
      </c>
      <c r="AM54" s="637">
        <f>SUMIFS(Data!$AD$3:$AD$348,Data!$X$3:$X$348,AM$1,Data!$Y$3:$Y$348,"2022",Data!$K$3:$K$348,'Reporting 2022'!$B22)</f>
        <v>0</v>
      </c>
      <c r="AN54" s="637">
        <f>SUMIFS(Data!$AD$3:$AD$348,Data!$X$3:$X$348,AN$1,Data!$Y$3:$Y$348,"2022",Data!$K$3:$K$348,'Reporting 2022'!$B22)</f>
        <v>0</v>
      </c>
      <c r="AO54" s="637">
        <f>SUMIFS(Data!$AD$3:$AD$348,Data!$X$3:$X$348,AO$1,Data!$Y$3:$Y$348,"2022",Data!$K$3:$K$348,'Reporting 2022'!$B22)</f>
        <v>0</v>
      </c>
      <c r="AP54" s="637">
        <f>SUMIFS(Data!$AD$3:$AD$348,Data!$X$3:$X$348,AP$1,Data!$Y$3:$Y$348,"2022",Data!$K$3:$K$348,'Reporting 2022'!$B22)</f>
        <v>0</v>
      </c>
      <c r="AQ54" s="637">
        <f>SUMIFS(Data!$AD$3:$AD$348,Data!$X$3:$X$348,AQ$1,Data!$Y$3:$Y$348,"2022",Data!$K$3:$K$348,'Reporting 2022'!$B22)</f>
        <v>0</v>
      </c>
      <c r="AR54" s="637">
        <f>SUMIFS(Data!$AD$3:$AD$348,Data!$X$3:$X$348,AR$1,Data!$Y$3:$Y$348,"2022",Data!$K$3:$K$348,'Reporting 2022'!$B22)</f>
        <v>0</v>
      </c>
      <c r="AS54" s="637">
        <f>SUMIFS(Data!$AD$3:$AD$348,Data!$X$3:$X$348,AS$1,Data!$Y$3:$Y$348,"2022",Data!$K$3:$K$348,'Reporting 2022'!$B22)</f>
        <v>0</v>
      </c>
      <c r="AT54" s="637">
        <f>SUMIFS(Data!$AD$3:$AD$348,Data!$X$3:$X$348,AT$1,Data!$Y$3:$Y$348,"2022",Data!$K$3:$K$348,'Reporting 2022'!$B22)</f>
        <v>0</v>
      </c>
      <c r="AU54" s="637">
        <f>SUMIFS(Data!$AD$3:$AD$348,Data!$X$3:$X$348,AU$1,Data!$Y$3:$Y$348,"2022",Data!$K$3:$K$348,'Reporting 2022'!$B22)</f>
        <v>0</v>
      </c>
      <c r="AV54" s="637">
        <f>SUMIFS(Data!$AD$3:$AD$348,Data!$X$3:$X$348,AV$1,Data!$Y$3:$Y$348,"2022",Data!$K$3:$K$348,'Reporting 2022'!$B22)</f>
        <v>0</v>
      </c>
      <c r="AW54" s="637">
        <f>SUMIFS(Data!$AD$3:$AD$348,Data!$X$3:$X$348,AW$1,Data!$Y$3:$Y$348,"2022",Data!$K$3:$K$348,'Reporting 2022'!$B22)</f>
        <v>0</v>
      </c>
      <c r="AX54" s="637">
        <f>SUMIFS(Data!$AD$3:$AD$348,Data!$X$3:$X$348,AX$1,Data!$Y$3:$Y$348,"2022",Data!$K$3:$K$348,'Reporting 2022'!$B22)</f>
        <v>0</v>
      </c>
      <c r="AY54" s="637">
        <f>SUMIFS(Data!$AD$3:$AD$348,Data!$X$3:$X$348,AY$1,Data!$Y$3:$Y$348,"2022",Data!$K$3:$K$348,'Reporting 2022'!$B22)</f>
        <v>0</v>
      </c>
      <c r="AZ54" s="637">
        <f>SUMIFS(Data!$AD$3:$AD$348,Data!$X$3:$X$348,AZ$1,Data!$Y$3:$Y$348,"2022",Data!$K$3:$K$348,'Reporting 2022'!$B22)</f>
        <v>0</v>
      </c>
      <c r="BA54" s="637">
        <f>SUMIFS(Data!$AD$3:$AD$348,Data!$X$3:$X$348,BA$1,Data!$Y$3:$Y$348,"2022",Data!$K$3:$K$348,'Reporting 2022'!$B22)</f>
        <v>0</v>
      </c>
      <c r="BB54" s="637">
        <f>SUMIFS(Data!$AD$3:$AD$348,Data!$X$3:$X$348,BB$1,Data!$Y$3:$Y$348,"2022",Data!$K$3:$K$348,'Reporting 2022'!$B22)</f>
        <v>0</v>
      </c>
      <c r="BC54" s="39"/>
      <c r="BD54" s="39"/>
      <c r="BE54" s="39"/>
      <c r="BF54" s="39"/>
      <c r="BG54" s="39"/>
      <c r="BH54" s="39"/>
      <c r="BI54" s="39"/>
      <c r="BJ54" s="39"/>
      <c r="BK54" s="39"/>
      <c r="BL54" s="39"/>
    </row>
    <row r="55" spans="2:64" x14ac:dyDescent="0.3">
      <c r="B55" s="675" t="s">
        <v>611</v>
      </c>
      <c r="C55" s="637">
        <f>SUMIFS(Data!$AD$3:$AD$348,Data!$X$3:$X$348,C$1,Data!$Y$3:$Y$348,"2022",Data!$K$3:$K$348,'Reporting 2022'!$B23)</f>
        <v>0</v>
      </c>
      <c r="D55" s="637">
        <f>SUMIFS(Data!$AD$3:$AD$348,Data!$X$3:$X$348,D$1,Data!$Y$3:$Y$348,"2022",Data!$K$3:$K$348,'Reporting 2022'!$B23)</f>
        <v>0</v>
      </c>
      <c r="E55" s="637">
        <f>SUMIFS(Data!$AD$3:$AD$348,Data!$X$3:$X$348,E$1,Data!$Y$3:$Y$348,"2022",Data!$K$3:$K$348,'Reporting 2022'!$B23)</f>
        <v>0</v>
      </c>
      <c r="F55" s="637">
        <f>SUMIFS(Data!$AD$3:$AD$348,Data!$X$3:$X$348,F$1,Data!$Y$3:$Y$348,"2022",Data!$K$3:$K$348,'Reporting 2022'!$B23)</f>
        <v>0</v>
      </c>
      <c r="G55" s="637">
        <f>SUMIFS(Data!$AD$3:$AD$348,Data!$X$3:$X$348,G$1,Data!$Y$3:$Y$348,"2022",Data!$K$3:$K$348,'Reporting 2022'!$B23)</f>
        <v>0</v>
      </c>
      <c r="H55" s="637">
        <f>SUMIFS(Data!$AD$3:$AD$348,Data!$X$3:$X$348,H$1,Data!$Y$3:$Y$348,"2022",Data!$K$3:$K$348,'Reporting 2022'!$B23)</f>
        <v>0</v>
      </c>
      <c r="I55" s="637">
        <f>SUMIFS(Data!$AD$3:$AD$348,Data!$X$3:$X$348,I$1,Data!$Y$3:$Y$348,"2022",Data!$K$3:$K$348,'Reporting 2022'!$B23)</f>
        <v>4425</v>
      </c>
      <c r="J55" s="637">
        <f>SUMIFS(Data!$AD$3:$AD$348,Data!$X$3:$X$348,J$1,Data!$Y$3:$Y$348,"2022",Data!$K$3:$K$348,'Reporting 2022'!$B23)</f>
        <v>0</v>
      </c>
      <c r="K55" s="637">
        <f>SUMIFS(Data!$AD$3:$AD$348,Data!$X$3:$X$348,K$1,Data!$Y$3:$Y$348,"2022",Data!$K$3:$K$348,'Reporting 2022'!$B23)</f>
        <v>3236</v>
      </c>
      <c r="L55" s="637">
        <f>SUMIFS(Data!$AD$3:$AD$348,Data!$X$3:$X$348,L$1,Data!$Y$3:$Y$348,"2022",Data!$K$3:$K$348,'Reporting 2022'!$B23)</f>
        <v>0</v>
      </c>
      <c r="M55" s="637">
        <f>SUMIFS(Data!$AD$3:$AD$348,Data!$X$3:$X$348,M$1,Data!$Y$3:$Y$348,"2022",Data!$K$3:$K$348,'Reporting 2022'!$B23)</f>
        <v>0</v>
      </c>
      <c r="N55" s="637">
        <f>SUMIFS(Data!$AD$3:$AD$348,Data!$X$3:$X$348,N$1,Data!$Y$3:$Y$348,"2022",Data!$K$3:$K$348,'Reporting 2022'!$B23)</f>
        <v>0</v>
      </c>
      <c r="O55" s="637">
        <f>SUMIFS(Data!$AD$3:$AD$348,Data!$X$3:$X$348,O$1,Data!$Y$3:$Y$348,"2022",Data!$K$3:$K$348,'Reporting 2022'!$B23)</f>
        <v>0</v>
      </c>
      <c r="P55" s="637">
        <f>SUMIFS(Data!$AD$3:$AD$348,Data!$X$3:$X$348,P$1,Data!$Y$3:$Y$348,"2022",Data!$K$3:$K$348,'Reporting 2022'!$B23)</f>
        <v>0</v>
      </c>
      <c r="Q55" s="637">
        <f>SUMIFS(Data!$AD$3:$AD$348,Data!$X$3:$X$348,Q$1,Data!$Y$3:$Y$348,"2022",Data!$K$3:$K$348,'Reporting 2022'!$B23)</f>
        <v>0</v>
      </c>
      <c r="R55" s="637">
        <f>SUMIFS(Data!$AD$3:$AD$348,Data!$X$3:$X$348,R$1,Data!$Y$3:$Y$348,"2022",Data!$K$3:$K$348,'Reporting 2022'!$B23)</f>
        <v>0</v>
      </c>
      <c r="S55" s="637">
        <f>SUMIFS(Data!$AD$3:$AD$348,Data!$X$3:$X$348,S$1,Data!$Y$3:$Y$348,"2022",Data!$K$3:$K$348,'Reporting 2022'!$B23)</f>
        <v>0</v>
      </c>
      <c r="T55" s="637">
        <f>SUMIFS(Data!$AD$3:$AD$348,Data!$X$3:$X$348,T$1,Data!$Y$3:$Y$348,"2022",Data!$K$3:$K$348,'Reporting 2022'!$B23)</f>
        <v>0</v>
      </c>
      <c r="U55" s="637">
        <f>SUMIFS(Data!$AD$3:$AD$348,Data!$X$3:$X$348,U$1,Data!$Y$3:$Y$348,"2022",Data!$K$3:$K$348,'Reporting 2022'!$B23)</f>
        <v>0</v>
      </c>
      <c r="V55" s="637">
        <f>SUMIFS(Data!$AD$3:$AD$348,Data!$X$3:$X$348,V$1,Data!$Y$3:$Y$348,"2022",Data!$K$3:$K$348,'Reporting 2022'!$B23)</f>
        <v>0</v>
      </c>
      <c r="W55" s="637">
        <f>SUMIFS(Data!$AD$3:$AD$348,Data!$X$3:$X$348,W$1,Data!$Y$3:$Y$348,"2022",Data!$K$3:$K$348,'Reporting 2022'!$B23)</f>
        <v>0</v>
      </c>
      <c r="X55" s="637">
        <f>SUMIFS(Data!$AD$3:$AD$348,Data!$X$3:$X$348,X$1,Data!$Y$3:$Y$348,"2022",Data!$K$3:$K$348,'Reporting 2022'!$B23)</f>
        <v>0</v>
      </c>
      <c r="Y55" s="637">
        <f>SUMIFS(Data!$AD$3:$AD$348,Data!$X$3:$X$348,Y$1,Data!$Y$3:$Y$348,"2022",Data!$K$3:$K$348,'Reporting 2022'!$B23)</f>
        <v>0</v>
      </c>
      <c r="Z55" s="637">
        <f>SUMIFS(Data!$AD$3:$AD$348,Data!$X$3:$X$348,Z$1,Data!$Y$3:$Y$348,"2022",Data!$K$3:$K$348,'Reporting 2022'!$B23)</f>
        <v>0</v>
      </c>
      <c r="AA55" s="637">
        <f>SUMIFS(Data!$AD$3:$AD$348,Data!$X$3:$X$348,AA$1,Data!$Y$3:$Y$348,"2022",Data!$K$3:$K$348,'Reporting 2022'!$B23)</f>
        <v>0</v>
      </c>
      <c r="AB55" s="637">
        <f>SUMIFS(Data!$AD$3:$AD$348,Data!$X$3:$X$348,AB$1,Data!$Y$3:$Y$348,"2022",Data!$K$3:$K$348,'Reporting 2022'!$B23)</f>
        <v>0</v>
      </c>
      <c r="AC55" s="637">
        <f>SUMIFS(Data!$AD$3:$AD$348,Data!$X$3:$X$348,AC$1,Data!$Y$3:$Y$348,"2022",Data!$K$3:$K$348,'Reporting 2022'!$B23)</f>
        <v>0</v>
      </c>
      <c r="AD55" s="637">
        <f>SUMIFS(Data!$AD$3:$AD$348,Data!$X$3:$X$348,AD$1,Data!$Y$3:$Y$348,"2022",Data!$K$3:$K$348,'Reporting 2022'!$B23)</f>
        <v>0</v>
      </c>
      <c r="AE55" s="637">
        <f>SUMIFS(Data!$AD$3:$AD$348,Data!$X$3:$X$348,AE$1,Data!$Y$3:$Y$348,"2022",Data!$K$3:$K$348,'Reporting 2022'!$B23)</f>
        <v>0</v>
      </c>
      <c r="AF55" s="637">
        <f>SUMIFS(Data!$AD$3:$AD$348,Data!$X$3:$X$348,AF$1,Data!$Y$3:$Y$348,"2022",Data!$K$3:$K$348,'Reporting 2022'!$B23)</f>
        <v>0</v>
      </c>
      <c r="AG55" s="637">
        <f>SUMIFS(Data!$AD$3:$AD$348,Data!$X$3:$X$348,AG$1,Data!$Y$3:$Y$348,"2022",Data!$K$3:$K$348,'Reporting 2022'!$B23)</f>
        <v>0</v>
      </c>
      <c r="AH55" s="637">
        <f>SUMIFS(Data!$AD$3:$AD$348,Data!$X$3:$X$348,AH$1,Data!$Y$3:$Y$348,"2022",Data!$K$3:$K$348,'Reporting 2022'!$B23)</f>
        <v>0</v>
      </c>
      <c r="AI55" s="637">
        <f>SUMIFS(Data!$AD$3:$AD$348,Data!$X$3:$X$348,AI$1,Data!$Y$3:$Y$348,"2022",Data!$K$3:$K$348,'Reporting 2022'!$B23)</f>
        <v>0</v>
      </c>
      <c r="AJ55" s="637">
        <f>SUMIFS(Data!$AD$3:$AD$348,Data!$X$3:$X$348,AJ$1,Data!$Y$3:$Y$348,"2022",Data!$K$3:$K$348,'Reporting 2022'!$B23)</f>
        <v>0</v>
      </c>
      <c r="AK55" s="637">
        <f>SUMIFS(Data!$AD$3:$AD$348,Data!$X$3:$X$348,AK$1,Data!$Y$3:$Y$348,"2022",Data!$K$3:$K$348,'Reporting 2022'!$B23)</f>
        <v>0</v>
      </c>
      <c r="AL55" s="637">
        <f>SUMIFS(Data!$AD$3:$AD$348,Data!$X$3:$X$348,AL$1,Data!$Y$3:$Y$348,"2022",Data!$K$3:$K$348,'Reporting 2022'!$B23)</f>
        <v>0</v>
      </c>
      <c r="AM55" s="637">
        <f>SUMIFS(Data!$AD$3:$AD$348,Data!$X$3:$X$348,AM$1,Data!$Y$3:$Y$348,"2022",Data!$K$3:$K$348,'Reporting 2022'!$B23)</f>
        <v>0</v>
      </c>
      <c r="AN55" s="637">
        <f>SUMIFS(Data!$AD$3:$AD$348,Data!$X$3:$X$348,AN$1,Data!$Y$3:$Y$348,"2022",Data!$K$3:$K$348,'Reporting 2022'!$B23)</f>
        <v>0</v>
      </c>
      <c r="AO55" s="637">
        <f>SUMIFS(Data!$AD$3:$AD$348,Data!$X$3:$X$348,AO$1,Data!$Y$3:$Y$348,"2022",Data!$K$3:$K$348,'Reporting 2022'!$B23)</f>
        <v>0</v>
      </c>
      <c r="AP55" s="637">
        <f>SUMIFS(Data!$AD$3:$AD$348,Data!$X$3:$X$348,AP$1,Data!$Y$3:$Y$348,"2022",Data!$K$3:$K$348,'Reporting 2022'!$B23)</f>
        <v>0</v>
      </c>
      <c r="AQ55" s="637">
        <f>SUMIFS(Data!$AD$3:$AD$348,Data!$X$3:$X$348,AQ$1,Data!$Y$3:$Y$348,"2022",Data!$K$3:$K$348,'Reporting 2022'!$B23)</f>
        <v>0</v>
      </c>
      <c r="AR55" s="637">
        <f>SUMIFS(Data!$AD$3:$AD$348,Data!$X$3:$X$348,AR$1,Data!$Y$3:$Y$348,"2022",Data!$K$3:$K$348,'Reporting 2022'!$B23)</f>
        <v>0</v>
      </c>
      <c r="AS55" s="637">
        <f>SUMIFS(Data!$AD$3:$AD$348,Data!$X$3:$X$348,AS$1,Data!$Y$3:$Y$348,"2022",Data!$K$3:$K$348,'Reporting 2022'!$B23)</f>
        <v>0</v>
      </c>
      <c r="AT55" s="637">
        <f>SUMIFS(Data!$AD$3:$AD$348,Data!$X$3:$X$348,AT$1,Data!$Y$3:$Y$348,"2022",Data!$K$3:$K$348,'Reporting 2022'!$B23)</f>
        <v>0</v>
      </c>
      <c r="AU55" s="637">
        <f>SUMIFS(Data!$AD$3:$AD$348,Data!$X$3:$X$348,AU$1,Data!$Y$3:$Y$348,"2022",Data!$K$3:$K$348,'Reporting 2022'!$B23)</f>
        <v>0</v>
      </c>
      <c r="AV55" s="637">
        <f>SUMIFS(Data!$AD$3:$AD$348,Data!$X$3:$X$348,AV$1,Data!$Y$3:$Y$348,"2022",Data!$K$3:$K$348,'Reporting 2022'!$B23)</f>
        <v>0</v>
      </c>
      <c r="AW55" s="637">
        <f>SUMIFS(Data!$AD$3:$AD$348,Data!$X$3:$X$348,AW$1,Data!$Y$3:$Y$348,"2022",Data!$K$3:$K$348,'Reporting 2022'!$B23)</f>
        <v>0</v>
      </c>
      <c r="AX55" s="637">
        <f>SUMIFS(Data!$AD$3:$AD$348,Data!$X$3:$X$348,AX$1,Data!$Y$3:$Y$348,"2022",Data!$K$3:$K$348,'Reporting 2022'!$B23)</f>
        <v>0</v>
      </c>
      <c r="AY55" s="637">
        <f>SUMIFS(Data!$AD$3:$AD$348,Data!$X$3:$X$348,AY$1,Data!$Y$3:$Y$348,"2022",Data!$K$3:$K$348,'Reporting 2022'!$B23)</f>
        <v>0</v>
      </c>
      <c r="AZ55" s="637">
        <f>SUMIFS(Data!$AD$3:$AD$348,Data!$X$3:$X$348,AZ$1,Data!$Y$3:$Y$348,"2022",Data!$K$3:$K$348,'Reporting 2022'!$B23)</f>
        <v>0</v>
      </c>
      <c r="BA55" s="637">
        <f>SUMIFS(Data!$AD$3:$AD$348,Data!$X$3:$X$348,BA$1,Data!$Y$3:$Y$348,"2022",Data!$K$3:$K$348,'Reporting 2022'!$B23)</f>
        <v>0</v>
      </c>
      <c r="BB55" s="637">
        <f>SUMIFS(Data!$AD$3:$AD$348,Data!$X$3:$X$348,BB$1,Data!$Y$3:$Y$348,"2022",Data!$K$3:$K$348,'Reporting 2022'!$B23)</f>
        <v>0</v>
      </c>
      <c r="BC55" s="39"/>
      <c r="BD55" s="39"/>
      <c r="BE55" s="39"/>
      <c r="BF55" s="39"/>
      <c r="BG55" s="39"/>
      <c r="BH55" s="39"/>
      <c r="BI55" s="39"/>
      <c r="BJ55" s="39"/>
      <c r="BK55" s="39"/>
      <c r="BL55" s="39"/>
    </row>
    <row r="56" spans="2:64" s="437" customFormat="1" ht="15" thickBot="1" x14ac:dyDescent="0.35">
      <c r="B56" s="678" t="s">
        <v>612</v>
      </c>
      <c r="C56" s="677">
        <f>SUMIFS(Data!$AD$3:$AD$348,Data!$X$3:$X$348,C$1,Data!$Y$3:$Y$348,"2022",Data!$K$3:$K$348,'Reporting 2022'!$B24)</f>
        <v>0</v>
      </c>
      <c r="D56" s="677">
        <f>SUMIFS(Data!$AD$3:$AD$348,Data!$X$3:$X$348,D$1,Data!$Y$3:$Y$348,"2022",Data!$K$3:$K$348,'Reporting 2022'!$B24)</f>
        <v>0</v>
      </c>
      <c r="E56" s="677">
        <f>SUMIFS(Data!$AD$3:$AD$348,Data!$X$3:$X$348,E$1,Data!$Y$3:$Y$348,"2022",Data!$K$3:$K$348,'Reporting 2022'!$B24)</f>
        <v>0</v>
      </c>
      <c r="F56" s="677">
        <f>SUMIFS(Data!$AD$3:$AD$348,Data!$X$3:$X$348,F$1,Data!$Y$3:$Y$348,"2022",Data!$K$3:$K$348,'Reporting 2022'!$B24)</f>
        <v>0</v>
      </c>
      <c r="G56" s="677">
        <f>SUMIFS(Data!$AD$3:$AD$348,Data!$X$3:$X$348,G$1,Data!$Y$3:$Y$348,"2022",Data!$K$3:$K$348,'Reporting 2022'!$B24)</f>
        <v>0</v>
      </c>
      <c r="H56" s="677">
        <f>SUMIFS(Data!$AD$3:$AD$348,Data!$X$3:$X$348,H$1,Data!$Y$3:$Y$348,"2022",Data!$K$3:$K$348,'Reporting 2022'!$B24)</f>
        <v>0</v>
      </c>
      <c r="I56" s="677">
        <f>SUMIFS(Data!$AD$3:$AD$348,Data!$X$3:$X$348,I$1,Data!$Y$3:$Y$348,"2022",Data!$K$3:$K$348,'Reporting 2022'!$B24)</f>
        <v>0</v>
      </c>
      <c r="J56" s="677">
        <f>SUMIFS(Data!$AD$3:$AD$348,Data!$X$3:$X$348,J$1,Data!$Y$3:$Y$348,"2022",Data!$K$3:$K$348,'Reporting 2022'!$B24)</f>
        <v>0</v>
      </c>
      <c r="K56" s="677">
        <f>SUMIFS(Data!$AD$3:$AD$348,Data!$X$3:$X$348,K$1,Data!$Y$3:$Y$348,"2022",Data!$K$3:$K$348,'Reporting 2022'!$B24)</f>
        <v>0</v>
      </c>
      <c r="L56" s="677">
        <f>SUMIFS(Data!$AD$3:$AD$348,Data!$X$3:$X$348,L$1,Data!$Y$3:$Y$348,"2022",Data!$K$3:$K$348,'Reporting 2022'!$B24)</f>
        <v>0</v>
      </c>
      <c r="M56" s="677">
        <f>SUMIFS(Data!$AD$3:$AD$348,Data!$X$3:$X$348,M$1,Data!$Y$3:$Y$348,"2022",Data!$K$3:$K$348,'Reporting 2022'!$B24)</f>
        <v>0</v>
      </c>
      <c r="N56" s="677">
        <f>SUMIFS(Data!$AD$3:$AD$348,Data!$X$3:$X$348,N$1,Data!$Y$3:$Y$348,"2022",Data!$K$3:$K$348,'Reporting 2022'!$B24)</f>
        <v>0</v>
      </c>
      <c r="O56" s="677">
        <f>SUMIFS(Data!$AD$3:$AD$348,Data!$X$3:$X$348,O$1,Data!$Y$3:$Y$348,"2022",Data!$K$3:$K$348,'Reporting 2022'!$B24)</f>
        <v>0</v>
      </c>
      <c r="P56" s="677">
        <f>SUMIFS(Data!$AD$3:$AD$348,Data!$X$3:$X$348,P$1,Data!$Y$3:$Y$348,"2022",Data!$K$3:$K$348,'Reporting 2022'!$B24)</f>
        <v>0</v>
      </c>
      <c r="Q56" s="677">
        <f>SUMIFS(Data!$AD$3:$AD$348,Data!$X$3:$X$348,Q$1,Data!$Y$3:$Y$348,"2022",Data!$K$3:$K$348,'Reporting 2022'!$B24)</f>
        <v>0</v>
      </c>
      <c r="R56" s="677">
        <f>SUMIFS(Data!$AD$3:$AD$348,Data!$X$3:$X$348,R$1,Data!$Y$3:$Y$348,"2022",Data!$K$3:$K$348,'Reporting 2022'!$B24)</f>
        <v>0</v>
      </c>
      <c r="S56" s="677">
        <f>SUMIFS(Data!$AD$3:$AD$348,Data!$X$3:$X$348,S$1,Data!$Y$3:$Y$348,"2022",Data!$K$3:$K$348,'Reporting 2022'!$B24)</f>
        <v>0</v>
      </c>
      <c r="T56" s="677">
        <f>SUMIFS(Data!$AD$3:$AD$348,Data!$X$3:$X$348,T$1,Data!$Y$3:$Y$348,"2022",Data!$K$3:$K$348,'Reporting 2022'!$B24)</f>
        <v>0</v>
      </c>
      <c r="U56" s="677">
        <f>SUMIFS(Data!$AD$3:$AD$348,Data!$X$3:$X$348,U$1,Data!$Y$3:$Y$348,"2022",Data!$K$3:$K$348,'Reporting 2022'!$B24)</f>
        <v>0</v>
      </c>
      <c r="V56" s="677">
        <f>SUMIFS(Data!$AD$3:$AD$348,Data!$X$3:$X$348,V$1,Data!$Y$3:$Y$348,"2022",Data!$K$3:$K$348,'Reporting 2022'!$B24)</f>
        <v>0</v>
      </c>
      <c r="W56" s="677">
        <f>SUMIFS(Data!$AD$3:$AD$348,Data!$X$3:$X$348,W$1,Data!$Y$3:$Y$348,"2022",Data!$K$3:$K$348,'Reporting 2022'!$B24)</f>
        <v>0</v>
      </c>
      <c r="X56" s="677">
        <f>SUMIFS(Data!$AD$3:$AD$348,Data!$X$3:$X$348,X$1,Data!$Y$3:$Y$348,"2022",Data!$K$3:$K$348,'Reporting 2022'!$B24)</f>
        <v>0</v>
      </c>
      <c r="Y56" s="677">
        <f>SUMIFS(Data!$AD$3:$AD$348,Data!$X$3:$X$348,Y$1,Data!$Y$3:$Y$348,"2022",Data!$K$3:$K$348,'Reporting 2022'!$B24)</f>
        <v>0</v>
      </c>
      <c r="Z56" s="677">
        <f>SUMIFS(Data!$AD$3:$AD$348,Data!$X$3:$X$348,Z$1,Data!$Y$3:$Y$348,"2022",Data!$K$3:$K$348,'Reporting 2022'!$B24)</f>
        <v>0</v>
      </c>
      <c r="AA56" s="677">
        <f>SUMIFS(Data!$AD$3:$AD$348,Data!$X$3:$X$348,AA$1,Data!$Y$3:$Y$348,"2022",Data!$K$3:$K$348,'Reporting 2022'!$B24)</f>
        <v>0</v>
      </c>
      <c r="AB56" s="677">
        <f>SUMIFS(Data!$AD$3:$AD$348,Data!$X$3:$X$348,AB$1,Data!$Y$3:$Y$348,"2022",Data!$K$3:$K$348,'Reporting 2022'!$B24)</f>
        <v>0</v>
      </c>
      <c r="AC56" s="677">
        <f>SUMIFS(Data!$AD$3:$AD$348,Data!$X$3:$X$348,AC$1,Data!$Y$3:$Y$348,"2022",Data!$K$3:$K$348,'Reporting 2022'!$B24)</f>
        <v>0</v>
      </c>
      <c r="AD56" s="677">
        <f>SUMIFS(Data!$AD$3:$AD$348,Data!$X$3:$X$348,AD$1,Data!$Y$3:$Y$348,"2022",Data!$K$3:$K$348,'Reporting 2022'!$B24)</f>
        <v>0</v>
      </c>
      <c r="AE56" s="677">
        <f>SUMIFS(Data!$AD$3:$AD$348,Data!$X$3:$X$348,AE$1,Data!$Y$3:$Y$348,"2022",Data!$K$3:$K$348,'Reporting 2022'!$B24)</f>
        <v>0</v>
      </c>
      <c r="AF56" s="677">
        <f>SUMIFS(Data!$AD$3:$AD$348,Data!$X$3:$X$348,AF$1,Data!$Y$3:$Y$348,"2022",Data!$K$3:$K$348,'Reporting 2022'!$B24)</f>
        <v>0</v>
      </c>
      <c r="AG56" s="677">
        <f>SUMIFS(Data!$AD$3:$AD$348,Data!$X$3:$X$348,AG$1,Data!$Y$3:$Y$348,"2022",Data!$K$3:$K$348,'Reporting 2022'!$B24)</f>
        <v>0</v>
      </c>
      <c r="AH56" s="677">
        <f>SUMIFS(Data!$AD$3:$AD$348,Data!$X$3:$X$348,AH$1,Data!$Y$3:$Y$348,"2022",Data!$K$3:$K$348,'Reporting 2022'!$B24)</f>
        <v>0</v>
      </c>
      <c r="AI56" s="677">
        <f>SUMIFS(Data!$AD$3:$AD$348,Data!$X$3:$X$348,AI$1,Data!$Y$3:$Y$348,"2022",Data!$K$3:$K$348,'Reporting 2022'!$B24)</f>
        <v>0</v>
      </c>
      <c r="AJ56" s="677">
        <f>SUMIFS(Data!$AD$3:$AD$348,Data!$X$3:$X$348,AJ$1,Data!$Y$3:$Y$348,"2022",Data!$K$3:$K$348,'Reporting 2022'!$B24)</f>
        <v>0</v>
      </c>
      <c r="AK56" s="677">
        <f>SUMIFS(Data!$AD$3:$AD$348,Data!$X$3:$X$348,AK$1,Data!$Y$3:$Y$348,"2022",Data!$K$3:$K$348,'Reporting 2022'!$B24)</f>
        <v>0</v>
      </c>
      <c r="AL56" s="677">
        <f>SUMIFS(Data!$AD$3:$AD$348,Data!$X$3:$X$348,AL$1,Data!$Y$3:$Y$348,"2022",Data!$K$3:$K$348,'Reporting 2022'!$B24)</f>
        <v>0</v>
      </c>
      <c r="AM56" s="677">
        <f>SUMIFS(Data!$AD$3:$AD$348,Data!$X$3:$X$348,AM$1,Data!$Y$3:$Y$348,"2022",Data!$K$3:$K$348,'Reporting 2022'!$B24)</f>
        <v>0</v>
      </c>
      <c r="AN56" s="677">
        <f>SUMIFS(Data!$AD$3:$AD$348,Data!$X$3:$X$348,AN$1,Data!$Y$3:$Y$348,"2022",Data!$K$3:$K$348,'Reporting 2022'!$B24)</f>
        <v>0</v>
      </c>
      <c r="AO56" s="677">
        <f>SUMIFS(Data!$AD$3:$AD$348,Data!$X$3:$X$348,AO$1,Data!$Y$3:$Y$348,"2022",Data!$K$3:$K$348,'Reporting 2022'!$B24)</f>
        <v>0</v>
      </c>
      <c r="AP56" s="677">
        <f>SUMIFS(Data!$AD$3:$AD$348,Data!$X$3:$X$348,AP$1,Data!$Y$3:$Y$348,"2022",Data!$K$3:$K$348,'Reporting 2022'!$B24)</f>
        <v>0</v>
      </c>
      <c r="AQ56" s="677">
        <f>SUMIFS(Data!$AD$3:$AD$348,Data!$X$3:$X$348,AQ$1,Data!$Y$3:$Y$348,"2022",Data!$K$3:$K$348,'Reporting 2022'!$B24)</f>
        <v>0</v>
      </c>
      <c r="AR56" s="677">
        <f>SUMIFS(Data!$AD$3:$AD$348,Data!$X$3:$X$348,AR$1,Data!$Y$3:$Y$348,"2022",Data!$K$3:$K$348,'Reporting 2022'!$B24)</f>
        <v>0</v>
      </c>
      <c r="AS56" s="677">
        <f>SUMIFS(Data!$AD$3:$AD$348,Data!$X$3:$X$348,AS$1,Data!$Y$3:$Y$348,"2022",Data!$K$3:$K$348,'Reporting 2022'!$B24)</f>
        <v>0</v>
      </c>
      <c r="AT56" s="677">
        <f>SUMIFS(Data!$AD$3:$AD$348,Data!$X$3:$X$348,AT$1,Data!$Y$3:$Y$348,"2022",Data!$K$3:$K$348,'Reporting 2022'!$B24)</f>
        <v>0</v>
      </c>
      <c r="AU56" s="677">
        <f>SUMIFS(Data!$AD$3:$AD$348,Data!$X$3:$X$348,AU$1,Data!$Y$3:$Y$348,"2022",Data!$K$3:$K$348,'Reporting 2022'!$B24)</f>
        <v>0</v>
      </c>
      <c r="AV56" s="677">
        <f>SUMIFS(Data!$AD$3:$AD$348,Data!$X$3:$X$348,AV$1,Data!$Y$3:$Y$348,"2022",Data!$K$3:$K$348,'Reporting 2022'!$B24)</f>
        <v>0</v>
      </c>
      <c r="AW56" s="677">
        <f>SUMIFS(Data!$AD$3:$AD$348,Data!$X$3:$X$348,AW$1,Data!$Y$3:$Y$348,"2022",Data!$K$3:$K$348,'Reporting 2022'!$B24)</f>
        <v>0</v>
      </c>
      <c r="AX56" s="677">
        <f>SUMIFS(Data!$AD$3:$AD$348,Data!$X$3:$X$348,AX$1,Data!$Y$3:$Y$348,"2022",Data!$K$3:$K$348,'Reporting 2022'!$B24)</f>
        <v>0</v>
      </c>
      <c r="AY56" s="677">
        <f>SUMIFS(Data!$AD$3:$AD$348,Data!$X$3:$X$348,AY$1,Data!$Y$3:$Y$348,"2022",Data!$K$3:$K$348,'Reporting 2022'!$B24)</f>
        <v>0</v>
      </c>
      <c r="AZ56" s="677">
        <f>SUMIFS(Data!$AD$3:$AD$348,Data!$X$3:$X$348,AZ$1,Data!$Y$3:$Y$348,"2022",Data!$K$3:$K$348,'Reporting 2022'!$B24)</f>
        <v>0</v>
      </c>
      <c r="BA56" s="677">
        <f>SUMIFS(Data!$AD$3:$AD$348,Data!$X$3:$X$348,BA$1,Data!$Y$3:$Y$348,"2022",Data!$K$3:$K$348,'Reporting 2022'!$B24)</f>
        <v>0</v>
      </c>
      <c r="BB56" s="677">
        <f>SUMIFS(Data!$AD$3:$AD$348,Data!$X$3:$X$348,BB$1,Data!$Y$3:$Y$348,"2022",Data!$K$3:$K$348,'Reporting 2022'!$B24)</f>
        <v>0</v>
      </c>
      <c r="BC56" s="39"/>
      <c r="BD56" s="39"/>
      <c r="BE56" s="39"/>
      <c r="BF56" s="39"/>
      <c r="BG56" s="39"/>
      <c r="BH56" s="39"/>
      <c r="BI56" s="39"/>
      <c r="BJ56" s="39"/>
      <c r="BK56" s="39"/>
      <c r="BL56" s="39"/>
    </row>
    <row r="57" spans="2:64" s="437" customFormat="1" ht="15" thickTop="1" x14ac:dyDescent="0.3">
      <c r="B57" s="675" t="s">
        <v>613</v>
      </c>
      <c r="C57" s="609">
        <f>C47</f>
        <v>0</v>
      </c>
      <c r="D57" s="609">
        <f>C57+D47</f>
        <v>0</v>
      </c>
      <c r="E57" s="609">
        <f t="shared" ref="E57:BB62" si="94">D57+E47</f>
        <v>0</v>
      </c>
      <c r="F57" s="609">
        <f t="shared" si="94"/>
        <v>0</v>
      </c>
      <c r="G57" s="609">
        <f t="shared" si="94"/>
        <v>0</v>
      </c>
      <c r="H57" s="609">
        <f t="shared" si="94"/>
        <v>0</v>
      </c>
      <c r="I57" s="609">
        <f t="shared" si="94"/>
        <v>0</v>
      </c>
      <c r="J57" s="609">
        <f t="shared" si="94"/>
        <v>0</v>
      </c>
      <c r="K57" s="609">
        <f t="shared" si="94"/>
        <v>0</v>
      </c>
      <c r="L57" s="609">
        <f t="shared" si="94"/>
        <v>0</v>
      </c>
      <c r="M57" s="609">
        <f t="shared" si="94"/>
        <v>0</v>
      </c>
      <c r="N57" s="609">
        <f t="shared" si="94"/>
        <v>8579</v>
      </c>
      <c r="O57" s="609">
        <f t="shared" si="94"/>
        <v>8579</v>
      </c>
      <c r="P57" s="609">
        <f t="shared" si="94"/>
        <v>8579</v>
      </c>
      <c r="Q57" s="609">
        <f t="shared" si="94"/>
        <v>8579</v>
      </c>
      <c r="R57" s="609">
        <f t="shared" si="94"/>
        <v>8579</v>
      </c>
      <c r="S57" s="609">
        <f t="shared" si="94"/>
        <v>8579</v>
      </c>
      <c r="T57" s="609">
        <f t="shared" si="94"/>
        <v>8579</v>
      </c>
      <c r="U57" s="609">
        <f t="shared" si="94"/>
        <v>8579</v>
      </c>
      <c r="V57" s="609">
        <f t="shared" si="94"/>
        <v>8579</v>
      </c>
      <c r="W57" s="609">
        <f t="shared" si="94"/>
        <v>8579</v>
      </c>
      <c r="X57" s="609">
        <f t="shared" si="94"/>
        <v>8579</v>
      </c>
      <c r="Y57" s="609">
        <f t="shared" si="94"/>
        <v>8579</v>
      </c>
      <c r="Z57" s="609">
        <f t="shared" si="94"/>
        <v>8579</v>
      </c>
      <c r="AA57" s="609">
        <f t="shared" si="94"/>
        <v>8579</v>
      </c>
      <c r="AB57" s="609">
        <f t="shared" si="94"/>
        <v>8579</v>
      </c>
      <c r="AC57" s="609">
        <f t="shared" si="94"/>
        <v>8579</v>
      </c>
      <c r="AD57" s="609">
        <f t="shared" si="94"/>
        <v>8579</v>
      </c>
      <c r="AE57" s="609">
        <f t="shared" si="94"/>
        <v>8579</v>
      </c>
      <c r="AF57" s="609">
        <f t="shared" si="94"/>
        <v>8579</v>
      </c>
      <c r="AG57" s="609">
        <f t="shared" si="94"/>
        <v>8579</v>
      </c>
      <c r="AH57" s="609">
        <f t="shared" si="94"/>
        <v>8579</v>
      </c>
      <c r="AI57" s="609">
        <f t="shared" si="94"/>
        <v>8579</v>
      </c>
      <c r="AJ57" s="609">
        <f t="shared" si="94"/>
        <v>8579</v>
      </c>
      <c r="AK57" s="609">
        <f t="shared" si="94"/>
        <v>8579</v>
      </c>
      <c r="AL57" s="609">
        <f t="shared" si="94"/>
        <v>8579</v>
      </c>
      <c r="AM57" s="609">
        <f t="shared" si="94"/>
        <v>8579</v>
      </c>
      <c r="AN57" s="609">
        <f t="shared" si="94"/>
        <v>8579</v>
      </c>
      <c r="AO57" s="609">
        <f t="shared" si="94"/>
        <v>8579</v>
      </c>
      <c r="AP57" s="609">
        <f t="shared" si="94"/>
        <v>8579</v>
      </c>
      <c r="AQ57" s="609">
        <f t="shared" si="94"/>
        <v>8579</v>
      </c>
      <c r="AR57" s="609">
        <f t="shared" si="94"/>
        <v>8579</v>
      </c>
      <c r="AS57" s="609">
        <f t="shared" si="94"/>
        <v>8579</v>
      </c>
      <c r="AT57" s="609">
        <f t="shared" si="94"/>
        <v>8579</v>
      </c>
      <c r="AU57" s="609">
        <f t="shared" si="94"/>
        <v>8579</v>
      </c>
      <c r="AV57" s="609">
        <f t="shared" si="94"/>
        <v>8579</v>
      </c>
      <c r="AW57" s="609">
        <f t="shared" si="94"/>
        <v>8579</v>
      </c>
      <c r="AX57" s="609">
        <f t="shared" si="94"/>
        <v>8579</v>
      </c>
      <c r="AY57" s="609">
        <f t="shared" si="94"/>
        <v>8579</v>
      </c>
      <c r="AZ57" s="609">
        <f t="shared" si="94"/>
        <v>8579</v>
      </c>
      <c r="BA57" s="609">
        <f t="shared" si="94"/>
        <v>8579</v>
      </c>
      <c r="BB57" s="609">
        <f t="shared" si="94"/>
        <v>8579</v>
      </c>
    </row>
    <row r="58" spans="2:64" s="437" customFormat="1" x14ac:dyDescent="0.3">
      <c r="B58" s="675" t="s">
        <v>614</v>
      </c>
      <c r="C58" s="609">
        <f t="shared" ref="C58:C66" si="95">C48</f>
        <v>0</v>
      </c>
      <c r="D58" s="609">
        <f t="shared" ref="D58:S66" si="96">C58+D48</f>
        <v>0</v>
      </c>
      <c r="E58" s="609">
        <f t="shared" si="96"/>
        <v>0</v>
      </c>
      <c r="F58" s="609">
        <f t="shared" si="96"/>
        <v>0</v>
      </c>
      <c r="G58" s="609">
        <f t="shared" si="96"/>
        <v>0</v>
      </c>
      <c r="H58" s="609">
        <f t="shared" si="96"/>
        <v>0</v>
      </c>
      <c r="I58" s="609">
        <f t="shared" si="96"/>
        <v>0</v>
      </c>
      <c r="J58" s="609">
        <f t="shared" si="96"/>
        <v>0</v>
      </c>
      <c r="K58" s="609">
        <f t="shared" si="96"/>
        <v>0</v>
      </c>
      <c r="L58" s="609">
        <f t="shared" si="96"/>
        <v>0</v>
      </c>
      <c r="M58" s="609">
        <f t="shared" si="96"/>
        <v>0</v>
      </c>
      <c r="N58" s="609">
        <f t="shared" si="96"/>
        <v>0</v>
      </c>
      <c r="O58" s="609">
        <f t="shared" si="96"/>
        <v>0</v>
      </c>
      <c r="P58" s="609">
        <f t="shared" si="96"/>
        <v>0</v>
      </c>
      <c r="Q58" s="609">
        <f t="shared" si="96"/>
        <v>0</v>
      </c>
      <c r="R58" s="609">
        <f t="shared" si="96"/>
        <v>0</v>
      </c>
      <c r="S58" s="609">
        <f t="shared" si="96"/>
        <v>0</v>
      </c>
      <c r="T58" s="609">
        <f t="shared" si="94"/>
        <v>0</v>
      </c>
      <c r="U58" s="609">
        <f t="shared" si="94"/>
        <v>0</v>
      </c>
      <c r="V58" s="609">
        <f t="shared" si="94"/>
        <v>0</v>
      </c>
      <c r="W58" s="609">
        <f t="shared" si="94"/>
        <v>0</v>
      </c>
      <c r="X58" s="609">
        <f t="shared" si="94"/>
        <v>0</v>
      </c>
      <c r="Y58" s="609">
        <f t="shared" si="94"/>
        <v>0</v>
      </c>
      <c r="Z58" s="609">
        <f t="shared" si="94"/>
        <v>0</v>
      </c>
      <c r="AA58" s="609">
        <f t="shared" si="94"/>
        <v>0</v>
      </c>
      <c r="AB58" s="609">
        <f t="shared" si="94"/>
        <v>0</v>
      </c>
      <c r="AC58" s="609">
        <f t="shared" si="94"/>
        <v>0</v>
      </c>
      <c r="AD58" s="609">
        <f t="shared" si="94"/>
        <v>0</v>
      </c>
      <c r="AE58" s="609">
        <f t="shared" si="94"/>
        <v>0</v>
      </c>
      <c r="AF58" s="609">
        <f t="shared" si="94"/>
        <v>0</v>
      </c>
      <c r="AG58" s="609">
        <f t="shared" si="94"/>
        <v>0</v>
      </c>
      <c r="AH58" s="609">
        <f t="shared" si="94"/>
        <v>0</v>
      </c>
      <c r="AI58" s="609">
        <f t="shared" si="94"/>
        <v>0</v>
      </c>
      <c r="AJ58" s="609">
        <f t="shared" si="94"/>
        <v>0</v>
      </c>
      <c r="AK58" s="609">
        <f t="shared" si="94"/>
        <v>0</v>
      </c>
      <c r="AL58" s="609">
        <f t="shared" si="94"/>
        <v>0</v>
      </c>
      <c r="AM58" s="609">
        <f t="shared" si="94"/>
        <v>0</v>
      </c>
      <c r="AN58" s="609">
        <f t="shared" si="94"/>
        <v>0</v>
      </c>
      <c r="AO58" s="609">
        <f t="shared" si="94"/>
        <v>0</v>
      </c>
      <c r="AP58" s="609">
        <f t="shared" si="94"/>
        <v>0</v>
      </c>
      <c r="AQ58" s="609">
        <f t="shared" si="94"/>
        <v>0</v>
      </c>
      <c r="AR58" s="609">
        <f t="shared" si="94"/>
        <v>0</v>
      </c>
      <c r="AS58" s="609">
        <f t="shared" si="94"/>
        <v>0</v>
      </c>
      <c r="AT58" s="609">
        <f t="shared" si="94"/>
        <v>0</v>
      </c>
      <c r="AU58" s="609">
        <f t="shared" si="94"/>
        <v>0</v>
      </c>
      <c r="AV58" s="609">
        <f t="shared" si="94"/>
        <v>0</v>
      </c>
      <c r="AW58" s="609">
        <f t="shared" si="94"/>
        <v>0</v>
      </c>
      <c r="AX58" s="609">
        <f t="shared" si="94"/>
        <v>0</v>
      </c>
      <c r="AY58" s="609">
        <f t="shared" si="94"/>
        <v>0</v>
      </c>
      <c r="AZ58" s="609">
        <f t="shared" si="94"/>
        <v>0</v>
      </c>
      <c r="BA58" s="609">
        <f t="shared" si="94"/>
        <v>0</v>
      </c>
      <c r="BB58" s="609">
        <f t="shared" si="94"/>
        <v>0</v>
      </c>
    </row>
    <row r="59" spans="2:64" s="437" customFormat="1" x14ac:dyDescent="0.3">
      <c r="B59" s="675" t="s">
        <v>615</v>
      </c>
      <c r="C59" s="609">
        <f t="shared" si="95"/>
        <v>0</v>
      </c>
      <c r="D59" s="609">
        <f t="shared" si="96"/>
        <v>0</v>
      </c>
      <c r="E59" s="609">
        <f t="shared" si="94"/>
        <v>2750</v>
      </c>
      <c r="F59" s="609">
        <f t="shared" si="94"/>
        <v>2750</v>
      </c>
      <c r="G59" s="609">
        <f t="shared" si="94"/>
        <v>2750</v>
      </c>
      <c r="H59" s="609">
        <f t="shared" si="94"/>
        <v>2750</v>
      </c>
      <c r="I59" s="609">
        <f t="shared" si="94"/>
        <v>2750</v>
      </c>
      <c r="J59" s="609">
        <f t="shared" si="94"/>
        <v>2750</v>
      </c>
      <c r="K59" s="609">
        <f t="shared" si="94"/>
        <v>2750</v>
      </c>
      <c r="L59" s="609">
        <f t="shared" si="94"/>
        <v>2750</v>
      </c>
      <c r="M59" s="609">
        <f t="shared" si="94"/>
        <v>2750</v>
      </c>
      <c r="N59" s="609">
        <f t="shared" si="94"/>
        <v>2750</v>
      </c>
      <c r="O59" s="609">
        <f t="shared" si="94"/>
        <v>2750</v>
      </c>
      <c r="P59" s="609">
        <f t="shared" si="94"/>
        <v>2750</v>
      </c>
      <c r="Q59" s="609">
        <f t="shared" si="94"/>
        <v>2750</v>
      </c>
      <c r="R59" s="609">
        <f t="shared" si="94"/>
        <v>2750</v>
      </c>
      <c r="S59" s="609">
        <f t="shared" si="94"/>
        <v>2750</v>
      </c>
      <c r="T59" s="609">
        <f t="shared" si="94"/>
        <v>2750</v>
      </c>
      <c r="U59" s="609">
        <f t="shared" si="94"/>
        <v>2750</v>
      </c>
      <c r="V59" s="609">
        <f t="shared" si="94"/>
        <v>2750</v>
      </c>
      <c r="W59" s="609">
        <f t="shared" si="94"/>
        <v>2750</v>
      </c>
      <c r="X59" s="609">
        <f>W59+X49</f>
        <v>2750</v>
      </c>
      <c r="Y59" s="609">
        <f t="shared" si="94"/>
        <v>2750</v>
      </c>
      <c r="Z59" s="609">
        <f t="shared" si="94"/>
        <v>2750</v>
      </c>
      <c r="AA59" s="609">
        <f t="shared" si="94"/>
        <v>2750</v>
      </c>
      <c r="AB59" s="609">
        <f t="shared" si="94"/>
        <v>2750</v>
      </c>
      <c r="AC59" s="609">
        <f t="shared" si="94"/>
        <v>2750</v>
      </c>
      <c r="AD59" s="609">
        <f t="shared" si="94"/>
        <v>2750</v>
      </c>
      <c r="AE59" s="609">
        <f t="shared" si="94"/>
        <v>2750</v>
      </c>
      <c r="AF59" s="609">
        <f t="shared" si="94"/>
        <v>2750</v>
      </c>
      <c r="AG59" s="609">
        <f t="shared" si="94"/>
        <v>2750</v>
      </c>
      <c r="AH59" s="609">
        <f t="shared" si="94"/>
        <v>2750</v>
      </c>
      <c r="AI59" s="609">
        <f t="shared" si="94"/>
        <v>2750</v>
      </c>
      <c r="AJ59" s="609">
        <f t="shared" si="94"/>
        <v>2750</v>
      </c>
      <c r="AK59" s="609">
        <f t="shared" si="94"/>
        <v>2750</v>
      </c>
      <c r="AL59" s="609">
        <f t="shared" si="94"/>
        <v>2750</v>
      </c>
      <c r="AM59" s="609">
        <f t="shared" si="94"/>
        <v>2750</v>
      </c>
      <c r="AN59" s="609">
        <f t="shared" si="94"/>
        <v>2750</v>
      </c>
      <c r="AO59" s="609">
        <f t="shared" si="94"/>
        <v>2750</v>
      </c>
      <c r="AP59" s="609">
        <f t="shared" si="94"/>
        <v>2750</v>
      </c>
      <c r="AQ59" s="609">
        <f t="shared" si="94"/>
        <v>2750</v>
      </c>
      <c r="AR59" s="609">
        <f t="shared" si="94"/>
        <v>2750</v>
      </c>
      <c r="AS59" s="609">
        <f t="shared" si="94"/>
        <v>2750</v>
      </c>
      <c r="AT59" s="609">
        <f t="shared" si="94"/>
        <v>2750</v>
      </c>
      <c r="AU59" s="609">
        <f t="shared" si="94"/>
        <v>2750</v>
      </c>
      <c r="AV59" s="609">
        <f t="shared" si="94"/>
        <v>2750</v>
      </c>
      <c r="AW59" s="609">
        <f t="shared" si="94"/>
        <v>2750</v>
      </c>
      <c r="AX59" s="609">
        <f t="shared" si="94"/>
        <v>2750</v>
      </c>
      <c r="AY59" s="609">
        <f t="shared" si="94"/>
        <v>2750</v>
      </c>
      <c r="AZ59" s="609">
        <f t="shared" si="94"/>
        <v>2750</v>
      </c>
      <c r="BA59" s="609">
        <f t="shared" si="94"/>
        <v>2750</v>
      </c>
      <c r="BB59" s="609">
        <f t="shared" si="94"/>
        <v>2750</v>
      </c>
    </row>
    <row r="60" spans="2:64" s="437" customFormat="1" x14ac:dyDescent="0.3">
      <c r="B60" s="675" t="s">
        <v>616</v>
      </c>
      <c r="C60" s="609">
        <f t="shared" si="95"/>
        <v>0</v>
      </c>
      <c r="D60" s="609">
        <f t="shared" si="96"/>
        <v>0</v>
      </c>
      <c r="E60" s="609">
        <f t="shared" si="94"/>
        <v>0</v>
      </c>
      <c r="F60" s="609">
        <f t="shared" si="94"/>
        <v>0</v>
      </c>
      <c r="G60" s="609">
        <f t="shared" si="94"/>
        <v>0</v>
      </c>
      <c r="H60" s="609">
        <f t="shared" si="94"/>
        <v>0</v>
      </c>
      <c r="I60" s="609">
        <f t="shared" si="94"/>
        <v>0</v>
      </c>
      <c r="J60" s="609">
        <f t="shared" si="94"/>
        <v>0</v>
      </c>
      <c r="K60" s="609">
        <f t="shared" si="94"/>
        <v>0</v>
      </c>
      <c r="L60" s="609">
        <f t="shared" si="94"/>
        <v>0</v>
      </c>
      <c r="M60" s="609">
        <f t="shared" si="94"/>
        <v>0</v>
      </c>
      <c r="N60" s="609">
        <f t="shared" si="94"/>
        <v>0</v>
      </c>
      <c r="O60" s="609">
        <f t="shared" si="94"/>
        <v>0</v>
      </c>
      <c r="P60" s="609">
        <f t="shared" si="94"/>
        <v>0</v>
      </c>
      <c r="Q60" s="609">
        <f t="shared" si="94"/>
        <v>0</v>
      </c>
      <c r="R60" s="609">
        <f t="shared" si="94"/>
        <v>0</v>
      </c>
      <c r="S60" s="609">
        <f t="shared" si="94"/>
        <v>0</v>
      </c>
      <c r="T60" s="609">
        <f t="shared" si="94"/>
        <v>0</v>
      </c>
      <c r="U60" s="609">
        <f t="shared" si="94"/>
        <v>0</v>
      </c>
      <c r="V60" s="609">
        <f t="shared" si="94"/>
        <v>0</v>
      </c>
      <c r="W60" s="609">
        <f t="shared" si="94"/>
        <v>0</v>
      </c>
      <c r="X60" s="609">
        <f t="shared" si="94"/>
        <v>0</v>
      </c>
      <c r="Y60" s="609">
        <f t="shared" si="94"/>
        <v>0</v>
      </c>
      <c r="Z60" s="609">
        <f t="shared" si="94"/>
        <v>0</v>
      </c>
      <c r="AA60" s="609">
        <f t="shared" si="94"/>
        <v>0</v>
      </c>
      <c r="AB60" s="609">
        <f t="shared" si="94"/>
        <v>0</v>
      </c>
      <c r="AC60" s="609">
        <f t="shared" si="94"/>
        <v>0</v>
      </c>
      <c r="AD60" s="609">
        <f t="shared" si="94"/>
        <v>0</v>
      </c>
      <c r="AE60" s="609">
        <f t="shared" si="94"/>
        <v>0</v>
      </c>
      <c r="AF60" s="609">
        <f t="shared" si="94"/>
        <v>0</v>
      </c>
      <c r="AG60" s="609">
        <f t="shared" si="94"/>
        <v>0</v>
      </c>
      <c r="AH60" s="609">
        <f t="shared" si="94"/>
        <v>0</v>
      </c>
      <c r="AI60" s="609">
        <f t="shared" si="94"/>
        <v>0</v>
      </c>
      <c r="AJ60" s="609">
        <f t="shared" si="94"/>
        <v>0</v>
      </c>
      <c r="AK60" s="609">
        <f t="shared" si="94"/>
        <v>0</v>
      </c>
      <c r="AL60" s="609">
        <f t="shared" si="94"/>
        <v>0</v>
      </c>
      <c r="AM60" s="609">
        <f t="shared" si="94"/>
        <v>0</v>
      </c>
      <c r="AN60" s="609">
        <f t="shared" si="94"/>
        <v>0</v>
      </c>
      <c r="AO60" s="609">
        <f t="shared" si="94"/>
        <v>0</v>
      </c>
      <c r="AP60" s="609">
        <f t="shared" si="94"/>
        <v>0</v>
      </c>
      <c r="AQ60" s="609">
        <f t="shared" si="94"/>
        <v>0</v>
      </c>
      <c r="AR60" s="609">
        <f t="shared" si="94"/>
        <v>0</v>
      </c>
      <c r="AS60" s="609">
        <f t="shared" si="94"/>
        <v>0</v>
      </c>
      <c r="AT60" s="609">
        <f t="shared" si="94"/>
        <v>0</v>
      </c>
      <c r="AU60" s="609">
        <f t="shared" si="94"/>
        <v>0</v>
      </c>
      <c r="AV60" s="609">
        <f t="shared" si="94"/>
        <v>0</v>
      </c>
      <c r="AW60" s="609">
        <f t="shared" si="94"/>
        <v>0</v>
      </c>
      <c r="AX60" s="609">
        <f t="shared" si="94"/>
        <v>0</v>
      </c>
      <c r="AY60" s="609">
        <f t="shared" si="94"/>
        <v>0</v>
      </c>
      <c r="AZ60" s="609">
        <f t="shared" si="94"/>
        <v>0</v>
      </c>
      <c r="BA60" s="609">
        <f t="shared" si="94"/>
        <v>0</v>
      </c>
      <c r="BB60" s="609">
        <f t="shared" si="94"/>
        <v>0</v>
      </c>
    </row>
    <row r="61" spans="2:64" s="437" customFormat="1" x14ac:dyDescent="0.3">
      <c r="B61" s="675" t="s">
        <v>617</v>
      </c>
      <c r="C61" s="609">
        <f t="shared" si="95"/>
        <v>0</v>
      </c>
      <c r="D61" s="609">
        <f t="shared" si="96"/>
        <v>0</v>
      </c>
      <c r="E61" s="609">
        <f t="shared" si="94"/>
        <v>0</v>
      </c>
      <c r="F61" s="609">
        <f t="shared" si="94"/>
        <v>0</v>
      </c>
      <c r="G61" s="609">
        <f t="shared" si="94"/>
        <v>0</v>
      </c>
      <c r="H61" s="609">
        <f t="shared" si="94"/>
        <v>0</v>
      </c>
      <c r="I61" s="609">
        <f t="shared" si="94"/>
        <v>0</v>
      </c>
      <c r="J61" s="609">
        <f t="shared" si="94"/>
        <v>0</v>
      </c>
      <c r="K61" s="609">
        <f t="shared" si="94"/>
        <v>0</v>
      </c>
      <c r="L61" s="609">
        <f t="shared" si="94"/>
        <v>0</v>
      </c>
      <c r="M61" s="609">
        <f t="shared" si="94"/>
        <v>0</v>
      </c>
      <c r="N61" s="609">
        <f t="shared" si="94"/>
        <v>0</v>
      </c>
      <c r="O61" s="609">
        <f t="shared" si="94"/>
        <v>0</v>
      </c>
      <c r="P61" s="609">
        <f t="shared" si="94"/>
        <v>0</v>
      </c>
      <c r="Q61" s="609">
        <f t="shared" si="94"/>
        <v>0</v>
      </c>
      <c r="R61" s="609">
        <f t="shared" si="94"/>
        <v>0</v>
      </c>
      <c r="S61" s="609">
        <f t="shared" si="94"/>
        <v>0</v>
      </c>
      <c r="T61" s="609">
        <f t="shared" si="94"/>
        <v>0</v>
      </c>
      <c r="U61" s="609">
        <f t="shared" si="94"/>
        <v>0</v>
      </c>
      <c r="V61" s="609">
        <f t="shared" si="94"/>
        <v>0</v>
      </c>
      <c r="W61" s="609">
        <f t="shared" si="94"/>
        <v>0</v>
      </c>
      <c r="X61" s="609">
        <f t="shared" si="94"/>
        <v>0</v>
      </c>
      <c r="Y61" s="609">
        <f t="shared" si="94"/>
        <v>0</v>
      </c>
      <c r="Z61" s="609">
        <f t="shared" si="94"/>
        <v>0</v>
      </c>
      <c r="AA61" s="609">
        <f t="shared" si="94"/>
        <v>0</v>
      </c>
      <c r="AB61" s="609">
        <f t="shared" si="94"/>
        <v>0</v>
      </c>
      <c r="AC61" s="609">
        <f t="shared" si="94"/>
        <v>0</v>
      </c>
      <c r="AD61" s="609">
        <f t="shared" si="94"/>
        <v>0</v>
      </c>
      <c r="AE61" s="609">
        <f t="shared" si="94"/>
        <v>0</v>
      </c>
      <c r="AF61" s="609">
        <f t="shared" si="94"/>
        <v>0</v>
      </c>
      <c r="AG61" s="609">
        <f t="shared" si="94"/>
        <v>0</v>
      </c>
      <c r="AH61" s="609">
        <f t="shared" si="94"/>
        <v>0</v>
      </c>
      <c r="AI61" s="609">
        <f t="shared" si="94"/>
        <v>0</v>
      </c>
      <c r="AJ61" s="609">
        <f t="shared" si="94"/>
        <v>0</v>
      </c>
      <c r="AK61" s="609">
        <f t="shared" si="94"/>
        <v>0</v>
      </c>
      <c r="AL61" s="609">
        <f t="shared" si="94"/>
        <v>0</v>
      </c>
      <c r="AM61" s="609">
        <f t="shared" si="94"/>
        <v>0</v>
      </c>
      <c r="AN61" s="609">
        <f t="shared" si="94"/>
        <v>0</v>
      </c>
      <c r="AO61" s="609">
        <f t="shared" si="94"/>
        <v>0</v>
      </c>
      <c r="AP61" s="609">
        <f t="shared" si="94"/>
        <v>0</v>
      </c>
      <c r="AQ61" s="609">
        <f t="shared" si="94"/>
        <v>0</v>
      </c>
      <c r="AR61" s="609">
        <f t="shared" si="94"/>
        <v>0</v>
      </c>
      <c r="AS61" s="609">
        <f t="shared" si="94"/>
        <v>0</v>
      </c>
      <c r="AT61" s="609">
        <f t="shared" si="94"/>
        <v>0</v>
      </c>
      <c r="AU61" s="609">
        <f t="shared" si="94"/>
        <v>0</v>
      </c>
      <c r="AV61" s="609">
        <f t="shared" si="94"/>
        <v>0</v>
      </c>
      <c r="AW61" s="609">
        <f t="shared" si="94"/>
        <v>0</v>
      </c>
      <c r="AX61" s="609">
        <f t="shared" si="94"/>
        <v>0</v>
      </c>
      <c r="AY61" s="609">
        <f t="shared" si="94"/>
        <v>0</v>
      </c>
      <c r="AZ61" s="609">
        <f t="shared" si="94"/>
        <v>0</v>
      </c>
      <c r="BA61" s="609">
        <f t="shared" si="94"/>
        <v>0</v>
      </c>
      <c r="BB61" s="609">
        <f t="shared" si="94"/>
        <v>0</v>
      </c>
    </row>
    <row r="62" spans="2:64" s="437" customFormat="1" x14ac:dyDescent="0.3">
      <c r="B62" s="675" t="s">
        <v>618</v>
      </c>
      <c r="C62" s="609">
        <f t="shared" si="95"/>
        <v>0</v>
      </c>
      <c r="D62" s="609">
        <f t="shared" si="96"/>
        <v>3180</v>
      </c>
      <c r="E62" s="609">
        <f t="shared" si="94"/>
        <v>3180</v>
      </c>
      <c r="F62" s="609">
        <f t="shared" si="94"/>
        <v>3180</v>
      </c>
      <c r="G62" s="609">
        <f t="shared" si="94"/>
        <v>3180</v>
      </c>
      <c r="H62" s="609">
        <f t="shared" si="94"/>
        <v>14940</v>
      </c>
      <c r="I62" s="609">
        <f t="shared" si="94"/>
        <v>14940</v>
      </c>
      <c r="J62" s="609">
        <f t="shared" si="94"/>
        <v>20090</v>
      </c>
      <c r="K62" s="609">
        <f t="shared" si="94"/>
        <v>23270</v>
      </c>
      <c r="L62" s="609">
        <f t="shared" si="94"/>
        <v>23270</v>
      </c>
      <c r="M62" s="609">
        <f t="shared" si="94"/>
        <v>23270</v>
      </c>
      <c r="N62" s="609">
        <f t="shared" si="94"/>
        <v>26390</v>
      </c>
      <c r="O62" s="609">
        <f t="shared" si="94"/>
        <v>26390</v>
      </c>
      <c r="P62" s="609">
        <f t="shared" si="94"/>
        <v>32340</v>
      </c>
      <c r="Q62" s="609">
        <f t="shared" si="94"/>
        <v>32340</v>
      </c>
      <c r="R62" s="609">
        <f t="shared" si="94"/>
        <v>32340</v>
      </c>
      <c r="S62" s="609">
        <f t="shared" si="94"/>
        <v>32340</v>
      </c>
      <c r="T62" s="609">
        <f t="shared" si="94"/>
        <v>32340</v>
      </c>
      <c r="U62" s="609">
        <f t="shared" si="94"/>
        <v>32340</v>
      </c>
      <c r="V62" s="609">
        <f t="shared" si="94"/>
        <v>32340</v>
      </c>
      <c r="W62" s="609">
        <f t="shared" si="94"/>
        <v>32340</v>
      </c>
      <c r="X62" s="609">
        <f t="shared" si="94"/>
        <v>32340</v>
      </c>
      <c r="Y62" s="609">
        <f t="shared" ref="E62:BB66" si="97">X62+Y52</f>
        <v>32340</v>
      </c>
      <c r="Z62" s="609">
        <f t="shared" si="97"/>
        <v>32340</v>
      </c>
      <c r="AA62" s="609">
        <f t="shared" si="97"/>
        <v>32340</v>
      </c>
      <c r="AB62" s="609">
        <f t="shared" si="97"/>
        <v>32340</v>
      </c>
      <c r="AC62" s="609">
        <f t="shared" si="97"/>
        <v>32340</v>
      </c>
      <c r="AD62" s="609">
        <f t="shared" si="97"/>
        <v>32340</v>
      </c>
      <c r="AE62" s="609">
        <f t="shared" si="97"/>
        <v>32340</v>
      </c>
      <c r="AF62" s="609">
        <f t="shared" si="97"/>
        <v>32340</v>
      </c>
      <c r="AG62" s="609">
        <f t="shared" si="97"/>
        <v>32340</v>
      </c>
      <c r="AH62" s="609">
        <f t="shared" si="97"/>
        <v>32340</v>
      </c>
      <c r="AI62" s="609">
        <f t="shared" si="97"/>
        <v>32340</v>
      </c>
      <c r="AJ62" s="609">
        <f t="shared" si="97"/>
        <v>32340</v>
      </c>
      <c r="AK62" s="609">
        <f t="shared" si="97"/>
        <v>32340</v>
      </c>
      <c r="AL62" s="609">
        <f t="shared" si="97"/>
        <v>32340</v>
      </c>
      <c r="AM62" s="609">
        <f t="shared" si="97"/>
        <v>32340</v>
      </c>
      <c r="AN62" s="609">
        <f t="shared" si="97"/>
        <v>32340</v>
      </c>
      <c r="AO62" s="609">
        <f t="shared" si="97"/>
        <v>32340</v>
      </c>
      <c r="AP62" s="609">
        <f t="shared" si="97"/>
        <v>32340</v>
      </c>
      <c r="AQ62" s="609">
        <f t="shared" si="97"/>
        <v>32340</v>
      </c>
      <c r="AR62" s="609">
        <f t="shared" si="97"/>
        <v>32340</v>
      </c>
      <c r="AS62" s="609">
        <f t="shared" si="97"/>
        <v>32340</v>
      </c>
      <c r="AT62" s="609">
        <f t="shared" si="97"/>
        <v>32340</v>
      </c>
      <c r="AU62" s="609">
        <f t="shared" si="97"/>
        <v>32340</v>
      </c>
      <c r="AV62" s="609">
        <f t="shared" si="97"/>
        <v>32340</v>
      </c>
      <c r="AW62" s="609">
        <f t="shared" si="97"/>
        <v>32340</v>
      </c>
      <c r="AX62" s="609">
        <f t="shared" si="97"/>
        <v>32340</v>
      </c>
      <c r="AY62" s="609">
        <f t="shared" si="97"/>
        <v>32340</v>
      </c>
      <c r="AZ62" s="609">
        <f t="shared" si="97"/>
        <v>32340</v>
      </c>
      <c r="BA62" s="609">
        <f t="shared" si="97"/>
        <v>32340</v>
      </c>
      <c r="BB62" s="609">
        <f t="shared" si="97"/>
        <v>32340</v>
      </c>
    </row>
    <row r="63" spans="2:64" s="437" customFormat="1" x14ac:dyDescent="0.3">
      <c r="B63" s="675" t="s">
        <v>619</v>
      </c>
      <c r="C63" s="609">
        <f t="shared" si="95"/>
        <v>0</v>
      </c>
      <c r="D63" s="609">
        <f t="shared" si="96"/>
        <v>0</v>
      </c>
      <c r="E63" s="609">
        <f t="shared" si="97"/>
        <v>0</v>
      </c>
      <c r="F63" s="609">
        <f t="shared" si="97"/>
        <v>0</v>
      </c>
      <c r="G63" s="609">
        <f t="shared" si="97"/>
        <v>0</v>
      </c>
      <c r="H63" s="609">
        <f t="shared" si="97"/>
        <v>0</v>
      </c>
      <c r="I63" s="609">
        <f t="shared" si="97"/>
        <v>0</v>
      </c>
      <c r="J63" s="609">
        <f t="shared" si="97"/>
        <v>0</v>
      </c>
      <c r="K63" s="609">
        <f t="shared" si="97"/>
        <v>0</v>
      </c>
      <c r="L63" s="609">
        <f t="shared" si="97"/>
        <v>0</v>
      </c>
      <c r="M63" s="609">
        <f t="shared" si="97"/>
        <v>0</v>
      </c>
      <c r="N63" s="609">
        <f t="shared" si="97"/>
        <v>0</v>
      </c>
      <c r="O63" s="609">
        <f t="shared" si="97"/>
        <v>0</v>
      </c>
      <c r="P63" s="609">
        <f t="shared" si="97"/>
        <v>0</v>
      </c>
      <c r="Q63" s="609">
        <f t="shared" si="97"/>
        <v>0</v>
      </c>
      <c r="R63" s="609">
        <f t="shared" si="97"/>
        <v>0</v>
      </c>
      <c r="S63" s="609">
        <f t="shared" si="97"/>
        <v>0</v>
      </c>
      <c r="T63" s="609">
        <f t="shared" si="97"/>
        <v>0</v>
      </c>
      <c r="U63" s="609">
        <f t="shared" si="97"/>
        <v>0</v>
      </c>
      <c r="V63" s="609">
        <f t="shared" si="97"/>
        <v>0</v>
      </c>
      <c r="W63" s="609">
        <f t="shared" si="97"/>
        <v>0</v>
      </c>
      <c r="X63" s="609">
        <f t="shared" si="97"/>
        <v>0</v>
      </c>
      <c r="Y63" s="609">
        <f t="shared" si="97"/>
        <v>0</v>
      </c>
      <c r="Z63" s="609">
        <f t="shared" si="97"/>
        <v>0</v>
      </c>
      <c r="AA63" s="609">
        <f t="shared" si="97"/>
        <v>0</v>
      </c>
      <c r="AB63" s="609">
        <f t="shared" si="97"/>
        <v>0</v>
      </c>
      <c r="AC63" s="609">
        <f t="shared" si="97"/>
        <v>0</v>
      </c>
      <c r="AD63" s="609">
        <f t="shared" si="97"/>
        <v>0</v>
      </c>
      <c r="AE63" s="609">
        <f t="shared" si="97"/>
        <v>0</v>
      </c>
      <c r="AF63" s="609">
        <f t="shared" si="97"/>
        <v>0</v>
      </c>
      <c r="AG63" s="609">
        <f t="shared" si="97"/>
        <v>0</v>
      </c>
      <c r="AH63" s="609">
        <f t="shared" si="97"/>
        <v>0</v>
      </c>
      <c r="AI63" s="609">
        <f t="shared" si="97"/>
        <v>0</v>
      </c>
      <c r="AJ63" s="609">
        <f t="shared" si="97"/>
        <v>0</v>
      </c>
      <c r="AK63" s="609">
        <f t="shared" si="97"/>
        <v>0</v>
      </c>
      <c r="AL63" s="609">
        <f t="shared" si="97"/>
        <v>0</v>
      </c>
      <c r="AM63" s="609">
        <f t="shared" si="97"/>
        <v>0</v>
      </c>
      <c r="AN63" s="609">
        <f t="shared" si="97"/>
        <v>0</v>
      </c>
      <c r="AO63" s="609">
        <f t="shared" si="97"/>
        <v>0</v>
      </c>
      <c r="AP63" s="609">
        <f t="shared" si="97"/>
        <v>0</v>
      </c>
      <c r="AQ63" s="609">
        <f t="shared" si="97"/>
        <v>0</v>
      </c>
      <c r="AR63" s="609">
        <f t="shared" si="97"/>
        <v>0</v>
      </c>
      <c r="AS63" s="609">
        <f t="shared" si="97"/>
        <v>0</v>
      </c>
      <c r="AT63" s="609">
        <f t="shared" si="97"/>
        <v>0</v>
      </c>
      <c r="AU63" s="609">
        <f t="shared" si="97"/>
        <v>0</v>
      </c>
      <c r="AV63" s="609">
        <f t="shared" si="97"/>
        <v>0</v>
      </c>
      <c r="AW63" s="609">
        <f t="shared" si="97"/>
        <v>0</v>
      </c>
      <c r="AX63" s="609">
        <f t="shared" si="97"/>
        <v>0</v>
      </c>
      <c r="AY63" s="609">
        <f t="shared" si="97"/>
        <v>0</v>
      </c>
      <c r="AZ63" s="609">
        <f t="shared" si="97"/>
        <v>0</v>
      </c>
      <c r="BA63" s="609">
        <f t="shared" si="97"/>
        <v>0</v>
      </c>
      <c r="BB63" s="609">
        <f t="shared" si="97"/>
        <v>0</v>
      </c>
    </row>
    <row r="64" spans="2:64" s="437" customFormat="1" x14ac:dyDescent="0.3">
      <c r="B64" s="675" t="s">
        <v>620</v>
      </c>
      <c r="C64" s="609">
        <f t="shared" si="95"/>
        <v>0</v>
      </c>
      <c r="D64" s="609">
        <f t="shared" si="96"/>
        <v>0</v>
      </c>
      <c r="E64" s="609">
        <f t="shared" si="97"/>
        <v>2766</v>
      </c>
      <c r="F64" s="609">
        <f t="shared" si="97"/>
        <v>2766</v>
      </c>
      <c r="G64" s="609">
        <f t="shared" si="97"/>
        <v>3426</v>
      </c>
      <c r="H64" s="609">
        <f t="shared" si="97"/>
        <v>12271</v>
      </c>
      <c r="I64" s="609">
        <f t="shared" si="97"/>
        <v>12931</v>
      </c>
      <c r="J64" s="609">
        <f t="shared" si="97"/>
        <v>14128</v>
      </c>
      <c r="K64" s="609">
        <f t="shared" si="97"/>
        <v>14128</v>
      </c>
      <c r="L64" s="609">
        <f t="shared" si="97"/>
        <v>20011.5</v>
      </c>
      <c r="M64" s="609">
        <f t="shared" si="97"/>
        <v>25131.5</v>
      </c>
      <c r="N64" s="609">
        <f t="shared" si="97"/>
        <v>27821.5</v>
      </c>
      <c r="O64" s="609">
        <f t="shared" si="97"/>
        <v>48141.5</v>
      </c>
      <c r="P64" s="609">
        <f t="shared" si="97"/>
        <v>57314.5</v>
      </c>
      <c r="Q64" s="609">
        <f t="shared" si="97"/>
        <v>57699.5</v>
      </c>
      <c r="R64" s="609">
        <f t="shared" si="97"/>
        <v>57699.5</v>
      </c>
      <c r="S64" s="609">
        <f t="shared" si="97"/>
        <v>57699.5</v>
      </c>
      <c r="T64" s="609">
        <f t="shared" si="97"/>
        <v>57699.5</v>
      </c>
      <c r="U64" s="609">
        <f t="shared" si="97"/>
        <v>57699.5</v>
      </c>
      <c r="V64" s="609">
        <f t="shared" si="97"/>
        <v>57699.5</v>
      </c>
      <c r="W64" s="609">
        <f t="shared" si="97"/>
        <v>57699.5</v>
      </c>
      <c r="X64" s="609">
        <f t="shared" si="97"/>
        <v>57699.5</v>
      </c>
      <c r="Y64" s="609">
        <f t="shared" si="97"/>
        <v>57699.5</v>
      </c>
      <c r="Z64" s="609">
        <f t="shared" si="97"/>
        <v>57699.5</v>
      </c>
      <c r="AA64" s="609">
        <f t="shared" si="97"/>
        <v>57699.5</v>
      </c>
      <c r="AB64" s="609">
        <f t="shared" si="97"/>
        <v>57699.5</v>
      </c>
      <c r="AC64" s="609">
        <f t="shared" si="97"/>
        <v>57699.5</v>
      </c>
      <c r="AD64" s="609">
        <f t="shared" si="97"/>
        <v>57699.5</v>
      </c>
      <c r="AE64" s="609">
        <f t="shared" si="97"/>
        <v>57699.5</v>
      </c>
      <c r="AF64" s="609">
        <f t="shared" si="97"/>
        <v>57699.5</v>
      </c>
      <c r="AG64" s="609">
        <f t="shared" si="97"/>
        <v>57699.5</v>
      </c>
      <c r="AH64" s="609">
        <f t="shared" si="97"/>
        <v>57699.5</v>
      </c>
      <c r="AI64" s="609">
        <f t="shared" si="97"/>
        <v>57699.5</v>
      </c>
      <c r="AJ64" s="609">
        <f t="shared" si="97"/>
        <v>57699.5</v>
      </c>
      <c r="AK64" s="609">
        <f t="shared" si="97"/>
        <v>57699.5</v>
      </c>
      <c r="AL64" s="609">
        <f t="shared" si="97"/>
        <v>57699.5</v>
      </c>
      <c r="AM64" s="609">
        <f t="shared" si="97"/>
        <v>57699.5</v>
      </c>
      <c r="AN64" s="609">
        <f t="shared" si="97"/>
        <v>57699.5</v>
      </c>
      <c r="AO64" s="609">
        <f t="shared" si="97"/>
        <v>57699.5</v>
      </c>
      <c r="AP64" s="609">
        <f t="shared" si="97"/>
        <v>57699.5</v>
      </c>
      <c r="AQ64" s="609">
        <f t="shared" si="97"/>
        <v>57699.5</v>
      </c>
      <c r="AR64" s="609">
        <f t="shared" si="97"/>
        <v>57699.5</v>
      </c>
      <c r="AS64" s="609">
        <f t="shared" si="97"/>
        <v>57699.5</v>
      </c>
      <c r="AT64" s="609">
        <f t="shared" si="97"/>
        <v>57699.5</v>
      </c>
      <c r="AU64" s="609">
        <f t="shared" si="97"/>
        <v>57699.5</v>
      </c>
      <c r="AV64" s="609">
        <f t="shared" si="97"/>
        <v>57699.5</v>
      </c>
      <c r="AW64" s="609">
        <f t="shared" si="97"/>
        <v>57699.5</v>
      </c>
      <c r="AX64" s="609">
        <f t="shared" si="97"/>
        <v>57699.5</v>
      </c>
      <c r="AY64" s="609">
        <f t="shared" si="97"/>
        <v>57699.5</v>
      </c>
      <c r="AZ64" s="609">
        <f t="shared" si="97"/>
        <v>57699.5</v>
      </c>
      <c r="BA64" s="609">
        <f t="shared" si="97"/>
        <v>57699.5</v>
      </c>
      <c r="BB64" s="609">
        <f t="shared" si="97"/>
        <v>57699.5</v>
      </c>
    </row>
    <row r="65" spans="2:54" s="437" customFormat="1" x14ac:dyDescent="0.3">
      <c r="B65" s="675" t="s">
        <v>621</v>
      </c>
      <c r="C65" s="609">
        <f t="shared" si="95"/>
        <v>0</v>
      </c>
      <c r="D65" s="609">
        <f t="shared" si="96"/>
        <v>0</v>
      </c>
      <c r="E65" s="609">
        <f t="shared" si="97"/>
        <v>0</v>
      </c>
      <c r="F65" s="609">
        <f t="shared" si="97"/>
        <v>0</v>
      </c>
      <c r="G65" s="609">
        <f t="shared" si="97"/>
        <v>0</v>
      </c>
      <c r="H65" s="609">
        <f t="shared" si="97"/>
        <v>0</v>
      </c>
      <c r="I65" s="609">
        <f t="shared" si="97"/>
        <v>4425</v>
      </c>
      <c r="J65" s="609">
        <f t="shared" si="97"/>
        <v>4425</v>
      </c>
      <c r="K65" s="609">
        <f t="shared" si="97"/>
        <v>7661</v>
      </c>
      <c r="L65" s="609">
        <f t="shared" si="97"/>
        <v>7661</v>
      </c>
      <c r="M65" s="609">
        <f t="shared" si="97"/>
        <v>7661</v>
      </c>
      <c r="N65" s="609">
        <f t="shared" si="97"/>
        <v>7661</v>
      </c>
      <c r="O65" s="609">
        <f t="shared" si="97"/>
        <v>7661</v>
      </c>
      <c r="P65" s="609">
        <f t="shared" si="97"/>
        <v>7661</v>
      </c>
      <c r="Q65" s="609">
        <f t="shared" si="97"/>
        <v>7661</v>
      </c>
      <c r="R65" s="609">
        <f t="shared" si="97"/>
        <v>7661</v>
      </c>
      <c r="S65" s="609">
        <f t="shared" si="97"/>
        <v>7661</v>
      </c>
      <c r="T65" s="609">
        <f t="shared" si="97"/>
        <v>7661</v>
      </c>
      <c r="U65" s="609">
        <f t="shared" si="97"/>
        <v>7661</v>
      </c>
      <c r="V65" s="609">
        <f t="shared" si="97"/>
        <v>7661</v>
      </c>
      <c r="W65" s="609">
        <f t="shared" si="97"/>
        <v>7661</v>
      </c>
      <c r="X65" s="609">
        <f t="shared" si="97"/>
        <v>7661</v>
      </c>
      <c r="Y65" s="609">
        <f t="shared" si="97"/>
        <v>7661</v>
      </c>
      <c r="Z65" s="609">
        <f t="shared" si="97"/>
        <v>7661</v>
      </c>
      <c r="AA65" s="609">
        <f t="shared" si="97"/>
        <v>7661</v>
      </c>
      <c r="AB65" s="609">
        <f t="shared" si="97"/>
        <v>7661</v>
      </c>
      <c r="AC65" s="609">
        <f t="shared" si="97"/>
        <v>7661</v>
      </c>
      <c r="AD65" s="609">
        <f t="shared" si="97"/>
        <v>7661</v>
      </c>
      <c r="AE65" s="609">
        <f t="shared" si="97"/>
        <v>7661</v>
      </c>
      <c r="AF65" s="609">
        <f t="shared" si="97"/>
        <v>7661</v>
      </c>
      <c r="AG65" s="609">
        <f t="shared" si="97"/>
        <v>7661</v>
      </c>
      <c r="AH65" s="609">
        <f t="shared" si="97"/>
        <v>7661</v>
      </c>
      <c r="AI65" s="609">
        <f t="shared" si="97"/>
        <v>7661</v>
      </c>
      <c r="AJ65" s="609">
        <f t="shared" si="97"/>
        <v>7661</v>
      </c>
      <c r="AK65" s="609">
        <f t="shared" si="97"/>
        <v>7661</v>
      </c>
      <c r="AL65" s="609">
        <f t="shared" si="97"/>
        <v>7661</v>
      </c>
      <c r="AM65" s="609">
        <f t="shared" si="97"/>
        <v>7661</v>
      </c>
      <c r="AN65" s="609">
        <f t="shared" si="97"/>
        <v>7661</v>
      </c>
      <c r="AO65" s="609">
        <f t="shared" si="97"/>
        <v>7661</v>
      </c>
      <c r="AP65" s="609">
        <f t="shared" si="97"/>
        <v>7661</v>
      </c>
      <c r="AQ65" s="609">
        <f t="shared" si="97"/>
        <v>7661</v>
      </c>
      <c r="AR65" s="609">
        <f t="shared" si="97"/>
        <v>7661</v>
      </c>
      <c r="AS65" s="609">
        <f t="shared" si="97"/>
        <v>7661</v>
      </c>
      <c r="AT65" s="609">
        <f t="shared" si="97"/>
        <v>7661</v>
      </c>
      <c r="AU65" s="609">
        <f t="shared" si="97"/>
        <v>7661</v>
      </c>
      <c r="AV65" s="609">
        <f t="shared" si="97"/>
        <v>7661</v>
      </c>
      <c r="AW65" s="609">
        <f t="shared" si="97"/>
        <v>7661</v>
      </c>
      <c r="AX65" s="609">
        <f t="shared" si="97"/>
        <v>7661</v>
      </c>
      <c r="AY65" s="609">
        <f t="shared" si="97"/>
        <v>7661</v>
      </c>
      <c r="AZ65" s="609">
        <f t="shared" si="97"/>
        <v>7661</v>
      </c>
      <c r="BA65" s="609">
        <f t="shared" si="97"/>
        <v>7661</v>
      </c>
      <c r="BB65" s="609">
        <f t="shared" si="97"/>
        <v>7661</v>
      </c>
    </row>
    <row r="66" spans="2:54" s="437" customFormat="1" x14ac:dyDescent="0.3">
      <c r="B66" s="675" t="s">
        <v>622</v>
      </c>
      <c r="C66" s="609">
        <f t="shared" si="95"/>
        <v>0</v>
      </c>
      <c r="D66" s="609">
        <f t="shared" si="96"/>
        <v>0</v>
      </c>
      <c r="E66" s="609">
        <f t="shared" si="97"/>
        <v>0</v>
      </c>
      <c r="F66" s="609">
        <f t="shared" si="97"/>
        <v>0</v>
      </c>
      <c r="G66" s="609">
        <f t="shared" si="97"/>
        <v>0</v>
      </c>
      <c r="H66" s="609">
        <f t="shared" si="97"/>
        <v>0</v>
      </c>
      <c r="I66" s="609">
        <f t="shared" si="97"/>
        <v>0</v>
      </c>
      <c r="J66" s="609">
        <f t="shared" si="97"/>
        <v>0</v>
      </c>
      <c r="K66" s="609">
        <f t="shared" si="97"/>
        <v>0</v>
      </c>
      <c r="L66" s="609">
        <f t="shared" si="97"/>
        <v>0</v>
      </c>
      <c r="M66" s="609">
        <f t="shared" si="97"/>
        <v>0</v>
      </c>
      <c r="N66" s="609">
        <f t="shared" si="97"/>
        <v>0</v>
      </c>
      <c r="O66" s="609">
        <f t="shared" si="97"/>
        <v>0</v>
      </c>
      <c r="P66" s="609">
        <f t="shared" si="97"/>
        <v>0</v>
      </c>
      <c r="Q66" s="609">
        <f t="shared" si="97"/>
        <v>0</v>
      </c>
      <c r="R66" s="609">
        <f t="shared" si="97"/>
        <v>0</v>
      </c>
      <c r="S66" s="609">
        <f t="shared" si="97"/>
        <v>0</v>
      </c>
      <c r="T66" s="609">
        <f t="shared" si="97"/>
        <v>0</v>
      </c>
      <c r="U66" s="609">
        <f t="shared" si="97"/>
        <v>0</v>
      </c>
      <c r="V66" s="609">
        <f t="shared" si="97"/>
        <v>0</v>
      </c>
      <c r="W66" s="609">
        <f t="shared" si="97"/>
        <v>0</v>
      </c>
      <c r="X66" s="609">
        <f t="shared" si="97"/>
        <v>0</v>
      </c>
      <c r="Y66" s="609">
        <f t="shared" si="97"/>
        <v>0</v>
      </c>
      <c r="Z66" s="609">
        <f t="shared" si="97"/>
        <v>0</v>
      </c>
      <c r="AA66" s="609">
        <f t="shared" si="97"/>
        <v>0</v>
      </c>
      <c r="AB66" s="609">
        <f t="shared" si="97"/>
        <v>0</v>
      </c>
      <c r="AC66" s="609">
        <f t="shared" si="97"/>
        <v>0</v>
      </c>
      <c r="AD66" s="609">
        <f t="shared" si="97"/>
        <v>0</v>
      </c>
      <c r="AE66" s="609">
        <f t="shared" si="97"/>
        <v>0</v>
      </c>
      <c r="AF66" s="609">
        <f t="shared" si="97"/>
        <v>0</v>
      </c>
      <c r="AG66" s="609">
        <f t="shared" si="97"/>
        <v>0</v>
      </c>
      <c r="AH66" s="609">
        <f t="shared" si="97"/>
        <v>0</v>
      </c>
      <c r="AI66" s="609">
        <f t="shared" si="97"/>
        <v>0</v>
      </c>
      <c r="AJ66" s="609">
        <f t="shared" si="97"/>
        <v>0</v>
      </c>
      <c r="AK66" s="609">
        <f t="shared" si="97"/>
        <v>0</v>
      </c>
      <c r="AL66" s="609">
        <f t="shared" si="97"/>
        <v>0</v>
      </c>
      <c r="AM66" s="609">
        <f t="shared" si="97"/>
        <v>0</v>
      </c>
      <c r="AN66" s="609">
        <f t="shared" si="97"/>
        <v>0</v>
      </c>
      <c r="AO66" s="609">
        <f t="shared" si="97"/>
        <v>0</v>
      </c>
      <c r="AP66" s="609">
        <f t="shared" si="97"/>
        <v>0</v>
      </c>
      <c r="AQ66" s="609">
        <f t="shared" si="97"/>
        <v>0</v>
      </c>
      <c r="AR66" s="609">
        <f t="shared" si="97"/>
        <v>0</v>
      </c>
      <c r="AS66" s="609">
        <f t="shared" si="97"/>
        <v>0</v>
      </c>
      <c r="AT66" s="609">
        <f t="shared" si="97"/>
        <v>0</v>
      </c>
      <c r="AU66" s="609">
        <f t="shared" si="97"/>
        <v>0</v>
      </c>
      <c r="AV66" s="609">
        <f t="shared" si="97"/>
        <v>0</v>
      </c>
      <c r="AW66" s="609">
        <f t="shared" si="97"/>
        <v>0</v>
      </c>
      <c r="AX66" s="609">
        <f t="shared" si="97"/>
        <v>0</v>
      </c>
      <c r="AY66" s="609">
        <f t="shared" si="97"/>
        <v>0</v>
      </c>
      <c r="AZ66" s="609">
        <f t="shared" si="97"/>
        <v>0</v>
      </c>
      <c r="BA66" s="609">
        <f t="shared" si="97"/>
        <v>0</v>
      </c>
      <c r="BB66" s="609">
        <f t="shared" si="97"/>
        <v>0</v>
      </c>
    </row>
    <row r="67" spans="2:54" s="437" customFormat="1" x14ac:dyDescent="0.3">
      <c r="B67" s="665"/>
      <c r="C67" s="611"/>
      <c r="D67" s="611"/>
      <c r="E67" s="611"/>
      <c r="F67" s="611"/>
      <c r="G67" s="611"/>
      <c r="H67" s="611"/>
      <c r="I67" s="611"/>
      <c r="J67" s="611"/>
      <c r="K67" s="611"/>
      <c r="L67" s="611"/>
      <c r="M67" s="611"/>
      <c r="N67" s="611"/>
      <c r="O67" s="611"/>
      <c r="P67" s="611"/>
      <c r="Q67" s="611"/>
      <c r="R67" s="611"/>
      <c r="S67" s="611"/>
      <c r="T67" s="611"/>
      <c r="U67" s="611"/>
      <c r="V67" s="611"/>
      <c r="W67" s="611"/>
      <c r="X67" s="611"/>
      <c r="Y67" s="611"/>
      <c r="Z67" s="611"/>
      <c r="AA67" s="611"/>
      <c r="AB67" s="611"/>
      <c r="AC67" s="611"/>
      <c r="AD67" s="611"/>
      <c r="AE67" s="611"/>
      <c r="AF67" s="611"/>
      <c r="AG67" s="611"/>
      <c r="AH67" s="611"/>
      <c r="AI67" s="611"/>
      <c r="AJ67" s="611"/>
      <c r="AK67" s="611"/>
      <c r="AL67" s="611"/>
      <c r="AM67" s="611"/>
      <c r="AN67" s="611"/>
      <c r="AO67" s="611"/>
      <c r="AP67" s="611"/>
      <c r="AQ67" s="611"/>
      <c r="AR67" s="611"/>
      <c r="AS67" s="611"/>
      <c r="AT67" s="611"/>
      <c r="AU67" s="611"/>
      <c r="AV67" s="611"/>
      <c r="AW67" s="611"/>
      <c r="AX67" s="611"/>
      <c r="AY67" s="611"/>
      <c r="AZ67" s="611"/>
      <c r="BA67" s="611"/>
      <c r="BB67" s="676"/>
    </row>
    <row r="68" spans="2:54" s="437" customFormat="1" x14ac:dyDescent="0.3">
      <c r="B68" s="665"/>
      <c r="C68" s="611"/>
      <c r="D68" s="611"/>
      <c r="E68" s="611"/>
      <c r="F68" s="611"/>
      <c r="G68" s="611"/>
      <c r="H68" s="611"/>
      <c r="I68" s="611"/>
      <c r="J68" s="611"/>
      <c r="K68" s="611"/>
      <c r="L68" s="611"/>
      <c r="M68" s="611"/>
      <c r="N68" s="611"/>
      <c r="O68" s="611"/>
      <c r="P68" s="611"/>
      <c r="Q68" s="611"/>
      <c r="R68" s="611"/>
      <c r="S68" s="611"/>
      <c r="T68" s="611"/>
      <c r="U68" s="611"/>
      <c r="V68" s="611"/>
      <c r="W68" s="611"/>
      <c r="X68" s="611"/>
      <c r="Y68" s="611"/>
      <c r="Z68" s="611"/>
      <c r="AA68" s="611"/>
      <c r="AB68" s="611"/>
      <c r="AC68" s="611"/>
      <c r="AD68" s="611"/>
      <c r="AE68" s="611"/>
      <c r="AF68" s="611"/>
      <c r="AG68" s="611"/>
      <c r="AH68" s="611"/>
      <c r="AI68" s="611"/>
      <c r="AJ68" s="611"/>
      <c r="AK68" s="611"/>
      <c r="AL68" s="611"/>
      <c r="AM68" s="611"/>
      <c r="AN68" s="611"/>
      <c r="AO68" s="611"/>
      <c r="AP68" s="611"/>
      <c r="AQ68" s="611"/>
      <c r="AR68" s="611"/>
      <c r="AS68" s="611"/>
      <c r="AT68" s="611"/>
      <c r="AU68" s="611"/>
      <c r="AV68" s="611"/>
      <c r="AW68" s="611"/>
      <c r="AX68" s="611"/>
      <c r="AY68" s="611"/>
      <c r="AZ68" s="611"/>
      <c r="BA68" s="611"/>
      <c r="BB68" s="676"/>
    </row>
    <row r="69" spans="2:54" s="437" customFormat="1" x14ac:dyDescent="0.3">
      <c r="B69" s="665"/>
      <c r="C69" s="611"/>
      <c r="D69" s="611"/>
      <c r="E69" s="611"/>
      <c r="F69" s="611"/>
      <c r="G69" s="611"/>
      <c r="H69" s="611"/>
      <c r="I69" s="611"/>
      <c r="J69" s="611"/>
      <c r="K69" s="611"/>
      <c r="L69" s="611"/>
      <c r="M69" s="611"/>
      <c r="N69" s="611"/>
      <c r="O69" s="611"/>
      <c r="P69" s="611"/>
      <c r="Q69" s="611"/>
      <c r="R69" s="611"/>
      <c r="S69" s="611"/>
      <c r="T69" s="611"/>
      <c r="U69" s="611"/>
      <c r="V69" s="611"/>
      <c r="W69" s="611"/>
      <c r="X69" s="611"/>
      <c r="Y69" s="611"/>
      <c r="Z69" s="611"/>
      <c r="AA69" s="611"/>
      <c r="AB69" s="611"/>
      <c r="AC69" s="611"/>
      <c r="AD69" s="611"/>
      <c r="AE69" s="611"/>
      <c r="AF69" s="611"/>
      <c r="AG69" s="611"/>
      <c r="AH69" s="611"/>
      <c r="AI69" s="611"/>
      <c r="AJ69" s="611"/>
      <c r="AK69" s="611"/>
      <c r="AL69" s="611"/>
      <c r="AM69" s="611"/>
      <c r="AN69" s="611"/>
      <c r="AO69" s="611"/>
      <c r="AP69" s="611"/>
      <c r="AQ69" s="611"/>
      <c r="AR69" s="611"/>
      <c r="AS69" s="611"/>
      <c r="AT69" s="611"/>
      <c r="AU69" s="611"/>
      <c r="AV69" s="611"/>
      <c r="AW69" s="611"/>
      <c r="AX69" s="611"/>
      <c r="AY69" s="611"/>
      <c r="AZ69" s="611"/>
      <c r="BA69" s="611"/>
      <c r="BB69" s="676"/>
    </row>
    <row r="70" spans="2:54" s="437" customFormat="1" x14ac:dyDescent="0.3">
      <c r="B70" s="675" t="s">
        <v>644</v>
      </c>
      <c r="C70" s="608">
        <f>SUMIFS(Data!$S$3:$S$348,Data!$N$3:$N$348,C$1,Data!$K$3:$K$348,'Reporting 2022'!$B15)</f>
        <v>0</v>
      </c>
      <c r="D70" s="608">
        <f>SUMIFS(Data!$S$3:$S$348,Data!$N$3:$N$348,D$1,Data!$K$3:$K$348,'Reporting 2022'!$B15)</f>
        <v>0</v>
      </c>
      <c r="E70" s="608">
        <f>SUMIFS(Data!$S$3:$S$348,Data!$N$3:$N$348,E$1,Data!$K$3:$K$348,'Reporting 2022'!$B15)</f>
        <v>0</v>
      </c>
      <c r="F70" s="608">
        <f>SUMIFS(Data!$S$3:$S$348,Data!$N$3:$N$348,F$1,Data!$K$3:$K$348,'Reporting 2022'!$B15)</f>
        <v>0</v>
      </c>
      <c r="G70" s="608">
        <f>SUMIFS(Data!$S$3:$S$348,Data!$N$3:$N$348,G$1,Data!$K$3:$K$348,'Reporting 2022'!$B15)</f>
        <v>0</v>
      </c>
      <c r="H70" s="608">
        <f>SUMIFS(Data!$S$3:$S$348,Data!$N$3:$N$348,H$1,Data!$K$3:$K$348,'Reporting 2022'!$B15)</f>
        <v>0</v>
      </c>
      <c r="I70" s="608">
        <f>SUMIFS(Data!$S$3:$S$348,Data!$N$3:$N$348,I$1,Data!$K$3:$K$348,'Reporting 2022'!$B15)</f>
        <v>0</v>
      </c>
      <c r="J70" s="608">
        <f>SUMIFS(Data!$S$3:$S$348,Data!$N$3:$N$348,J$1,Data!$K$3:$K$348,'Reporting 2022'!$B15)</f>
        <v>8579</v>
      </c>
      <c r="K70" s="608">
        <f>SUMIFS(Data!$S$3:$S$348,Data!$N$3:$N$348,K$1,Data!$K$3:$K$348,'Reporting 2022'!$B15)</f>
        <v>0</v>
      </c>
      <c r="L70" s="608">
        <f>SUMIFS(Data!$S$3:$S$348,Data!$N$3:$N$348,L$1,Data!$K$3:$K$348,'Reporting 2022'!$B15)</f>
        <v>0</v>
      </c>
      <c r="M70" s="608">
        <f>SUMIFS(Data!$S$3:$S$348,Data!$N$3:$N$348,M$1,Data!$K$3:$K$348,'Reporting 2022'!$B15)</f>
        <v>0</v>
      </c>
      <c r="N70" s="608">
        <f>SUMIFS(Data!$S$3:$S$348,Data!$N$3:$N$348,N$1,Data!$K$3:$K$348,'Reporting 2022'!$B15)</f>
        <v>0</v>
      </c>
      <c r="O70" s="608">
        <f>SUMIFS(Data!$S$3:$S$348,Data!$N$3:$N$348,O$1,Data!$K$3:$K$348,'Reporting 2022'!$B15)</f>
        <v>0</v>
      </c>
      <c r="P70" s="608">
        <f>SUMIFS(Data!$S$3:$S$348,Data!$N$3:$N$348,P$1,Data!$K$3:$K$348,'Reporting 2022'!$B15)</f>
        <v>0</v>
      </c>
      <c r="Q70" s="608">
        <f>SUMIFS(Data!$S$3:$S$348,Data!$N$3:$N$348,Q$1,Data!$K$3:$K$348,'Reporting 2022'!$B15)</f>
        <v>0</v>
      </c>
      <c r="R70" s="608">
        <f>SUMIFS(Data!$S$3:$S$348,Data!$N$3:$N$348,R$1,Data!$K$3:$K$348,'Reporting 2022'!$B15)</f>
        <v>0</v>
      </c>
      <c r="S70" s="608">
        <f>SUMIFS(Data!$S$3:$S$348,Data!$N$3:$N$348,S$1,Data!$K$3:$K$348,'Reporting 2022'!$B15)</f>
        <v>0</v>
      </c>
      <c r="T70" s="608">
        <f>SUMIFS(Data!$S$3:$S$348,Data!$N$3:$N$348,T$1,Data!$K$3:$K$348,'Reporting 2022'!$B15)</f>
        <v>0</v>
      </c>
      <c r="U70" s="608">
        <f>SUMIFS(Data!$S$3:$S$348,Data!$N$3:$N$348,U$1,Data!$K$3:$K$348,'Reporting 2022'!$B15)</f>
        <v>0</v>
      </c>
      <c r="V70" s="608">
        <f>SUMIFS(Data!$S$3:$S$348,Data!$N$3:$N$348,V$1,Data!$K$3:$K$348,'Reporting 2022'!$B15)</f>
        <v>0</v>
      </c>
      <c r="W70" s="608">
        <f>SUMIFS(Data!$S$3:$S$348,Data!$N$3:$N$348,W$1,Data!$K$3:$K$348,'Reporting 2022'!$B15)</f>
        <v>0</v>
      </c>
      <c r="X70" s="608">
        <f>SUMIFS(Data!$S$3:$S$348,Data!$N$3:$N$348,X$1,Data!$K$3:$K$348,'Reporting 2022'!$B15)</f>
        <v>0</v>
      </c>
      <c r="Y70" s="608">
        <f>SUMIFS(Data!$S$3:$S$348,Data!$N$3:$N$348,Y$1,Data!$K$3:$K$348,'Reporting 2022'!$B15)</f>
        <v>0</v>
      </c>
      <c r="Z70" s="608">
        <f>SUMIFS(Data!$S$3:$S$348,Data!$N$3:$N$348,Z$1,Data!$K$3:$K$348,'Reporting 2022'!$B15)</f>
        <v>0</v>
      </c>
      <c r="AA70" s="608">
        <f>SUMIFS(Data!$S$3:$S$348,Data!$N$3:$N$348,AA$1,Data!$K$3:$K$348,'Reporting 2022'!$B15)</f>
        <v>0</v>
      </c>
      <c r="AB70" s="608">
        <f>SUMIFS(Data!$S$3:$S$348,Data!$N$3:$N$348,AB$1,Data!$K$3:$K$348,'Reporting 2022'!$B15)</f>
        <v>0</v>
      </c>
      <c r="AC70" s="608">
        <f>SUMIFS(Data!$S$3:$S$348,Data!$N$3:$N$348,AC$1,Data!$K$3:$K$348,'Reporting 2022'!$B15)</f>
        <v>0</v>
      </c>
      <c r="AD70" s="608">
        <f>SUMIFS(Data!$S$3:$S$348,Data!$N$3:$N$348,AD$1,Data!$K$3:$K$348,'Reporting 2022'!$B15)</f>
        <v>0</v>
      </c>
      <c r="AE70" s="608">
        <f>SUMIFS(Data!$S$3:$S$348,Data!$N$3:$N$348,AE$1,Data!$K$3:$K$348,'Reporting 2022'!$B15)</f>
        <v>0</v>
      </c>
      <c r="AF70" s="608">
        <f>SUMIFS(Data!$S$3:$S$348,Data!$N$3:$N$348,AF$1,Data!$K$3:$K$348,'Reporting 2022'!$B15)</f>
        <v>0</v>
      </c>
      <c r="AG70" s="608">
        <f>SUMIFS(Data!$S$3:$S$348,Data!$N$3:$N$348,AG$1,Data!$K$3:$K$348,'Reporting 2022'!$B15)</f>
        <v>0</v>
      </c>
      <c r="AH70" s="608">
        <f>SUMIFS(Data!$S$3:$S$348,Data!$N$3:$N$348,AH$1,Data!$K$3:$K$348,'Reporting 2022'!$B15)</f>
        <v>0</v>
      </c>
      <c r="AI70" s="608">
        <f>SUMIFS(Data!$S$3:$S$348,Data!$N$3:$N$348,AI$1,Data!$K$3:$K$348,'Reporting 2022'!$B15)</f>
        <v>0</v>
      </c>
      <c r="AJ70" s="608">
        <f>SUMIFS(Data!$S$3:$S$348,Data!$N$3:$N$348,AJ$1,Data!$K$3:$K$348,'Reporting 2022'!$B15)</f>
        <v>0</v>
      </c>
      <c r="AK70" s="608">
        <f>SUMIFS(Data!$S$3:$S$348,Data!$N$3:$N$348,AK$1,Data!$K$3:$K$348,'Reporting 2022'!$B15)</f>
        <v>0</v>
      </c>
      <c r="AL70" s="608">
        <f>SUMIFS(Data!$S$3:$S$348,Data!$N$3:$N$348,AL$1,Data!$K$3:$K$348,'Reporting 2022'!$B15)</f>
        <v>0</v>
      </c>
      <c r="AM70" s="608">
        <f>SUMIFS(Data!$S$3:$S$348,Data!$N$3:$N$348,AM$1,Data!$K$3:$K$348,'Reporting 2022'!$B15)</f>
        <v>0</v>
      </c>
      <c r="AN70" s="608">
        <f>SUMIFS(Data!$S$3:$S$348,Data!$N$3:$N$348,AN$1,Data!$K$3:$K$348,'Reporting 2022'!$B15)</f>
        <v>0</v>
      </c>
      <c r="AO70" s="608">
        <f>SUMIFS(Data!$S$3:$S$348,Data!$N$3:$N$348,AO$1,Data!$K$3:$K$348,'Reporting 2022'!$B15)</f>
        <v>0</v>
      </c>
      <c r="AP70" s="608">
        <f>SUMIFS(Data!$S$3:$S$348,Data!$N$3:$N$348,AP$1,Data!$K$3:$K$348,'Reporting 2022'!$B15)</f>
        <v>0</v>
      </c>
      <c r="AQ70" s="608">
        <f>SUMIFS(Data!$S$3:$S$348,Data!$N$3:$N$348,AQ$1,Data!$K$3:$K$348,'Reporting 2022'!$B15)</f>
        <v>0</v>
      </c>
      <c r="AR70" s="608">
        <f>SUMIFS(Data!$S$3:$S$348,Data!$N$3:$N$348,AR$1,Data!$K$3:$K$348,'Reporting 2022'!$B15)</f>
        <v>0</v>
      </c>
      <c r="AS70" s="608">
        <f>SUMIFS(Data!$S$3:$S$348,Data!$N$3:$N$348,AS$1,Data!$K$3:$K$348,'Reporting 2022'!$B15)</f>
        <v>0</v>
      </c>
      <c r="AT70" s="608">
        <f>SUMIFS(Data!$S$3:$S$348,Data!$N$3:$N$348,AT$1,Data!$K$3:$K$348,'Reporting 2022'!$B15)</f>
        <v>0</v>
      </c>
      <c r="AU70" s="608">
        <f>SUMIFS(Data!$S$3:$S$348,Data!$N$3:$N$348,AU$1,Data!$K$3:$K$348,'Reporting 2022'!$B15)</f>
        <v>0</v>
      </c>
      <c r="AV70" s="608">
        <f>SUMIFS(Data!$S$3:$S$348,Data!$N$3:$N$348,AV$1,Data!$K$3:$K$348,'Reporting 2022'!$B15)</f>
        <v>0</v>
      </c>
      <c r="AW70" s="608">
        <f>SUMIFS(Data!$S$3:$S$348,Data!$N$3:$N$348,AW$1,Data!$K$3:$K$348,'Reporting 2022'!$B15)</f>
        <v>0</v>
      </c>
      <c r="AX70" s="608">
        <f>SUMIFS(Data!$S$3:$S$348,Data!$N$3:$N$348,AX$1,Data!$K$3:$K$348,'Reporting 2022'!$B15)</f>
        <v>0</v>
      </c>
      <c r="AY70" s="608">
        <f>SUMIFS(Data!$S$3:$S$348,Data!$N$3:$N$348,AY$1,Data!$K$3:$K$348,'Reporting 2022'!$B15)</f>
        <v>0</v>
      </c>
      <c r="AZ70" s="608">
        <f>SUMIFS(Data!$S$3:$S$348,Data!$N$3:$N$348,AZ$1,Data!$K$3:$K$348,'Reporting 2022'!$B15)</f>
        <v>0</v>
      </c>
      <c r="BA70" s="608">
        <f>SUMIFS(Data!$S$3:$S$348,Data!$N$3:$N$348,BA$1,Data!$K$3:$K$348,'Reporting 2022'!$B15)</f>
        <v>0</v>
      </c>
      <c r="BB70" s="608">
        <f>SUMIFS(Data!$S$3:$S$348,Data!$N$3:$N$348,BB$1,Data!$K$3:$K$348,'Reporting 2022'!$B15)</f>
        <v>0</v>
      </c>
    </row>
    <row r="71" spans="2:54" s="437" customFormat="1" x14ac:dyDescent="0.3">
      <c r="B71" s="675" t="s">
        <v>643</v>
      </c>
      <c r="C71" s="608">
        <f>SUMIFS(Data!$S$3:$S$348,Data!$N$3:$N$348,C$1,Data!$K$3:$K$348,'Reporting 2022'!$B16)</f>
        <v>0</v>
      </c>
      <c r="D71" s="608">
        <f>SUMIFS(Data!$S$3:$S$348,Data!$N$3:$N$348,D$1,Data!$K$3:$K$348,'Reporting 2022'!$B16)</f>
        <v>0</v>
      </c>
      <c r="E71" s="608">
        <f>SUMIFS(Data!$S$3:$S$348,Data!$N$3:$N$348,E$1,Data!$K$3:$K$348,'Reporting 2022'!$B16)</f>
        <v>0</v>
      </c>
      <c r="F71" s="608">
        <f>SUMIFS(Data!$S$3:$S$348,Data!$N$3:$N$348,F$1,Data!$K$3:$K$348,'Reporting 2022'!$B16)</f>
        <v>0</v>
      </c>
      <c r="G71" s="608">
        <f>SUMIFS(Data!$S$3:$S$348,Data!$N$3:$N$348,G$1,Data!$K$3:$K$348,'Reporting 2022'!$B16)</f>
        <v>0</v>
      </c>
      <c r="H71" s="608">
        <f>SUMIFS(Data!$S$3:$S$348,Data!$N$3:$N$348,H$1,Data!$K$3:$K$348,'Reporting 2022'!$B16)</f>
        <v>0</v>
      </c>
      <c r="I71" s="608">
        <f>SUMIFS(Data!$S$3:$S$348,Data!$N$3:$N$348,I$1,Data!$K$3:$K$348,'Reporting 2022'!$B16)</f>
        <v>0</v>
      </c>
      <c r="J71" s="608">
        <f>SUMIFS(Data!$S$3:$S$348,Data!$N$3:$N$348,J$1,Data!$K$3:$K$348,'Reporting 2022'!$B16)</f>
        <v>0</v>
      </c>
      <c r="K71" s="608">
        <f>SUMIFS(Data!$S$3:$S$348,Data!$N$3:$N$348,K$1,Data!$K$3:$K$348,'Reporting 2022'!$B16)</f>
        <v>0</v>
      </c>
      <c r="L71" s="608">
        <f>SUMIFS(Data!$S$3:$S$348,Data!$N$3:$N$348,L$1,Data!$K$3:$K$348,'Reporting 2022'!$B16)</f>
        <v>0</v>
      </c>
      <c r="M71" s="608">
        <f>SUMIFS(Data!$S$3:$S$348,Data!$N$3:$N$348,M$1,Data!$K$3:$K$348,'Reporting 2022'!$B16)</f>
        <v>0</v>
      </c>
      <c r="N71" s="608">
        <f>SUMIFS(Data!$S$3:$S$348,Data!$N$3:$N$348,N$1,Data!$K$3:$K$348,'Reporting 2022'!$B16)</f>
        <v>0</v>
      </c>
      <c r="O71" s="608">
        <f>SUMIFS(Data!$S$3:$S$348,Data!$N$3:$N$348,O$1,Data!$K$3:$K$348,'Reporting 2022'!$B16)</f>
        <v>0</v>
      </c>
      <c r="P71" s="608">
        <f>SUMIFS(Data!$S$3:$S$348,Data!$N$3:$N$348,P$1,Data!$K$3:$K$348,'Reporting 2022'!$B16)</f>
        <v>0</v>
      </c>
      <c r="Q71" s="608">
        <f>SUMIFS(Data!$S$3:$S$348,Data!$N$3:$N$348,Q$1,Data!$K$3:$K$348,'Reporting 2022'!$B16)</f>
        <v>0</v>
      </c>
      <c r="R71" s="608">
        <f>SUMIFS(Data!$S$3:$S$348,Data!$N$3:$N$348,R$1,Data!$K$3:$K$348,'Reporting 2022'!$B16)</f>
        <v>0</v>
      </c>
      <c r="S71" s="608">
        <f>SUMIFS(Data!$S$3:$S$348,Data!$N$3:$N$348,S$1,Data!$K$3:$K$348,'Reporting 2022'!$B16)</f>
        <v>0</v>
      </c>
      <c r="T71" s="608">
        <f>SUMIFS(Data!$S$3:$S$348,Data!$N$3:$N$348,T$1,Data!$K$3:$K$348,'Reporting 2022'!$B16)</f>
        <v>0</v>
      </c>
      <c r="U71" s="608">
        <f>SUMIFS(Data!$S$3:$S$348,Data!$N$3:$N$348,U$1,Data!$K$3:$K$348,'Reporting 2022'!$B16)</f>
        <v>0</v>
      </c>
      <c r="V71" s="608">
        <f>SUMIFS(Data!$S$3:$S$348,Data!$N$3:$N$348,V$1,Data!$K$3:$K$348,'Reporting 2022'!$B16)</f>
        <v>0</v>
      </c>
      <c r="W71" s="608">
        <f>SUMIFS(Data!$S$3:$S$348,Data!$N$3:$N$348,W$1,Data!$K$3:$K$348,'Reporting 2022'!$B16)</f>
        <v>0</v>
      </c>
      <c r="X71" s="608">
        <f>SUMIFS(Data!$S$3:$S$348,Data!$N$3:$N$348,X$1,Data!$K$3:$K$348,'Reporting 2022'!$B16)</f>
        <v>0</v>
      </c>
      <c r="Y71" s="608">
        <f>SUMIFS(Data!$S$3:$S$348,Data!$N$3:$N$348,Y$1,Data!$K$3:$K$348,'Reporting 2022'!$B16)</f>
        <v>0</v>
      </c>
      <c r="Z71" s="608">
        <f>SUMIFS(Data!$S$3:$S$348,Data!$N$3:$N$348,Z$1,Data!$K$3:$K$348,'Reporting 2022'!$B16)</f>
        <v>0</v>
      </c>
      <c r="AA71" s="608">
        <f>SUMIFS(Data!$S$3:$S$348,Data!$N$3:$N$348,AA$1,Data!$K$3:$K$348,'Reporting 2022'!$B16)</f>
        <v>0</v>
      </c>
      <c r="AB71" s="608">
        <f>SUMIFS(Data!$S$3:$S$348,Data!$N$3:$N$348,AB$1,Data!$K$3:$K$348,'Reporting 2022'!$B16)</f>
        <v>0</v>
      </c>
      <c r="AC71" s="608">
        <f>SUMIFS(Data!$S$3:$S$348,Data!$N$3:$N$348,AC$1,Data!$K$3:$K$348,'Reporting 2022'!$B16)</f>
        <v>0</v>
      </c>
      <c r="AD71" s="608">
        <f>SUMIFS(Data!$S$3:$S$348,Data!$N$3:$N$348,AD$1,Data!$K$3:$K$348,'Reporting 2022'!$B16)</f>
        <v>0</v>
      </c>
      <c r="AE71" s="608">
        <f>SUMIFS(Data!$S$3:$S$348,Data!$N$3:$N$348,AE$1,Data!$K$3:$K$348,'Reporting 2022'!$B16)</f>
        <v>0</v>
      </c>
      <c r="AF71" s="608">
        <f>SUMIFS(Data!$S$3:$S$348,Data!$N$3:$N$348,AF$1,Data!$K$3:$K$348,'Reporting 2022'!$B16)</f>
        <v>0</v>
      </c>
      <c r="AG71" s="608">
        <f>SUMIFS(Data!$S$3:$S$348,Data!$N$3:$N$348,AG$1,Data!$K$3:$K$348,'Reporting 2022'!$B16)</f>
        <v>0</v>
      </c>
      <c r="AH71" s="608">
        <f>SUMIFS(Data!$S$3:$S$348,Data!$N$3:$N$348,AH$1,Data!$K$3:$K$348,'Reporting 2022'!$B16)</f>
        <v>0</v>
      </c>
      <c r="AI71" s="608">
        <f>SUMIFS(Data!$S$3:$S$348,Data!$N$3:$N$348,AI$1,Data!$K$3:$K$348,'Reporting 2022'!$B16)</f>
        <v>0</v>
      </c>
      <c r="AJ71" s="608">
        <f>SUMIFS(Data!$S$3:$S$348,Data!$N$3:$N$348,AJ$1,Data!$K$3:$K$348,'Reporting 2022'!$B16)</f>
        <v>0</v>
      </c>
      <c r="AK71" s="608">
        <f>SUMIFS(Data!$S$3:$S$348,Data!$N$3:$N$348,AK$1,Data!$K$3:$K$348,'Reporting 2022'!$B16)</f>
        <v>0</v>
      </c>
      <c r="AL71" s="608">
        <f>SUMIFS(Data!$S$3:$S$348,Data!$N$3:$N$348,AL$1,Data!$K$3:$K$348,'Reporting 2022'!$B16)</f>
        <v>0</v>
      </c>
      <c r="AM71" s="608">
        <f>SUMIFS(Data!$S$3:$S$348,Data!$N$3:$N$348,AM$1,Data!$K$3:$K$348,'Reporting 2022'!$B16)</f>
        <v>0</v>
      </c>
      <c r="AN71" s="608">
        <f>SUMIFS(Data!$S$3:$S$348,Data!$N$3:$N$348,AN$1,Data!$K$3:$K$348,'Reporting 2022'!$B16)</f>
        <v>0</v>
      </c>
      <c r="AO71" s="608">
        <f>SUMIFS(Data!$S$3:$S$348,Data!$N$3:$N$348,AO$1,Data!$K$3:$K$348,'Reporting 2022'!$B16)</f>
        <v>0</v>
      </c>
      <c r="AP71" s="608">
        <f>SUMIFS(Data!$S$3:$S$348,Data!$N$3:$N$348,AP$1,Data!$K$3:$K$348,'Reporting 2022'!$B16)</f>
        <v>0</v>
      </c>
      <c r="AQ71" s="608">
        <f>SUMIFS(Data!$S$3:$S$348,Data!$N$3:$N$348,AQ$1,Data!$K$3:$K$348,'Reporting 2022'!$B16)</f>
        <v>0</v>
      </c>
      <c r="AR71" s="608">
        <f>SUMIFS(Data!$S$3:$S$348,Data!$N$3:$N$348,AR$1,Data!$K$3:$K$348,'Reporting 2022'!$B16)</f>
        <v>0</v>
      </c>
      <c r="AS71" s="608">
        <f>SUMIFS(Data!$S$3:$S$348,Data!$N$3:$N$348,AS$1,Data!$K$3:$K$348,'Reporting 2022'!$B16)</f>
        <v>0</v>
      </c>
      <c r="AT71" s="608">
        <f>SUMIFS(Data!$S$3:$S$348,Data!$N$3:$N$348,AT$1,Data!$K$3:$K$348,'Reporting 2022'!$B16)</f>
        <v>0</v>
      </c>
      <c r="AU71" s="608">
        <f>SUMIFS(Data!$S$3:$S$348,Data!$N$3:$N$348,AU$1,Data!$K$3:$K$348,'Reporting 2022'!$B16)</f>
        <v>0</v>
      </c>
      <c r="AV71" s="608">
        <f>SUMIFS(Data!$S$3:$S$348,Data!$N$3:$N$348,AV$1,Data!$K$3:$K$348,'Reporting 2022'!$B16)</f>
        <v>0</v>
      </c>
      <c r="AW71" s="608">
        <f>SUMIFS(Data!$S$3:$S$348,Data!$N$3:$N$348,AW$1,Data!$K$3:$K$348,'Reporting 2022'!$B16)</f>
        <v>0</v>
      </c>
      <c r="AX71" s="608">
        <f>SUMIFS(Data!$S$3:$S$348,Data!$N$3:$N$348,AX$1,Data!$K$3:$K$348,'Reporting 2022'!$B16)</f>
        <v>0</v>
      </c>
      <c r="AY71" s="608">
        <f>SUMIFS(Data!$S$3:$S$348,Data!$N$3:$N$348,AY$1,Data!$K$3:$K$348,'Reporting 2022'!$B16)</f>
        <v>0</v>
      </c>
      <c r="AZ71" s="608">
        <f>SUMIFS(Data!$S$3:$S$348,Data!$N$3:$N$348,AZ$1,Data!$K$3:$K$348,'Reporting 2022'!$B16)</f>
        <v>0</v>
      </c>
      <c r="BA71" s="608">
        <f>SUMIFS(Data!$S$3:$S$348,Data!$N$3:$N$348,BA$1,Data!$K$3:$K$348,'Reporting 2022'!$B16)</f>
        <v>0</v>
      </c>
      <c r="BB71" s="608">
        <f>SUMIFS(Data!$S$3:$S$348,Data!$N$3:$N$348,BB$1,Data!$K$3:$K$348,'Reporting 2022'!$B16)</f>
        <v>0</v>
      </c>
    </row>
    <row r="72" spans="2:54" s="437" customFormat="1" x14ac:dyDescent="0.3">
      <c r="B72" s="675" t="s">
        <v>625</v>
      </c>
      <c r="C72" s="608">
        <f>SUMIFS(Data!$S$3:$S$348,Data!$N$3:$N$348,C$1,Data!$K$3:$K$348,'Reporting 2022'!$B17)</f>
        <v>0</v>
      </c>
      <c r="D72" s="608">
        <f>SUMIFS(Data!$S$3:$S$348,Data!$N$3:$N$348,D$1,Data!$K$3:$K$348,'Reporting 2022'!$B17)</f>
        <v>0</v>
      </c>
      <c r="E72" s="608">
        <f>SUMIFS(Data!$S$3:$S$348,Data!$N$3:$N$348,E$1,Data!$K$3:$K$348,'Reporting 2022'!$B17)</f>
        <v>0</v>
      </c>
      <c r="F72" s="608">
        <f>SUMIFS(Data!$S$3:$S$348,Data!$N$3:$N$348,F$1,Data!$K$3:$K$348,'Reporting 2022'!$B17)</f>
        <v>0</v>
      </c>
      <c r="G72" s="608">
        <f>SUMIFS(Data!$S$3:$S$348,Data!$N$3:$N$348,G$1,Data!$K$3:$K$348,'Reporting 2022'!$B17)</f>
        <v>0</v>
      </c>
      <c r="H72" s="608">
        <f>SUMIFS(Data!$S$3:$S$348,Data!$N$3:$N$348,H$1,Data!$K$3:$K$348,'Reporting 2022'!$B17)</f>
        <v>0</v>
      </c>
      <c r="I72" s="608">
        <f>SUMIFS(Data!$S$3:$S$348,Data!$N$3:$N$348,I$1,Data!$K$3:$K$348,'Reporting 2022'!$B17)</f>
        <v>0</v>
      </c>
      <c r="J72" s="608">
        <f>SUMIFS(Data!$S$3:$S$348,Data!$N$3:$N$348,J$1,Data!$K$3:$K$348,'Reporting 2022'!$B17)</f>
        <v>9590</v>
      </c>
      <c r="K72" s="608">
        <f>SUMIFS(Data!$S$3:$S$348,Data!$N$3:$N$348,K$1,Data!$K$3:$K$348,'Reporting 2022'!$B17)</f>
        <v>0</v>
      </c>
      <c r="L72" s="608">
        <f>SUMIFS(Data!$S$3:$S$348,Data!$N$3:$N$348,L$1,Data!$K$3:$K$348,'Reporting 2022'!$B17)</f>
        <v>0</v>
      </c>
      <c r="M72" s="608">
        <f>SUMIFS(Data!$S$3:$S$348,Data!$N$3:$N$348,M$1,Data!$K$3:$K$348,'Reporting 2022'!$B17)</f>
        <v>0</v>
      </c>
      <c r="N72" s="608">
        <f>SUMIFS(Data!$S$3:$S$348,Data!$N$3:$N$348,N$1,Data!$K$3:$K$348,'Reporting 2022'!$B17)</f>
        <v>0</v>
      </c>
      <c r="O72" s="608">
        <f>SUMIFS(Data!$S$3:$S$348,Data!$N$3:$N$348,O$1,Data!$K$3:$K$348,'Reporting 2022'!$B17)</f>
        <v>0</v>
      </c>
      <c r="P72" s="608">
        <f>SUMIFS(Data!$S$3:$S$348,Data!$N$3:$N$348,P$1,Data!$K$3:$K$348,'Reporting 2022'!$B17)</f>
        <v>0</v>
      </c>
      <c r="Q72" s="608">
        <f>SUMIFS(Data!$S$3:$S$348,Data!$N$3:$N$348,Q$1,Data!$K$3:$K$348,'Reporting 2022'!$B17)</f>
        <v>0</v>
      </c>
      <c r="R72" s="608">
        <f>SUMIFS(Data!$S$3:$S$348,Data!$N$3:$N$348,R$1,Data!$K$3:$K$348,'Reporting 2022'!$B17)</f>
        <v>0</v>
      </c>
      <c r="S72" s="608">
        <f>SUMIFS(Data!$S$3:$S$348,Data!$N$3:$N$348,S$1,Data!$K$3:$K$348,'Reporting 2022'!$B17)</f>
        <v>0</v>
      </c>
      <c r="T72" s="608">
        <f>SUMIFS(Data!$S$3:$S$348,Data!$N$3:$N$348,T$1,Data!$K$3:$K$348,'Reporting 2022'!$B17)</f>
        <v>0</v>
      </c>
      <c r="U72" s="608">
        <f>SUMIFS(Data!$S$3:$S$348,Data!$N$3:$N$348,U$1,Data!$K$3:$K$348,'Reporting 2022'!$B17)</f>
        <v>0</v>
      </c>
      <c r="V72" s="608">
        <f>SUMIFS(Data!$S$3:$S$348,Data!$N$3:$N$348,V$1,Data!$K$3:$K$348,'Reporting 2022'!$B17)</f>
        <v>0</v>
      </c>
      <c r="W72" s="608">
        <f>SUMIFS(Data!$S$3:$S$348,Data!$N$3:$N$348,W$1,Data!$K$3:$K$348,'Reporting 2022'!$B17)</f>
        <v>0</v>
      </c>
      <c r="X72" s="608">
        <f>SUMIFS(Data!$S$3:$S$348,Data!$N$3:$N$348,X$1,Data!$K$3:$K$348,'Reporting 2022'!$B17)</f>
        <v>0</v>
      </c>
      <c r="Y72" s="608">
        <f>SUMIFS(Data!$S$3:$S$348,Data!$N$3:$N$348,Y$1,Data!$K$3:$K$348,'Reporting 2022'!$B17)</f>
        <v>0</v>
      </c>
      <c r="Z72" s="608">
        <f>SUMIFS(Data!$S$3:$S$348,Data!$N$3:$N$348,Z$1,Data!$K$3:$K$348,'Reporting 2022'!$B17)</f>
        <v>0</v>
      </c>
      <c r="AA72" s="608">
        <f>SUMIFS(Data!$S$3:$S$348,Data!$N$3:$N$348,AA$1,Data!$K$3:$K$348,'Reporting 2022'!$B17)</f>
        <v>0</v>
      </c>
      <c r="AB72" s="608">
        <f>SUMIFS(Data!$S$3:$S$348,Data!$N$3:$N$348,AB$1,Data!$K$3:$K$348,'Reporting 2022'!$B17)</f>
        <v>0</v>
      </c>
      <c r="AC72" s="608">
        <f>SUMIFS(Data!$S$3:$S$348,Data!$N$3:$N$348,AC$1,Data!$K$3:$K$348,'Reporting 2022'!$B17)</f>
        <v>0</v>
      </c>
      <c r="AD72" s="608">
        <f>SUMIFS(Data!$S$3:$S$348,Data!$N$3:$N$348,AD$1,Data!$K$3:$K$348,'Reporting 2022'!$B17)</f>
        <v>0</v>
      </c>
      <c r="AE72" s="608">
        <f>SUMIFS(Data!$S$3:$S$348,Data!$N$3:$N$348,AE$1,Data!$K$3:$K$348,'Reporting 2022'!$B17)</f>
        <v>0</v>
      </c>
      <c r="AF72" s="608">
        <f>SUMIFS(Data!$S$3:$S$348,Data!$N$3:$N$348,AF$1,Data!$K$3:$K$348,'Reporting 2022'!$B17)</f>
        <v>0</v>
      </c>
      <c r="AG72" s="608">
        <f>SUMIFS(Data!$S$3:$S$348,Data!$N$3:$N$348,AG$1,Data!$K$3:$K$348,'Reporting 2022'!$B17)</f>
        <v>0</v>
      </c>
      <c r="AH72" s="608">
        <f>SUMIFS(Data!$S$3:$S$348,Data!$N$3:$N$348,AH$1,Data!$K$3:$K$348,'Reporting 2022'!$B17)</f>
        <v>0</v>
      </c>
      <c r="AI72" s="608">
        <f>SUMIFS(Data!$S$3:$S$348,Data!$N$3:$N$348,AI$1,Data!$K$3:$K$348,'Reporting 2022'!$B17)</f>
        <v>0</v>
      </c>
      <c r="AJ72" s="608">
        <f>SUMIFS(Data!$S$3:$S$348,Data!$N$3:$N$348,AJ$1,Data!$K$3:$K$348,'Reporting 2022'!$B17)</f>
        <v>0</v>
      </c>
      <c r="AK72" s="608">
        <f>SUMIFS(Data!$S$3:$S$348,Data!$N$3:$N$348,AK$1,Data!$K$3:$K$348,'Reporting 2022'!$B17)</f>
        <v>0</v>
      </c>
      <c r="AL72" s="608">
        <f>SUMIFS(Data!$S$3:$S$348,Data!$N$3:$N$348,AL$1,Data!$K$3:$K$348,'Reporting 2022'!$B17)</f>
        <v>0</v>
      </c>
      <c r="AM72" s="608">
        <f>SUMIFS(Data!$S$3:$S$348,Data!$N$3:$N$348,AM$1,Data!$K$3:$K$348,'Reporting 2022'!$B17)</f>
        <v>0</v>
      </c>
      <c r="AN72" s="608">
        <f>SUMIFS(Data!$S$3:$S$348,Data!$N$3:$N$348,AN$1,Data!$K$3:$K$348,'Reporting 2022'!$B17)</f>
        <v>0</v>
      </c>
      <c r="AO72" s="608">
        <f>SUMIFS(Data!$S$3:$S$348,Data!$N$3:$N$348,AO$1,Data!$K$3:$K$348,'Reporting 2022'!$B17)</f>
        <v>0</v>
      </c>
      <c r="AP72" s="608">
        <f>SUMIFS(Data!$S$3:$S$348,Data!$N$3:$N$348,AP$1,Data!$K$3:$K$348,'Reporting 2022'!$B17)</f>
        <v>0</v>
      </c>
      <c r="AQ72" s="608">
        <f>SUMIFS(Data!$S$3:$S$348,Data!$N$3:$N$348,AQ$1,Data!$K$3:$K$348,'Reporting 2022'!$B17)</f>
        <v>0</v>
      </c>
      <c r="AR72" s="608">
        <f>SUMIFS(Data!$S$3:$S$348,Data!$N$3:$N$348,AR$1,Data!$K$3:$K$348,'Reporting 2022'!$B17)</f>
        <v>0</v>
      </c>
      <c r="AS72" s="608">
        <f>SUMIFS(Data!$S$3:$S$348,Data!$N$3:$N$348,AS$1,Data!$K$3:$K$348,'Reporting 2022'!$B17)</f>
        <v>0</v>
      </c>
      <c r="AT72" s="608">
        <f>SUMIFS(Data!$S$3:$S$348,Data!$N$3:$N$348,AT$1,Data!$K$3:$K$348,'Reporting 2022'!$B17)</f>
        <v>0</v>
      </c>
      <c r="AU72" s="608">
        <f>SUMIFS(Data!$S$3:$S$348,Data!$N$3:$N$348,AU$1,Data!$K$3:$K$348,'Reporting 2022'!$B17)</f>
        <v>0</v>
      </c>
      <c r="AV72" s="608">
        <f>SUMIFS(Data!$S$3:$S$348,Data!$N$3:$N$348,AV$1,Data!$K$3:$K$348,'Reporting 2022'!$B17)</f>
        <v>0</v>
      </c>
      <c r="AW72" s="608">
        <f>SUMIFS(Data!$S$3:$S$348,Data!$N$3:$N$348,AW$1,Data!$K$3:$K$348,'Reporting 2022'!$B17)</f>
        <v>0</v>
      </c>
      <c r="AX72" s="608">
        <f>SUMIFS(Data!$S$3:$S$348,Data!$N$3:$N$348,AX$1,Data!$K$3:$K$348,'Reporting 2022'!$B17)</f>
        <v>0</v>
      </c>
      <c r="AY72" s="608">
        <f>SUMIFS(Data!$S$3:$S$348,Data!$N$3:$N$348,AY$1,Data!$K$3:$K$348,'Reporting 2022'!$B17)</f>
        <v>0</v>
      </c>
      <c r="AZ72" s="608">
        <f>SUMIFS(Data!$S$3:$S$348,Data!$N$3:$N$348,AZ$1,Data!$K$3:$K$348,'Reporting 2022'!$B17)</f>
        <v>0</v>
      </c>
      <c r="BA72" s="608">
        <f>SUMIFS(Data!$S$3:$S$348,Data!$N$3:$N$348,BA$1,Data!$K$3:$K$348,'Reporting 2022'!$B17)</f>
        <v>0</v>
      </c>
      <c r="BB72" s="608">
        <f>SUMIFS(Data!$S$3:$S$348,Data!$N$3:$N$348,BB$1,Data!$K$3:$K$348,'Reporting 2022'!$B17)</f>
        <v>0</v>
      </c>
    </row>
    <row r="73" spans="2:54" s="437" customFormat="1" x14ac:dyDescent="0.3">
      <c r="B73" s="675" t="s">
        <v>626</v>
      </c>
      <c r="C73" s="608">
        <f>SUMIFS(Data!$S$3:$S$348,Data!$N$3:$N$348,C$1,Data!$K$3:$K$348,'Reporting 2022'!$B18)</f>
        <v>0</v>
      </c>
      <c r="D73" s="608">
        <f>SUMIFS(Data!$S$3:$S$348,Data!$N$3:$N$348,D$1,Data!$K$3:$K$348,'Reporting 2022'!$B18)</f>
        <v>0</v>
      </c>
      <c r="E73" s="608">
        <f>SUMIFS(Data!$S$3:$S$348,Data!$N$3:$N$348,E$1,Data!$K$3:$K$348,'Reporting 2022'!$B18)</f>
        <v>0</v>
      </c>
      <c r="F73" s="608">
        <f>SUMIFS(Data!$S$3:$S$348,Data!$N$3:$N$348,F$1,Data!$K$3:$K$348,'Reporting 2022'!$B18)</f>
        <v>0</v>
      </c>
      <c r="G73" s="608">
        <f>SUMIFS(Data!$S$3:$S$348,Data!$N$3:$N$348,G$1,Data!$K$3:$K$348,'Reporting 2022'!$B18)</f>
        <v>0</v>
      </c>
      <c r="H73" s="608">
        <f>SUMIFS(Data!$S$3:$S$348,Data!$N$3:$N$348,H$1,Data!$K$3:$K$348,'Reporting 2022'!$B18)</f>
        <v>0</v>
      </c>
      <c r="I73" s="608">
        <f>SUMIFS(Data!$S$3:$S$348,Data!$N$3:$N$348,I$1,Data!$K$3:$K$348,'Reporting 2022'!$B18)</f>
        <v>0</v>
      </c>
      <c r="J73" s="608">
        <f>SUMIFS(Data!$S$3:$S$348,Data!$N$3:$N$348,J$1,Data!$K$3:$K$348,'Reporting 2022'!$B18)</f>
        <v>0</v>
      </c>
      <c r="K73" s="608">
        <f>SUMIFS(Data!$S$3:$S$348,Data!$N$3:$N$348,K$1,Data!$K$3:$K$348,'Reporting 2022'!$B18)</f>
        <v>0</v>
      </c>
      <c r="L73" s="608">
        <f>SUMIFS(Data!$S$3:$S$348,Data!$N$3:$N$348,L$1,Data!$K$3:$K$348,'Reporting 2022'!$B18)</f>
        <v>0</v>
      </c>
      <c r="M73" s="608">
        <f>SUMIFS(Data!$S$3:$S$348,Data!$N$3:$N$348,M$1,Data!$K$3:$K$348,'Reporting 2022'!$B18)</f>
        <v>0</v>
      </c>
      <c r="N73" s="608">
        <f>SUMIFS(Data!$S$3:$S$348,Data!$N$3:$N$348,N$1,Data!$K$3:$K$348,'Reporting 2022'!$B18)</f>
        <v>0</v>
      </c>
      <c r="O73" s="608">
        <f>SUMIFS(Data!$S$3:$S$348,Data!$N$3:$N$348,O$1,Data!$K$3:$K$348,'Reporting 2022'!$B18)</f>
        <v>0</v>
      </c>
      <c r="P73" s="608">
        <f>SUMIFS(Data!$S$3:$S$348,Data!$N$3:$N$348,P$1,Data!$K$3:$K$348,'Reporting 2022'!$B18)</f>
        <v>0</v>
      </c>
      <c r="Q73" s="608">
        <f>SUMIFS(Data!$S$3:$S$348,Data!$N$3:$N$348,Q$1,Data!$K$3:$K$348,'Reporting 2022'!$B18)</f>
        <v>0</v>
      </c>
      <c r="R73" s="608">
        <f>SUMIFS(Data!$S$3:$S$348,Data!$N$3:$N$348,R$1,Data!$K$3:$K$348,'Reporting 2022'!$B18)</f>
        <v>0</v>
      </c>
      <c r="S73" s="608">
        <f>SUMIFS(Data!$S$3:$S$348,Data!$N$3:$N$348,S$1,Data!$K$3:$K$348,'Reporting 2022'!$B18)</f>
        <v>0</v>
      </c>
      <c r="T73" s="608">
        <f>SUMIFS(Data!$S$3:$S$348,Data!$N$3:$N$348,T$1,Data!$K$3:$K$348,'Reporting 2022'!$B18)</f>
        <v>0</v>
      </c>
      <c r="U73" s="608">
        <f>SUMIFS(Data!$S$3:$S$348,Data!$N$3:$N$348,U$1,Data!$K$3:$K$348,'Reporting 2022'!$B18)</f>
        <v>0</v>
      </c>
      <c r="V73" s="608">
        <f>SUMIFS(Data!$S$3:$S$348,Data!$N$3:$N$348,V$1,Data!$K$3:$K$348,'Reporting 2022'!$B18)</f>
        <v>0</v>
      </c>
      <c r="W73" s="608">
        <f>SUMIFS(Data!$S$3:$S$348,Data!$N$3:$N$348,W$1,Data!$K$3:$K$348,'Reporting 2022'!$B18)</f>
        <v>0</v>
      </c>
      <c r="X73" s="608">
        <f>SUMIFS(Data!$S$3:$S$348,Data!$N$3:$N$348,X$1,Data!$K$3:$K$348,'Reporting 2022'!$B18)</f>
        <v>0</v>
      </c>
      <c r="Y73" s="608">
        <f>SUMIFS(Data!$S$3:$S$348,Data!$N$3:$N$348,Y$1,Data!$K$3:$K$348,'Reporting 2022'!$B18)</f>
        <v>0</v>
      </c>
      <c r="Z73" s="608">
        <f>SUMIFS(Data!$S$3:$S$348,Data!$N$3:$N$348,Z$1,Data!$K$3:$K$348,'Reporting 2022'!$B18)</f>
        <v>0</v>
      </c>
      <c r="AA73" s="608">
        <f>SUMIFS(Data!$S$3:$S$348,Data!$N$3:$N$348,AA$1,Data!$K$3:$K$348,'Reporting 2022'!$B18)</f>
        <v>0</v>
      </c>
      <c r="AB73" s="608">
        <f>SUMIFS(Data!$S$3:$S$348,Data!$N$3:$N$348,AB$1,Data!$K$3:$K$348,'Reporting 2022'!$B18)</f>
        <v>0</v>
      </c>
      <c r="AC73" s="608">
        <f>SUMIFS(Data!$S$3:$S$348,Data!$N$3:$N$348,AC$1,Data!$K$3:$K$348,'Reporting 2022'!$B18)</f>
        <v>0</v>
      </c>
      <c r="AD73" s="608">
        <f>SUMIFS(Data!$S$3:$S$348,Data!$N$3:$N$348,AD$1,Data!$K$3:$K$348,'Reporting 2022'!$B18)</f>
        <v>0</v>
      </c>
      <c r="AE73" s="608">
        <f>SUMIFS(Data!$S$3:$S$348,Data!$N$3:$N$348,AE$1,Data!$K$3:$K$348,'Reporting 2022'!$B18)</f>
        <v>0</v>
      </c>
      <c r="AF73" s="608">
        <f>SUMIFS(Data!$S$3:$S$348,Data!$N$3:$N$348,AF$1,Data!$K$3:$K$348,'Reporting 2022'!$B18)</f>
        <v>0</v>
      </c>
      <c r="AG73" s="608">
        <f>SUMIFS(Data!$S$3:$S$348,Data!$N$3:$N$348,AG$1,Data!$K$3:$K$348,'Reporting 2022'!$B18)</f>
        <v>0</v>
      </c>
      <c r="AH73" s="608">
        <f>SUMIFS(Data!$S$3:$S$348,Data!$N$3:$N$348,AH$1,Data!$K$3:$K$348,'Reporting 2022'!$B18)</f>
        <v>0</v>
      </c>
      <c r="AI73" s="608">
        <f>SUMIFS(Data!$S$3:$S$348,Data!$N$3:$N$348,AI$1,Data!$K$3:$K$348,'Reporting 2022'!$B18)</f>
        <v>0</v>
      </c>
      <c r="AJ73" s="608">
        <f>SUMIFS(Data!$S$3:$S$348,Data!$N$3:$N$348,AJ$1,Data!$K$3:$K$348,'Reporting 2022'!$B18)</f>
        <v>0</v>
      </c>
      <c r="AK73" s="608">
        <f>SUMIFS(Data!$S$3:$S$348,Data!$N$3:$N$348,AK$1,Data!$K$3:$K$348,'Reporting 2022'!$B18)</f>
        <v>0</v>
      </c>
      <c r="AL73" s="608">
        <f>SUMIFS(Data!$S$3:$S$348,Data!$N$3:$N$348,AL$1,Data!$K$3:$K$348,'Reporting 2022'!$B18)</f>
        <v>0</v>
      </c>
      <c r="AM73" s="608">
        <f>SUMIFS(Data!$S$3:$S$348,Data!$N$3:$N$348,AM$1,Data!$K$3:$K$348,'Reporting 2022'!$B18)</f>
        <v>0</v>
      </c>
      <c r="AN73" s="608">
        <f>SUMIFS(Data!$S$3:$S$348,Data!$N$3:$N$348,AN$1,Data!$K$3:$K$348,'Reporting 2022'!$B18)</f>
        <v>0</v>
      </c>
      <c r="AO73" s="608">
        <f>SUMIFS(Data!$S$3:$S$348,Data!$N$3:$N$348,AO$1,Data!$K$3:$K$348,'Reporting 2022'!$B18)</f>
        <v>0</v>
      </c>
      <c r="AP73" s="608">
        <f>SUMIFS(Data!$S$3:$S$348,Data!$N$3:$N$348,AP$1,Data!$K$3:$K$348,'Reporting 2022'!$B18)</f>
        <v>0</v>
      </c>
      <c r="AQ73" s="608">
        <f>SUMIFS(Data!$S$3:$S$348,Data!$N$3:$N$348,AQ$1,Data!$K$3:$K$348,'Reporting 2022'!$B18)</f>
        <v>0</v>
      </c>
      <c r="AR73" s="608">
        <f>SUMIFS(Data!$S$3:$S$348,Data!$N$3:$N$348,AR$1,Data!$K$3:$K$348,'Reporting 2022'!$B18)</f>
        <v>0</v>
      </c>
      <c r="AS73" s="608">
        <f>SUMIFS(Data!$S$3:$S$348,Data!$N$3:$N$348,AS$1,Data!$K$3:$K$348,'Reporting 2022'!$B18)</f>
        <v>0</v>
      </c>
      <c r="AT73" s="608">
        <f>SUMIFS(Data!$S$3:$S$348,Data!$N$3:$N$348,AT$1,Data!$K$3:$K$348,'Reporting 2022'!$B18)</f>
        <v>0</v>
      </c>
      <c r="AU73" s="608">
        <f>SUMIFS(Data!$S$3:$S$348,Data!$N$3:$N$348,AU$1,Data!$K$3:$K$348,'Reporting 2022'!$B18)</f>
        <v>0</v>
      </c>
      <c r="AV73" s="608">
        <f>SUMIFS(Data!$S$3:$S$348,Data!$N$3:$N$348,AV$1,Data!$K$3:$K$348,'Reporting 2022'!$B18)</f>
        <v>0</v>
      </c>
      <c r="AW73" s="608">
        <f>SUMIFS(Data!$S$3:$S$348,Data!$N$3:$N$348,AW$1,Data!$K$3:$K$348,'Reporting 2022'!$B18)</f>
        <v>0</v>
      </c>
      <c r="AX73" s="608">
        <f>SUMIFS(Data!$S$3:$S$348,Data!$N$3:$N$348,AX$1,Data!$K$3:$K$348,'Reporting 2022'!$B18)</f>
        <v>0</v>
      </c>
      <c r="AY73" s="608">
        <f>SUMIFS(Data!$S$3:$S$348,Data!$N$3:$N$348,AY$1,Data!$K$3:$K$348,'Reporting 2022'!$B18)</f>
        <v>0</v>
      </c>
      <c r="AZ73" s="608">
        <f>SUMIFS(Data!$S$3:$S$348,Data!$N$3:$N$348,AZ$1,Data!$K$3:$K$348,'Reporting 2022'!$B18)</f>
        <v>0</v>
      </c>
      <c r="BA73" s="608">
        <f>SUMIFS(Data!$S$3:$S$348,Data!$N$3:$N$348,BA$1,Data!$K$3:$K$348,'Reporting 2022'!$B18)</f>
        <v>0</v>
      </c>
      <c r="BB73" s="608">
        <f>SUMIFS(Data!$S$3:$S$348,Data!$N$3:$N$348,BB$1,Data!$K$3:$K$348,'Reporting 2022'!$B18)</f>
        <v>0</v>
      </c>
    </row>
    <row r="74" spans="2:54" s="437" customFormat="1" x14ac:dyDescent="0.3">
      <c r="B74" s="675" t="s">
        <v>627</v>
      </c>
      <c r="C74" s="608">
        <f>SUMIFS(Data!$S$3:$S$348,Data!$N$3:$N$348,C$1,Data!$K$3:$K$348,'Reporting 2022'!$B19)</f>
        <v>0</v>
      </c>
      <c r="D74" s="608">
        <f>SUMIFS(Data!$S$3:$S$348,Data!$N$3:$N$348,D$1,Data!$K$3:$K$348,'Reporting 2022'!$B19)</f>
        <v>0</v>
      </c>
      <c r="E74" s="608">
        <f>SUMIFS(Data!$S$3:$S$348,Data!$N$3:$N$348,E$1,Data!$K$3:$K$348,'Reporting 2022'!$B19)</f>
        <v>0</v>
      </c>
      <c r="F74" s="608">
        <f>SUMIFS(Data!$S$3:$S$348,Data!$N$3:$N$348,F$1,Data!$K$3:$K$348,'Reporting 2022'!$B19)</f>
        <v>0</v>
      </c>
      <c r="G74" s="608">
        <f>SUMIFS(Data!$S$3:$S$348,Data!$N$3:$N$348,G$1,Data!$K$3:$K$348,'Reporting 2022'!$B19)</f>
        <v>0</v>
      </c>
      <c r="H74" s="608">
        <f>SUMIFS(Data!$S$3:$S$348,Data!$N$3:$N$348,H$1,Data!$K$3:$K$348,'Reporting 2022'!$B19)</f>
        <v>0</v>
      </c>
      <c r="I74" s="608">
        <f>SUMIFS(Data!$S$3:$S$348,Data!$N$3:$N$348,I$1,Data!$K$3:$K$348,'Reporting 2022'!$B19)</f>
        <v>0</v>
      </c>
      <c r="J74" s="608">
        <f>SUMIFS(Data!$S$3:$S$348,Data!$N$3:$N$348,J$1,Data!$K$3:$K$348,'Reporting 2022'!$B19)</f>
        <v>0</v>
      </c>
      <c r="K74" s="608">
        <f>SUMIFS(Data!$S$3:$S$348,Data!$N$3:$N$348,K$1,Data!$K$3:$K$348,'Reporting 2022'!$B19)</f>
        <v>0</v>
      </c>
      <c r="L74" s="608">
        <f>SUMIFS(Data!$S$3:$S$348,Data!$N$3:$N$348,L$1,Data!$K$3:$K$348,'Reporting 2022'!$B19)</f>
        <v>0</v>
      </c>
      <c r="M74" s="608">
        <f>SUMIFS(Data!$S$3:$S$348,Data!$N$3:$N$348,M$1,Data!$K$3:$K$348,'Reporting 2022'!$B19)</f>
        <v>0</v>
      </c>
      <c r="N74" s="608">
        <f>SUMIFS(Data!$S$3:$S$348,Data!$N$3:$N$348,N$1,Data!$K$3:$K$348,'Reporting 2022'!$B19)</f>
        <v>0</v>
      </c>
      <c r="O74" s="608">
        <f>SUMIFS(Data!$S$3:$S$348,Data!$N$3:$N$348,O$1,Data!$K$3:$K$348,'Reporting 2022'!$B19)</f>
        <v>0</v>
      </c>
      <c r="P74" s="608">
        <f>SUMIFS(Data!$S$3:$S$348,Data!$N$3:$N$348,P$1,Data!$K$3:$K$348,'Reporting 2022'!$B19)</f>
        <v>0</v>
      </c>
      <c r="Q74" s="608">
        <f>SUMIFS(Data!$S$3:$S$348,Data!$N$3:$N$348,Q$1,Data!$K$3:$K$348,'Reporting 2022'!$B19)</f>
        <v>0</v>
      </c>
      <c r="R74" s="608">
        <f>SUMIFS(Data!$S$3:$S$348,Data!$N$3:$N$348,R$1,Data!$K$3:$K$348,'Reporting 2022'!$B19)</f>
        <v>0</v>
      </c>
      <c r="S74" s="608">
        <f>SUMIFS(Data!$S$3:$S$348,Data!$N$3:$N$348,S$1,Data!$K$3:$K$348,'Reporting 2022'!$B19)</f>
        <v>0</v>
      </c>
      <c r="T74" s="608">
        <f>SUMIFS(Data!$S$3:$S$348,Data!$N$3:$N$348,T$1,Data!$K$3:$K$348,'Reporting 2022'!$B19)</f>
        <v>0</v>
      </c>
      <c r="U74" s="608">
        <f>SUMIFS(Data!$S$3:$S$348,Data!$N$3:$N$348,U$1,Data!$K$3:$K$348,'Reporting 2022'!$B19)</f>
        <v>0</v>
      </c>
      <c r="V74" s="608">
        <f>SUMIFS(Data!$S$3:$S$348,Data!$N$3:$N$348,V$1,Data!$K$3:$K$348,'Reporting 2022'!$B19)</f>
        <v>0</v>
      </c>
      <c r="W74" s="608">
        <f>SUMIFS(Data!$S$3:$S$348,Data!$N$3:$N$348,W$1,Data!$K$3:$K$348,'Reporting 2022'!$B19)</f>
        <v>0</v>
      </c>
      <c r="X74" s="608">
        <f>SUMIFS(Data!$S$3:$S$348,Data!$N$3:$N$348,X$1,Data!$K$3:$K$348,'Reporting 2022'!$B19)</f>
        <v>0</v>
      </c>
      <c r="Y74" s="608">
        <f>SUMIFS(Data!$S$3:$S$348,Data!$N$3:$N$348,Y$1,Data!$K$3:$K$348,'Reporting 2022'!$B19)</f>
        <v>0</v>
      </c>
      <c r="Z74" s="608">
        <f>SUMIFS(Data!$S$3:$S$348,Data!$N$3:$N$348,Z$1,Data!$K$3:$K$348,'Reporting 2022'!$B19)</f>
        <v>0</v>
      </c>
      <c r="AA74" s="608">
        <f>SUMIFS(Data!$S$3:$S$348,Data!$N$3:$N$348,AA$1,Data!$K$3:$K$348,'Reporting 2022'!$B19)</f>
        <v>0</v>
      </c>
      <c r="AB74" s="608">
        <f>SUMIFS(Data!$S$3:$S$348,Data!$N$3:$N$348,AB$1,Data!$K$3:$K$348,'Reporting 2022'!$B19)</f>
        <v>0</v>
      </c>
      <c r="AC74" s="608">
        <f>SUMIFS(Data!$S$3:$S$348,Data!$N$3:$N$348,AC$1,Data!$K$3:$K$348,'Reporting 2022'!$B19)</f>
        <v>0</v>
      </c>
      <c r="AD74" s="608">
        <f>SUMIFS(Data!$S$3:$S$348,Data!$N$3:$N$348,AD$1,Data!$K$3:$K$348,'Reporting 2022'!$B19)</f>
        <v>0</v>
      </c>
      <c r="AE74" s="608">
        <f>SUMIFS(Data!$S$3:$S$348,Data!$N$3:$N$348,AE$1,Data!$K$3:$K$348,'Reporting 2022'!$B19)</f>
        <v>0</v>
      </c>
      <c r="AF74" s="608">
        <f>SUMIFS(Data!$S$3:$S$348,Data!$N$3:$N$348,AF$1,Data!$K$3:$K$348,'Reporting 2022'!$B19)</f>
        <v>0</v>
      </c>
      <c r="AG74" s="608">
        <f>SUMIFS(Data!$S$3:$S$348,Data!$N$3:$N$348,AG$1,Data!$K$3:$K$348,'Reporting 2022'!$B19)</f>
        <v>0</v>
      </c>
      <c r="AH74" s="608">
        <f>SUMIFS(Data!$S$3:$S$348,Data!$N$3:$N$348,AH$1,Data!$K$3:$K$348,'Reporting 2022'!$B19)</f>
        <v>0</v>
      </c>
      <c r="AI74" s="608">
        <f>SUMIFS(Data!$S$3:$S$348,Data!$N$3:$N$348,AI$1,Data!$K$3:$K$348,'Reporting 2022'!$B19)</f>
        <v>0</v>
      </c>
      <c r="AJ74" s="608">
        <f>SUMIFS(Data!$S$3:$S$348,Data!$N$3:$N$348,AJ$1,Data!$K$3:$K$348,'Reporting 2022'!$B19)</f>
        <v>0</v>
      </c>
      <c r="AK74" s="608">
        <f>SUMIFS(Data!$S$3:$S$348,Data!$N$3:$N$348,AK$1,Data!$K$3:$K$348,'Reporting 2022'!$B19)</f>
        <v>0</v>
      </c>
      <c r="AL74" s="608">
        <f>SUMIFS(Data!$S$3:$S$348,Data!$N$3:$N$348,AL$1,Data!$K$3:$K$348,'Reporting 2022'!$B19)</f>
        <v>0</v>
      </c>
      <c r="AM74" s="608">
        <f>SUMIFS(Data!$S$3:$S$348,Data!$N$3:$N$348,AM$1,Data!$K$3:$K$348,'Reporting 2022'!$B19)</f>
        <v>0</v>
      </c>
      <c r="AN74" s="608">
        <f>SUMIFS(Data!$S$3:$S$348,Data!$N$3:$N$348,AN$1,Data!$K$3:$K$348,'Reporting 2022'!$B19)</f>
        <v>0</v>
      </c>
      <c r="AO74" s="608">
        <f>SUMIFS(Data!$S$3:$S$348,Data!$N$3:$N$348,AO$1,Data!$K$3:$K$348,'Reporting 2022'!$B19)</f>
        <v>0</v>
      </c>
      <c r="AP74" s="608">
        <f>SUMIFS(Data!$S$3:$S$348,Data!$N$3:$N$348,AP$1,Data!$K$3:$K$348,'Reporting 2022'!$B19)</f>
        <v>0</v>
      </c>
      <c r="AQ74" s="608">
        <f>SUMIFS(Data!$S$3:$S$348,Data!$N$3:$N$348,AQ$1,Data!$K$3:$K$348,'Reporting 2022'!$B19)</f>
        <v>0</v>
      </c>
      <c r="AR74" s="608">
        <f>SUMIFS(Data!$S$3:$S$348,Data!$N$3:$N$348,AR$1,Data!$K$3:$K$348,'Reporting 2022'!$B19)</f>
        <v>0</v>
      </c>
      <c r="AS74" s="608">
        <f>SUMIFS(Data!$S$3:$S$348,Data!$N$3:$N$348,AS$1,Data!$K$3:$K$348,'Reporting 2022'!$B19)</f>
        <v>0</v>
      </c>
      <c r="AT74" s="608">
        <f>SUMIFS(Data!$S$3:$S$348,Data!$N$3:$N$348,AT$1,Data!$K$3:$K$348,'Reporting 2022'!$B19)</f>
        <v>0</v>
      </c>
      <c r="AU74" s="608">
        <f>SUMIFS(Data!$S$3:$S$348,Data!$N$3:$N$348,AU$1,Data!$K$3:$K$348,'Reporting 2022'!$B19)</f>
        <v>0</v>
      </c>
      <c r="AV74" s="608">
        <f>SUMIFS(Data!$S$3:$S$348,Data!$N$3:$N$348,AV$1,Data!$K$3:$K$348,'Reporting 2022'!$B19)</f>
        <v>0</v>
      </c>
      <c r="AW74" s="608">
        <f>SUMIFS(Data!$S$3:$S$348,Data!$N$3:$N$348,AW$1,Data!$K$3:$K$348,'Reporting 2022'!$B19)</f>
        <v>0</v>
      </c>
      <c r="AX74" s="608">
        <f>SUMIFS(Data!$S$3:$S$348,Data!$N$3:$N$348,AX$1,Data!$K$3:$K$348,'Reporting 2022'!$B19)</f>
        <v>0</v>
      </c>
      <c r="AY74" s="608">
        <f>SUMIFS(Data!$S$3:$S$348,Data!$N$3:$N$348,AY$1,Data!$K$3:$K$348,'Reporting 2022'!$B19)</f>
        <v>0</v>
      </c>
      <c r="AZ74" s="608">
        <f>SUMIFS(Data!$S$3:$S$348,Data!$N$3:$N$348,AZ$1,Data!$K$3:$K$348,'Reporting 2022'!$B19)</f>
        <v>0</v>
      </c>
      <c r="BA74" s="608">
        <f>SUMIFS(Data!$S$3:$S$348,Data!$N$3:$N$348,BA$1,Data!$K$3:$K$348,'Reporting 2022'!$B19)</f>
        <v>0</v>
      </c>
      <c r="BB74" s="608">
        <f>SUMIFS(Data!$S$3:$S$348,Data!$N$3:$N$348,BB$1,Data!$K$3:$K$348,'Reporting 2022'!$B19)</f>
        <v>0</v>
      </c>
    </row>
    <row r="75" spans="2:54" s="437" customFormat="1" x14ac:dyDescent="0.3">
      <c r="B75" s="675" t="s">
        <v>628</v>
      </c>
      <c r="C75" s="608">
        <f>SUMIFS(Data!$S$3:$S$348,Data!$N$3:$N$348,C$1,Data!$K$3:$K$348,'Reporting 2022'!$B20)</f>
        <v>0</v>
      </c>
      <c r="D75" s="608">
        <f>SUMIFS(Data!$S$3:$S$348,Data!$N$3:$N$348,D$1,Data!$K$3:$K$348,'Reporting 2022'!$B20)</f>
        <v>10950</v>
      </c>
      <c r="E75" s="608">
        <f>SUMIFS(Data!$S$3:$S$348,Data!$N$3:$N$348,E$1,Data!$K$3:$K$348,'Reporting 2022'!$B20)</f>
        <v>0</v>
      </c>
      <c r="F75" s="608">
        <f>SUMIFS(Data!$S$3:$S$348,Data!$N$3:$N$348,F$1,Data!$K$3:$K$348,'Reporting 2022'!$B20)</f>
        <v>0</v>
      </c>
      <c r="G75" s="608">
        <f>SUMIFS(Data!$S$3:$S$348,Data!$N$3:$N$348,G$1,Data!$K$3:$K$348,'Reporting 2022'!$B20)</f>
        <v>5150</v>
      </c>
      <c r="H75" s="608">
        <f>SUMIFS(Data!$S$3:$S$348,Data!$N$3:$N$348,H$1,Data!$K$3:$K$348,'Reporting 2022'!$B20)</f>
        <v>3180</v>
      </c>
      <c r="I75" s="608">
        <f>SUMIFS(Data!$S$3:$S$348,Data!$N$3:$N$348,I$1,Data!$K$3:$K$348,'Reporting 2022'!$B20)</f>
        <v>0</v>
      </c>
      <c r="J75" s="608">
        <f>SUMIFS(Data!$S$3:$S$348,Data!$N$3:$N$348,J$1,Data!$K$3:$K$348,'Reporting 2022'!$B20)</f>
        <v>0</v>
      </c>
      <c r="K75" s="608">
        <f>SUMIFS(Data!$S$3:$S$348,Data!$N$3:$N$348,K$1,Data!$K$3:$K$348,'Reporting 2022'!$B20)</f>
        <v>6180</v>
      </c>
      <c r="L75" s="608">
        <f>SUMIFS(Data!$S$3:$S$348,Data!$N$3:$N$348,L$1,Data!$K$3:$K$348,'Reporting 2022'!$B20)</f>
        <v>3420</v>
      </c>
      <c r="M75" s="608">
        <f>SUMIFS(Data!$S$3:$S$348,Data!$N$3:$N$348,M$1,Data!$K$3:$K$348,'Reporting 2022'!$B20)</f>
        <v>0</v>
      </c>
      <c r="N75" s="608">
        <f>SUMIFS(Data!$S$3:$S$348,Data!$N$3:$N$348,N$1,Data!$K$3:$K$348,'Reporting 2022'!$B20)</f>
        <v>3180</v>
      </c>
      <c r="O75" s="608">
        <f>SUMIFS(Data!$S$3:$S$348,Data!$N$3:$N$348,O$1,Data!$K$3:$K$348,'Reporting 2022'!$B20)</f>
        <v>1200</v>
      </c>
      <c r="P75" s="608">
        <f>SUMIFS(Data!$S$3:$S$348,Data!$N$3:$N$348,P$1,Data!$K$3:$K$348,'Reporting 2022'!$B20)</f>
        <v>3180</v>
      </c>
      <c r="Q75" s="608">
        <f>SUMIFS(Data!$S$3:$S$348,Data!$N$3:$N$348,Q$1,Data!$K$3:$K$348,'Reporting 2022'!$B20)</f>
        <v>0</v>
      </c>
      <c r="R75" s="608">
        <f>SUMIFS(Data!$S$3:$S$348,Data!$N$3:$N$348,R$1,Data!$K$3:$K$348,'Reporting 2022'!$B20)</f>
        <v>0</v>
      </c>
      <c r="S75" s="608">
        <f>SUMIFS(Data!$S$3:$S$348,Data!$N$3:$N$348,S$1,Data!$K$3:$K$348,'Reporting 2022'!$B20)</f>
        <v>0</v>
      </c>
      <c r="T75" s="608">
        <f>SUMIFS(Data!$S$3:$S$348,Data!$N$3:$N$348,T$1,Data!$K$3:$K$348,'Reporting 2022'!$B20)</f>
        <v>0</v>
      </c>
      <c r="U75" s="608">
        <f>SUMIFS(Data!$S$3:$S$348,Data!$N$3:$N$348,U$1,Data!$K$3:$K$348,'Reporting 2022'!$B20)</f>
        <v>0</v>
      </c>
      <c r="V75" s="608">
        <f>SUMIFS(Data!$S$3:$S$348,Data!$N$3:$N$348,V$1,Data!$K$3:$K$348,'Reporting 2022'!$B20)</f>
        <v>0</v>
      </c>
      <c r="W75" s="608">
        <f>SUMIFS(Data!$S$3:$S$348,Data!$N$3:$N$348,W$1,Data!$K$3:$K$348,'Reporting 2022'!$B20)</f>
        <v>0</v>
      </c>
      <c r="X75" s="608">
        <f>SUMIFS(Data!$S$3:$S$348,Data!$N$3:$N$348,X$1,Data!$K$3:$K$348,'Reporting 2022'!$B20)</f>
        <v>0</v>
      </c>
      <c r="Y75" s="608">
        <f>SUMIFS(Data!$S$3:$S$348,Data!$N$3:$N$348,Y$1,Data!$K$3:$K$348,'Reporting 2022'!$B20)</f>
        <v>0</v>
      </c>
      <c r="Z75" s="608">
        <f>SUMIFS(Data!$S$3:$S$348,Data!$N$3:$N$348,Z$1,Data!$K$3:$K$348,'Reporting 2022'!$B20)</f>
        <v>0</v>
      </c>
      <c r="AA75" s="608">
        <f>SUMIFS(Data!$S$3:$S$348,Data!$N$3:$N$348,AA$1,Data!$K$3:$K$348,'Reporting 2022'!$B20)</f>
        <v>0</v>
      </c>
      <c r="AB75" s="608">
        <f>SUMIFS(Data!$S$3:$S$348,Data!$N$3:$N$348,AB$1,Data!$K$3:$K$348,'Reporting 2022'!$B20)</f>
        <v>0</v>
      </c>
      <c r="AC75" s="608">
        <f>SUMIFS(Data!$S$3:$S$348,Data!$N$3:$N$348,AC$1,Data!$K$3:$K$348,'Reporting 2022'!$B20)</f>
        <v>0</v>
      </c>
      <c r="AD75" s="608">
        <f>SUMIFS(Data!$S$3:$S$348,Data!$N$3:$N$348,AD$1,Data!$K$3:$K$348,'Reporting 2022'!$B20)</f>
        <v>0</v>
      </c>
      <c r="AE75" s="608">
        <f>SUMIFS(Data!$S$3:$S$348,Data!$N$3:$N$348,AE$1,Data!$K$3:$K$348,'Reporting 2022'!$B20)</f>
        <v>0</v>
      </c>
      <c r="AF75" s="608">
        <f>SUMIFS(Data!$S$3:$S$348,Data!$N$3:$N$348,AF$1,Data!$K$3:$K$348,'Reporting 2022'!$B20)</f>
        <v>0</v>
      </c>
      <c r="AG75" s="608">
        <f>SUMIFS(Data!$S$3:$S$348,Data!$N$3:$N$348,AG$1,Data!$K$3:$K$348,'Reporting 2022'!$B20)</f>
        <v>0</v>
      </c>
      <c r="AH75" s="608">
        <f>SUMIFS(Data!$S$3:$S$348,Data!$N$3:$N$348,AH$1,Data!$K$3:$K$348,'Reporting 2022'!$B20)</f>
        <v>0</v>
      </c>
      <c r="AI75" s="608">
        <f>SUMIFS(Data!$S$3:$S$348,Data!$N$3:$N$348,AI$1,Data!$K$3:$K$348,'Reporting 2022'!$B20)</f>
        <v>0</v>
      </c>
      <c r="AJ75" s="608">
        <f>SUMIFS(Data!$S$3:$S$348,Data!$N$3:$N$348,AJ$1,Data!$K$3:$K$348,'Reporting 2022'!$B20)</f>
        <v>0</v>
      </c>
      <c r="AK75" s="608">
        <f>SUMIFS(Data!$S$3:$S$348,Data!$N$3:$N$348,AK$1,Data!$K$3:$K$348,'Reporting 2022'!$B20)</f>
        <v>0</v>
      </c>
      <c r="AL75" s="608">
        <f>SUMIFS(Data!$S$3:$S$348,Data!$N$3:$N$348,AL$1,Data!$K$3:$K$348,'Reporting 2022'!$B20)</f>
        <v>0</v>
      </c>
      <c r="AM75" s="608">
        <f>SUMIFS(Data!$S$3:$S$348,Data!$N$3:$N$348,AM$1,Data!$K$3:$K$348,'Reporting 2022'!$B20)</f>
        <v>0</v>
      </c>
      <c r="AN75" s="608">
        <f>SUMIFS(Data!$S$3:$S$348,Data!$N$3:$N$348,AN$1,Data!$K$3:$K$348,'Reporting 2022'!$B20)</f>
        <v>0</v>
      </c>
      <c r="AO75" s="608">
        <f>SUMIFS(Data!$S$3:$S$348,Data!$N$3:$N$348,AO$1,Data!$K$3:$K$348,'Reporting 2022'!$B20)</f>
        <v>0</v>
      </c>
      <c r="AP75" s="608">
        <f>SUMIFS(Data!$S$3:$S$348,Data!$N$3:$N$348,AP$1,Data!$K$3:$K$348,'Reporting 2022'!$B20)</f>
        <v>0</v>
      </c>
      <c r="AQ75" s="608">
        <f>SUMIFS(Data!$S$3:$S$348,Data!$N$3:$N$348,AQ$1,Data!$K$3:$K$348,'Reporting 2022'!$B20)</f>
        <v>0</v>
      </c>
      <c r="AR75" s="608">
        <f>SUMIFS(Data!$S$3:$S$348,Data!$N$3:$N$348,AR$1,Data!$K$3:$K$348,'Reporting 2022'!$B20)</f>
        <v>0</v>
      </c>
      <c r="AS75" s="608">
        <f>SUMIFS(Data!$S$3:$S$348,Data!$N$3:$N$348,AS$1,Data!$K$3:$K$348,'Reporting 2022'!$B20)</f>
        <v>0</v>
      </c>
      <c r="AT75" s="608">
        <f>SUMIFS(Data!$S$3:$S$348,Data!$N$3:$N$348,AT$1,Data!$K$3:$K$348,'Reporting 2022'!$B20)</f>
        <v>0</v>
      </c>
      <c r="AU75" s="608">
        <f>SUMIFS(Data!$S$3:$S$348,Data!$N$3:$N$348,AU$1,Data!$K$3:$K$348,'Reporting 2022'!$B20)</f>
        <v>0</v>
      </c>
      <c r="AV75" s="608">
        <f>SUMIFS(Data!$S$3:$S$348,Data!$N$3:$N$348,AV$1,Data!$K$3:$K$348,'Reporting 2022'!$B20)</f>
        <v>0</v>
      </c>
      <c r="AW75" s="608">
        <f>SUMIFS(Data!$S$3:$S$348,Data!$N$3:$N$348,AW$1,Data!$K$3:$K$348,'Reporting 2022'!$B20)</f>
        <v>0</v>
      </c>
      <c r="AX75" s="608">
        <f>SUMIFS(Data!$S$3:$S$348,Data!$N$3:$N$348,AX$1,Data!$K$3:$K$348,'Reporting 2022'!$B20)</f>
        <v>0</v>
      </c>
      <c r="AY75" s="608">
        <f>SUMIFS(Data!$S$3:$S$348,Data!$N$3:$N$348,AY$1,Data!$K$3:$K$348,'Reporting 2022'!$B20)</f>
        <v>0</v>
      </c>
      <c r="AZ75" s="608">
        <f>SUMIFS(Data!$S$3:$S$348,Data!$N$3:$N$348,AZ$1,Data!$K$3:$K$348,'Reporting 2022'!$B20)</f>
        <v>0</v>
      </c>
      <c r="BA75" s="608">
        <f>SUMIFS(Data!$S$3:$S$348,Data!$N$3:$N$348,BA$1,Data!$K$3:$K$348,'Reporting 2022'!$B20)</f>
        <v>0</v>
      </c>
      <c r="BB75" s="608">
        <f>SUMIFS(Data!$S$3:$S$348,Data!$N$3:$N$348,BB$1,Data!$K$3:$K$348,'Reporting 2022'!$B20)</f>
        <v>0</v>
      </c>
    </row>
    <row r="76" spans="2:54" x14ac:dyDescent="0.3">
      <c r="B76" s="675" t="s">
        <v>629</v>
      </c>
      <c r="C76" s="608">
        <f>SUMIFS(Data!$S$3:$S$348,Data!$N$3:$N$348,C$1,Data!$K$3:$K$348,'Reporting 2022'!$B21)</f>
        <v>0</v>
      </c>
      <c r="D76" s="608">
        <f>SUMIFS(Data!$S$3:$S$348,Data!$N$3:$N$348,D$1,Data!$K$3:$K$348,'Reporting 2022'!$B21)</f>
        <v>0</v>
      </c>
      <c r="E76" s="608">
        <f>SUMIFS(Data!$S$3:$S$348,Data!$N$3:$N$348,E$1,Data!$K$3:$K$348,'Reporting 2022'!$B21)</f>
        <v>0</v>
      </c>
      <c r="F76" s="608">
        <f>SUMIFS(Data!$S$3:$S$348,Data!$N$3:$N$348,F$1,Data!$K$3:$K$348,'Reporting 2022'!$B21)</f>
        <v>0</v>
      </c>
      <c r="G76" s="608">
        <f>SUMIFS(Data!$S$3:$S$348,Data!$N$3:$N$348,G$1,Data!$K$3:$K$348,'Reporting 2022'!$B21)</f>
        <v>0</v>
      </c>
      <c r="H76" s="608">
        <f>SUMIFS(Data!$S$3:$S$348,Data!$N$3:$N$348,H$1,Data!$K$3:$K$348,'Reporting 2022'!$B21)</f>
        <v>0</v>
      </c>
      <c r="I76" s="608">
        <f>SUMIFS(Data!$S$3:$S$348,Data!$N$3:$N$348,I$1,Data!$K$3:$K$348,'Reporting 2022'!$B21)</f>
        <v>0</v>
      </c>
      <c r="J76" s="608">
        <f>SUMIFS(Data!$S$3:$S$348,Data!$N$3:$N$348,J$1,Data!$K$3:$K$348,'Reporting 2022'!$B21)</f>
        <v>0</v>
      </c>
      <c r="K76" s="608">
        <f>SUMIFS(Data!$S$3:$S$348,Data!$N$3:$N$348,K$1,Data!$K$3:$K$348,'Reporting 2022'!$B21)</f>
        <v>0</v>
      </c>
      <c r="L76" s="608">
        <f>SUMIFS(Data!$S$3:$S$348,Data!$N$3:$N$348,L$1,Data!$K$3:$K$348,'Reporting 2022'!$B21)</f>
        <v>0</v>
      </c>
      <c r="M76" s="608">
        <f>SUMIFS(Data!$S$3:$S$348,Data!$N$3:$N$348,M$1,Data!$K$3:$K$348,'Reporting 2022'!$B21)</f>
        <v>0</v>
      </c>
      <c r="N76" s="608">
        <f>SUMIFS(Data!$S$3:$S$348,Data!$N$3:$N$348,N$1,Data!$K$3:$K$348,'Reporting 2022'!$B21)</f>
        <v>0</v>
      </c>
      <c r="O76" s="608">
        <f>SUMIFS(Data!$S$3:$S$348,Data!$N$3:$N$348,O$1,Data!$K$3:$K$348,'Reporting 2022'!$B21)</f>
        <v>0</v>
      </c>
      <c r="P76" s="608">
        <f>SUMIFS(Data!$S$3:$S$348,Data!$N$3:$N$348,P$1,Data!$K$3:$K$348,'Reporting 2022'!$B21)</f>
        <v>0</v>
      </c>
      <c r="Q76" s="608">
        <f>SUMIFS(Data!$S$3:$S$348,Data!$N$3:$N$348,Q$1,Data!$K$3:$K$348,'Reporting 2022'!$B21)</f>
        <v>0</v>
      </c>
      <c r="R76" s="608">
        <f>SUMIFS(Data!$S$3:$S$348,Data!$N$3:$N$348,R$1,Data!$K$3:$K$348,'Reporting 2022'!$B21)</f>
        <v>0</v>
      </c>
      <c r="S76" s="608">
        <f>SUMIFS(Data!$S$3:$S$348,Data!$N$3:$N$348,S$1,Data!$K$3:$K$348,'Reporting 2022'!$B21)</f>
        <v>0</v>
      </c>
      <c r="T76" s="608">
        <f>SUMIFS(Data!$S$3:$S$348,Data!$N$3:$N$348,T$1,Data!$K$3:$K$348,'Reporting 2022'!$B21)</f>
        <v>0</v>
      </c>
      <c r="U76" s="608">
        <f>SUMIFS(Data!$S$3:$S$348,Data!$N$3:$N$348,U$1,Data!$K$3:$K$348,'Reporting 2022'!$B21)</f>
        <v>0</v>
      </c>
      <c r="V76" s="608">
        <f>SUMIFS(Data!$S$3:$S$348,Data!$N$3:$N$348,V$1,Data!$K$3:$K$348,'Reporting 2022'!$B21)</f>
        <v>0</v>
      </c>
      <c r="W76" s="608">
        <f>SUMIFS(Data!$S$3:$S$348,Data!$N$3:$N$348,W$1,Data!$K$3:$K$348,'Reporting 2022'!$B21)</f>
        <v>0</v>
      </c>
      <c r="X76" s="608">
        <f>SUMIFS(Data!$S$3:$S$348,Data!$N$3:$N$348,X$1,Data!$K$3:$K$348,'Reporting 2022'!$B21)</f>
        <v>0</v>
      </c>
      <c r="Y76" s="608">
        <f>SUMIFS(Data!$S$3:$S$348,Data!$N$3:$N$348,Y$1,Data!$K$3:$K$348,'Reporting 2022'!$B21)</f>
        <v>0</v>
      </c>
      <c r="Z76" s="608">
        <f>SUMIFS(Data!$S$3:$S$348,Data!$N$3:$N$348,Z$1,Data!$K$3:$K$348,'Reporting 2022'!$B21)</f>
        <v>0</v>
      </c>
      <c r="AA76" s="608">
        <f>SUMIFS(Data!$S$3:$S$348,Data!$N$3:$N$348,AA$1,Data!$K$3:$K$348,'Reporting 2022'!$B21)</f>
        <v>0</v>
      </c>
      <c r="AB76" s="608">
        <f>SUMIFS(Data!$S$3:$S$348,Data!$N$3:$N$348,AB$1,Data!$K$3:$K$348,'Reporting 2022'!$B21)</f>
        <v>0</v>
      </c>
      <c r="AC76" s="608">
        <f>SUMIFS(Data!$S$3:$S$348,Data!$N$3:$N$348,AC$1,Data!$K$3:$K$348,'Reporting 2022'!$B21)</f>
        <v>0</v>
      </c>
      <c r="AD76" s="608">
        <f>SUMIFS(Data!$S$3:$S$348,Data!$N$3:$N$348,AD$1,Data!$K$3:$K$348,'Reporting 2022'!$B21)</f>
        <v>0</v>
      </c>
      <c r="AE76" s="608">
        <f>SUMIFS(Data!$S$3:$S$348,Data!$N$3:$N$348,AE$1,Data!$K$3:$K$348,'Reporting 2022'!$B21)</f>
        <v>0</v>
      </c>
      <c r="AF76" s="608">
        <f>SUMIFS(Data!$S$3:$S$348,Data!$N$3:$N$348,AF$1,Data!$K$3:$K$348,'Reporting 2022'!$B21)</f>
        <v>0</v>
      </c>
      <c r="AG76" s="608">
        <f>SUMIFS(Data!$S$3:$S$348,Data!$N$3:$N$348,AG$1,Data!$K$3:$K$348,'Reporting 2022'!$B21)</f>
        <v>0</v>
      </c>
      <c r="AH76" s="608">
        <f>SUMIFS(Data!$S$3:$S$348,Data!$N$3:$N$348,AH$1,Data!$K$3:$K$348,'Reporting 2022'!$B21)</f>
        <v>0</v>
      </c>
      <c r="AI76" s="608">
        <f>SUMIFS(Data!$S$3:$S$348,Data!$N$3:$N$348,AI$1,Data!$K$3:$K$348,'Reporting 2022'!$B21)</f>
        <v>0</v>
      </c>
      <c r="AJ76" s="608">
        <f>SUMIFS(Data!$S$3:$S$348,Data!$N$3:$N$348,AJ$1,Data!$K$3:$K$348,'Reporting 2022'!$B21)</f>
        <v>0</v>
      </c>
      <c r="AK76" s="608">
        <f>SUMIFS(Data!$S$3:$S$348,Data!$N$3:$N$348,AK$1,Data!$K$3:$K$348,'Reporting 2022'!$B21)</f>
        <v>0</v>
      </c>
      <c r="AL76" s="608">
        <f>SUMIFS(Data!$S$3:$S$348,Data!$N$3:$N$348,AL$1,Data!$K$3:$K$348,'Reporting 2022'!$B21)</f>
        <v>0</v>
      </c>
      <c r="AM76" s="608">
        <f>SUMIFS(Data!$S$3:$S$348,Data!$N$3:$N$348,AM$1,Data!$K$3:$K$348,'Reporting 2022'!$B21)</f>
        <v>0</v>
      </c>
      <c r="AN76" s="608">
        <f>SUMIFS(Data!$S$3:$S$348,Data!$N$3:$N$348,AN$1,Data!$K$3:$K$348,'Reporting 2022'!$B21)</f>
        <v>0</v>
      </c>
      <c r="AO76" s="608">
        <f>SUMIFS(Data!$S$3:$S$348,Data!$N$3:$N$348,AO$1,Data!$K$3:$K$348,'Reporting 2022'!$B21)</f>
        <v>0</v>
      </c>
      <c r="AP76" s="608">
        <f>SUMIFS(Data!$S$3:$S$348,Data!$N$3:$N$348,AP$1,Data!$K$3:$K$348,'Reporting 2022'!$B21)</f>
        <v>0</v>
      </c>
      <c r="AQ76" s="608">
        <f>SUMIFS(Data!$S$3:$S$348,Data!$N$3:$N$348,AQ$1,Data!$K$3:$K$348,'Reporting 2022'!$B21)</f>
        <v>0</v>
      </c>
      <c r="AR76" s="608">
        <f>SUMIFS(Data!$S$3:$S$348,Data!$N$3:$N$348,AR$1,Data!$K$3:$K$348,'Reporting 2022'!$B21)</f>
        <v>0</v>
      </c>
      <c r="AS76" s="608">
        <f>SUMIFS(Data!$S$3:$S$348,Data!$N$3:$N$348,AS$1,Data!$K$3:$K$348,'Reporting 2022'!$B21)</f>
        <v>0</v>
      </c>
      <c r="AT76" s="608">
        <f>SUMIFS(Data!$S$3:$S$348,Data!$N$3:$N$348,AT$1,Data!$K$3:$K$348,'Reporting 2022'!$B21)</f>
        <v>0</v>
      </c>
      <c r="AU76" s="608">
        <f>SUMIFS(Data!$S$3:$S$348,Data!$N$3:$N$348,AU$1,Data!$K$3:$K$348,'Reporting 2022'!$B21)</f>
        <v>0</v>
      </c>
      <c r="AV76" s="608">
        <f>SUMIFS(Data!$S$3:$S$348,Data!$N$3:$N$348,AV$1,Data!$K$3:$K$348,'Reporting 2022'!$B21)</f>
        <v>0</v>
      </c>
      <c r="AW76" s="608">
        <f>SUMIFS(Data!$S$3:$S$348,Data!$N$3:$N$348,AW$1,Data!$K$3:$K$348,'Reporting 2022'!$B21)</f>
        <v>0</v>
      </c>
      <c r="AX76" s="608">
        <f>SUMIFS(Data!$S$3:$S$348,Data!$N$3:$N$348,AX$1,Data!$K$3:$K$348,'Reporting 2022'!$B21)</f>
        <v>0</v>
      </c>
      <c r="AY76" s="608">
        <f>SUMIFS(Data!$S$3:$S$348,Data!$N$3:$N$348,AY$1,Data!$K$3:$K$348,'Reporting 2022'!$B21)</f>
        <v>0</v>
      </c>
      <c r="AZ76" s="608">
        <f>SUMIFS(Data!$S$3:$S$348,Data!$N$3:$N$348,AZ$1,Data!$K$3:$K$348,'Reporting 2022'!$B21)</f>
        <v>0</v>
      </c>
      <c r="BA76" s="608">
        <f>SUMIFS(Data!$S$3:$S$348,Data!$N$3:$N$348,BA$1,Data!$K$3:$K$348,'Reporting 2022'!$B21)</f>
        <v>0</v>
      </c>
      <c r="BB76" s="608">
        <f>SUMIFS(Data!$S$3:$S$348,Data!$N$3:$N$348,BB$1,Data!$K$3:$K$348,'Reporting 2022'!$B21)</f>
        <v>0</v>
      </c>
    </row>
    <row r="77" spans="2:54" s="437" customFormat="1" x14ac:dyDescent="0.3">
      <c r="B77" s="675" t="s">
        <v>630</v>
      </c>
      <c r="C77" s="608">
        <f>SUMIFS(Data!$S$3:$S$348,Data!$N$3:$N$348,C$1,Data!$K$3:$K$348,'Reporting 2022'!$B22)</f>
        <v>0</v>
      </c>
      <c r="D77" s="608">
        <f>SUMIFS(Data!$S$3:$S$348,Data!$N$3:$N$348,D$1,Data!$K$3:$K$348,'Reporting 2022'!$B22)</f>
        <v>1434</v>
      </c>
      <c r="E77" s="608">
        <f>SUMIFS(Data!$S$3:$S$348,Data!$N$3:$N$348,E$1,Data!$K$3:$K$348,'Reporting 2022'!$B22)</f>
        <v>660</v>
      </c>
      <c r="F77" s="608">
        <f>SUMIFS(Data!$S$3:$S$348,Data!$N$3:$N$348,F$1,Data!$K$3:$K$348,'Reporting 2022'!$B22)</f>
        <v>8736</v>
      </c>
      <c r="G77" s="608">
        <f>SUMIFS(Data!$S$3:$S$348,Data!$N$3:$N$348,G$1,Data!$K$3:$K$348,'Reporting 2022'!$B22)</f>
        <v>0</v>
      </c>
      <c r="H77" s="608">
        <f>SUMIFS(Data!$S$3:$S$348,Data!$N$3:$N$348,H$1,Data!$K$3:$K$348,'Reporting 2022'!$B22)</f>
        <v>0</v>
      </c>
      <c r="I77" s="608">
        <f>SUMIFS(Data!$S$3:$S$348,Data!$N$3:$N$348,I$1,Data!$K$3:$K$348,'Reporting 2022'!$B22)</f>
        <v>77275</v>
      </c>
      <c r="J77" s="608">
        <f>SUMIFS(Data!$S$3:$S$348,Data!$N$3:$N$348,J$1,Data!$K$3:$K$348,'Reporting 2022'!$B22)</f>
        <v>14908</v>
      </c>
      <c r="K77" s="608">
        <f>SUMIFS(Data!$S$3:$S$348,Data!$N$3:$N$348,K$1,Data!$K$3:$K$348,'Reporting 2022'!$B22)</f>
        <v>1917</v>
      </c>
      <c r="L77" s="608">
        <f>SUMIFS(Data!$S$3:$S$348,Data!$N$3:$N$348,L$1,Data!$K$3:$K$348,'Reporting 2022'!$B22)</f>
        <v>10256</v>
      </c>
      <c r="M77" s="608">
        <f>SUMIFS(Data!$S$3:$S$348,Data!$N$3:$N$348,M$1,Data!$K$3:$K$348,'Reporting 2022'!$B22)</f>
        <v>2396</v>
      </c>
      <c r="N77" s="608">
        <f>SUMIFS(Data!$S$3:$S$348,Data!$N$3:$N$348,N$1,Data!$K$3:$K$348,'Reporting 2022'!$B22)</f>
        <v>9043</v>
      </c>
      <c r="O77" s="608">
        <f>SUMIFS(Data!$S$3:$S$348,Data!$N$3:$N$348,O$1,Data!$K$3:$K$348,'Reporting 2022'!$B22)</f>
        <v>0</v>
      </c>
      <c r="P77" s="608">
        <f>SUMIFS(Data!$S$3:$S$348,Data!$N$3:$N$348,P$1,Data!$K$3:$K$348,'Reporting 2022'!$B22)</f>
        <v>11951</v>
      </c>
      <c r="Q77" s="608">
        <f>SUMIFS(Data!$S$3:$S$348,Data!$N$3:$N$348,Q$1,Data!$K$3:$K$348,'Reporting 2022'!$B22)</f>
        <v>0</v>
      </c>
      <c r="R77" s="608">
        <f>SUMIFS(Data!$S$3:$S$348,Data!$N$3:$N$348,R$1,Data!$K$3:$K$348,'Reporting 2022'!$B22)</f>
        <v>0</v>
      </c>
      <c r="S77" s="608">
        <f>SUMIFS(Data!$S$3:$S$348,Data!$N$3:$N$348,S$1,Data!$K$3:$K$348,'Reporting 2022'!$B22)</f>
        <v>0</v>
      </c>
      <c r="T77" s="608">
        <f>SUMIFS(Data!$S$3:$S$348,Data!$N$3:$N$348,T$1,Data!$K$3:$K$348,'Reporting 2022'!$B22)</f>
        <v>0</v>
      </c>
      <c r="U77" s="608">
        <f>SUMIFS(Data!$S$3:$S$348,Data!$N$3:$N$348,U$1,Data!$K$3:$K$348,'Reporting 2022'!$B22)</f>
        <v>0</v>
      </c>
      <c r="V77" s="608">
        <f>SUMIFS(Data!$S$3:$S$348,Data!$N$3:$N$348,V$1,Data!$K$3:$K$348,'Reporting 2022'!$B22)</f>
        <v>0</v>
      </c>
      <c r="W77" s="608">
        <f>SUMIFS(Data!$S$3:$S$348,Data!$N$3:$N$348,W$1,Data!$K$3:$K$348,'Reporting 2022'!$B22)</f>
        <v>0</v>
      </c>
      <c r="X77" s="608">
        <f>SUMIFS(Data!$S$3:$S$348,Data!$N$3:$N$348,X$1,Data!$K$3:$K$348,'Reporting 2022'!$B22)</f>
        <v>0</v>
      </c>
      <c r="Y77" s="608">
        <f>SUMIFS(Data!$S$3:$S$348,Data!$N$3:$N$348,Y$1,Data!$K$3:$K$348,'Reporting 2022'!$B22)</f>
        <v>0</v>
      </c>
      <c r="Z77" s="608">
        <f>SUMIFS(Data!$S$3:$S$348,Data!$N$3:$N$348,Z$1,Data!$K$3:$K$348,'Reporting 2022'!$B22)</f>
        <v>0</v>
      </c>
      <c r="AA77" s="608">
        <f>SUMIFS(Data!$S$3:$S$348,Data!$N$3:$N$348,AA$1,Data!$K$3:$K$348,'Reporting 2022'!$B22)</f>
        <v>0</v>
      </c>
      <c r="AB77" s="608">
        <f>SUMIFS(Data!$S$3:$S$348,Data!$N$3:$N$348,AB$1,Data!$K$3:$K$348,'Reporting 2022'!$B22)</f>
        <v>0</v>
      </c>
      <c r="AC77" s="608">
        <f>SUMIFS(Data!$S$3:$S$348,Data!$N$3:$N$348,AC$1,Data!$K$3:$K$348,'Reporting 2022'!$B22)</f>
        <v>0</v>
      </c>
      <c r="AD77" s="608">
        <f>SUMIFS(Data!$S$3:$S$348,Data!$N$3:$N$348,AD$1,Data!$K$3:$K$348,'Reporting 2022'!$B22)</f>
        <v>0</v>
      </c>
      <c r="AE77" s="608">
        <f>SUMIFS(Data!$S$3:$S$348,Data!$N$3:$N$348,AE$1,Data!$K$3:$K$348,'Reporting 2022'!$B22)</f>
        <v>0</v>
      </c>
      <c r="AF77" s="608">
        <f>SUMIFS(Data!$S$3:$S$348,Data!$N$3:$N$348,AF$1,Data!$K$3:$K$348,'Reporting 2022'!$B22)</f>
        <v>0</v>
      </c>
      <c r="AG77" s="608">
        <f>SUMIFS(Data!$S$3:$S$348,Data!$N$3:$N$348,AG$1,Data!$K$3:$K$348,'Reporting 2022'!$B22)</f>
        <v>0</v>
      </c>
      <c r="AH77" s="608">
        <f>SUMIFS(Data!$S$3:$S$348,Data!$N$3:$N$348,AH$1,Data!$K$3:$K$348,'Reporting 2022'!$B22)</f>
        <v>0</v>
      </c>
      <c r="AI77" s="608">
        <f>SUMIFS(Data!$S$3:$S$348,Data!$N$3:$N$348,AI$1,Data!$K$3:$K$348,'Reporting 2022'!$B22)</f>
        <v>0</v>
      </c>
      <c r="AJ77" s="608">
        <f>SUMIFS(Data!$S$3:$S$348,Data!$N$3:$N$348,AJ$1,Data!$K$3:$K$348,'Reporting 2022'!$B22)</f>
        <v>0</v>
      </c>
      <c r="AK77" s="608">
        <f>SUMIFS(Data!$S$3:$S$348,Data!$N$3:$N$348,AK$1,Data!$K$3:$K$348,'Reporting 2022'!$B22)</f>
        <v>0</v>
      </c>
      <c r="AL77" s="608">
        <f>SUMIFS(Data!$S$3:$S$348,Data!$N$3:$N$348,AL$1,Data!$K$3:$K$348,'Reporting 2022'!$B22)</f>
        <v>0</v>
      </c>
      <c r="AM77" s="608">
        <f>SUMIFS(Data!$S$3:$S$348,Data!$N$3:$N$348,AM$1,Data!$K$3:$K$348,'Reporting 2022'!$B22)</f>
        <v>0</v>
      </c>
      <c r="AN77" s="608">
        <f>SUMIFS(Data!$S$3:$S$348,Data!$N$3:$N$348,AN$1,Data!$K$3:$K$348,'Reporting 2022'!$B22)</f>
        <v>0</v>
      </c>
      <c r="AO77" s="608">
        <f>SUMIFS(Data!$S$3:$S$348,Data!$N$3:$N$348,AO$1,Data!$K$3:$K$348,'Reporting 2022'!$B22)</f>
        <v>0</v>
      </c>
      <c r="AP77" s="608">
        <f>SUMIFS(Data!$S$3:$S$348,Data!$N$3:$N$348,AP$1,Data!$K$3:$K$348,'Reporting 2022'!$B22)</f>
        <v>0</v>
      </c>
      <c r="AQ77" s="608">
        <f>SUMIFS(Data!$S$3:$S$348,Data!$N$3:$N$348,AQ$1,Data!$K$3:$K$348,'Reporting 2022'!$B22)</f>
        <v>0</v>
      </c>
      <c r="AR77" s="608">
        <f>SUMIFS(Data!$S$3:$S$348,Data!$N$3:$N$348,AR$1,Data!$K$3:$K$348,'Reporting 2022'!$B22)</f>
        <v>0</v>
      </c>
      <c r="AS77" s="608">
        <f>SUMIFS(Data!$S$3:$S$348,Data!$N$3:$N$348,AS$1,Data!$K$3:$K$348,'Reporting 2022'!$B22)</f>
        <v>0</v>
      </c>
      <c r="AT77" s="608">
        <f>SUMIFS(Data!$S$3:$S$348,Data!$N$3:$N$348,AT$1,Data!$K$3:$K$348,'Reporting 2022'!$B22)</f>
        <v>0</v>
      </c>
      <c r="AU77" s="608">
        <f>SUMIFS(Data!$S$3:$S$348,Data!$N$3:$N$348,AU$1,Data!$K$3:$K$348,'Reporting 2022'!$B22)</f>
        <v>0</v>
      </c>
      <c r="AV77" s="608">
        <f>SUMIFS(Data!$S$3:$S$348,Data!$N$3:$N$348,AV$1,Data!$K$3:$K$348,'Reporting 2022'!$B22)</f>
        <v>0</v>
      </c>
      <c r="AW77" s="608">
        <f>SUMIFS(Data!$S$3:$S$348,Data!$N$3:$N$348,AW$1,Data!$K$3:$K$348,'Reporting 2022'!$B22)</f>
        <v>0</v>
      </c>
      <c r="AX77" s="608">
        <f>SUMIFS(Data!$S$3:$S$348,Data!$N$3:$N$348,AX$1,Data!$K$3:$K$348,'Reporting 2022'!$B22)</f>
        <v>0</v>
      </c>
      <c r="AY77" s="608">
        <f>SUMIFS(Data!$S$3:$S$348,Data!$N$3:$N$348,AY$1,Data!$K$3:$K$348,'Reporting 2022'!$B22)</f>
        <v>0</v>
      </c>
      <c r="AZ77" s="608">
        <f>SUMIFS(Data!$S$3:$S$348,Data!$N$3:$N$348,AZ$1,Data!$K$3:$K$348,'Reporting 2022'!$B22)</f>
        <v>0</v>
      </c>
      <c r="BA77" s="608">
        <f>SUMIFS(Data!$S$3:$S$348,Data!$N$3:$N$348,BA$1,Data!$K$3:$K$348,'Reporting 2022'!$B22)</f>
        <v>0</v>
      </c>
      <c r="BB77" s="608">
        <f>SUMIFS(Data!$S$3:$S$348,Data!$N$3:$N$348,BB$1,Data!$K$3:$K$348,'Reporting 2022'!$B22)</f>
        <v>0</v>
      </c>
    </row>
    <row r="78" spans="2:54" s="437" customFormat="1" x14ac:dyDescent="0.3">
      <c r="B78" s="675" t="s">
        <v>631</v>
      </c>
      <c r="C78" s="608">
        <f>SUMIFS(Data!$S$3:$S$348,Data!$N$3:$N$348,C$1,Data!$K$3:$K$348,'Reporting 2022'!$B23)</f>
        <v>0</v>
      </c>
      <c r="D78" s="608">
        <f>SUMIFS(Data!$S$3:$S$348,Data!$N$3:$N$348,D$1,Data!$K$3:$K$348,'Reporting 2022'!$B23)</f>
        <v>0</v>
      </c>
      <c r="E78" s="608">
        <f>SUMIFS(Data!$S$3:$S$348,Data!$N$3:$N$348,E$1,Data!$K$3:$K$348,'Reporting 2022'!$B23)</f>
        <v>0</v>
      </c>
      <c r="F78" s="608">
        <f>SUMIFS(Data!$S$3:$S$348,Data!$N$3:$N$348,F$1,Data!$K$3:$K$348,'Reporting 2022'!$B23)</f>
        <v>0</v>
      </c>
      <c r="G78" s="608">
        <f>SUMIFS(Data!$S$3:$S$348,Data!$N$3:$N$348,G$1,Data!$K$3:$K$348,'Reporting 2022'!$B23)</f>
        <v>0</v>
      </c>
      <c r="H78" s="608">
        <f>SUMIFS(Data!$S$3:$S$348,Data!$N$3:$N$348,H$1,Data!$K$3:$K$348,'Reporting 2022'!$B23)</f>
        <v>0</v>
      </c>
      <c r="I78" s="608">
        <f>SUMIFS(Data!$S$3:$S$348,Data!$N$3:$N$348,I$1,Data!$K$3:$K$348,'Reporting 2022'!$B23)</f>
        <v>0</v>
      </c>
      <c r="J78" s="608">
        <f>SUMIFS(Data!$S$3:$S$348,Data!$N$3:$N$348,J$1,Data!$K$3:$K$348,'Reporting 2022'!$B23)</f>
        <v>0</v>
      </c>
      <c r="K78" s="608">
        <f>SUMIFS(Data!$S$3:$S$348,Data!$N$3:$N$348,K$1,Data!$K$3:$K$348,'Reporting 2022'!$B23)</f>
        <v>0</v>
      </c>
      <c r="L78" s="608">
        <f>SUMIFS(Data!$S$3:$S$348,Data!$N$3:$N$348,L$1,Data!$K$3:$K$348,'Reporting 2022'!$B23)</f>
        <v>0</v>
      </c>
      <c r="M78" s="608">
        <f>SUMIFS(Data!$S$3:$S$348,Data!$N$3:$N$348,M$1,Data!$K$3:$K$348,'Reporting 2022'!$B23)</f>
        <v>0</v>
      </c>
      <c r="N78" s="608">
        <f>SUMIFS(Data!$S$3:$S$348,Data!$N$3:$N$348,N$1,Data!$K$3:$K$348,'Reporting 2022'!$B23)</f>
        <v>0</v>
      </c>
      <c r="O78" s="608">
        <f>SUMIFS(Data!$S$3:$S$348,Data!$N$3:$N$348,O$1,Data!$K$3:$K$348,'Reporting 2022'!$B23)</f>
        <v>0</v>
      </c>
      <c r="P78" s="608">
        <f>SUMIFS(Data!$S$3:$S$348,Data!$N$3:$N$348,P$1,Data!$K$3:$K$348,'Reporting 2022'!$B23)</f>
        <v>0</v>
      </c>
      <c r="Q78" s="608">
        <f>SUMIFS(Data!$S$3:$S$348,Data!$N$3:$N$348,Q$1,Data!$K$3:$K$348,'Reporting 2022'!$B23)</f>
        <v>0</v>
      </c>
      <c r="R78" s="608">
        <f>SUMIFS(Data!$S$3:$S$348,Data!$N$3:$N$348,R$1,Data!$K$3:$K$348,'Reporting 2022'!$B23)</f>
        <v>0</v>
      </c>
      <c r="S78" s="608">
        <f>SUMIFS(Data!$S$3:$S$348,Data!$N$3:$N$348,S$1,Data!$K$3:$K$348,'Reporting 2022'!$B23)</f>
        <v>0</v>
      </c>
      <c r="T78" s="608">
        <f>SUMIFS(Data!$S$3:$S$348,Data!$N$3:$N$348,T$1,Data!$K$3:$K$348,'Reporting 2022'!$B23)</f>
        <v>0</v>
      </c>
      <c r="U78" s="608">
        <f>SUMIFS(Data!$S$3:$S$348,Data!$N$3:$N$348,U$1,Data!$K$3:$K$348,'Reporting 2022'!$B23)</f>
        <v>0</v>
      </c>
      <c r="V78" s="608">
        <f>SUMIFS(Data!$S$3:$S$348,Data!$N$3:$N$348,V$1,Data!$K$3:$K$348,'Reporting 2022'!$B23)</f>
        <v>0</v>
      </c>
      <c r="W78" s="608">
        <f>SUMIFS(Data!$S$3:$S$348,Data!$N$3:$N$348,W$1,Data!$K$3:$K$348,'Reporting 2022'!$B23)</f>
        <v>0</v>
      </c>
      <c r="X78" s="608">
        <f>SUMIFS(Data!$S$3:$S$348,Data!$N$3:$N$348,X$1,Data!$K$3:$K$348,'Reporting 2022'!$B23)</f>
        <v>0</v>
      </c>
      <c r="Y78" s="608">
        <f>SUMIFS(Data!$S$3:$S$348,Data!$N$3:$N$348,Y$1,Data!$K$3:$K$348,'Reporting 2022'!$B23)</f>
        <v>0</v>
      </c>
      <c r="Z78" s="608">
        <f>SUMIFS(Data!$S$3:$S$348,Data!$N$3:$N$348,Z$1,Data!$K$3:$K$348,'Reporting 2022'!$B23)</f>
        <v>0</v>
      </c>
      <c r="AA78" s="608">
        <f>SUMIFS(Data!$S$3:$S$348,Data!$N$3:$N$348,AA$1,Data!$K$3:$K$348,'Reporting 2022'!$B23)</f>
        <v>0</v>
      </c>
      <c r="AB78" s="608">
        <f>SUMIFS(Data!$S$3:$S$348,Data!$N$3:$N$348,AB$1,Data!$K$3:$K$348,'Reporting 2022'!$B23)</f>
        <v>0</v>
      </c>
      <c r="AC78" s="608">
        <f>SUMIFS(Data!$S$3:$S$348,Data!$N$3:$N$348,AC$1,Data!$K$3:$K$348,'Reporting 2022'!$B23)</f>
        <v>0</v>
      </c>
      <c r="AD78" s="608">
        <f>SUMIFS(Data!$S$3:$S$348,Data!$N$3:$N$348,AD$1,Data!$K$3:$K$348,'Reporting 2022'!$B23)</f>
        <v>0</v>
      </c>
      <c r="AE78" s="608">
        <f>SUMIFS(Data!$S$3:$S$348,Data!$N$3:$N$348,AE$1,Data!$K$3:$K$348,'Reporting 2022'!$B23)</f>
        <v>0</v>
      </c>
      <c r="AF78" s="608">
        <f>SUMIFS(Data!$S$3:$S$348,Data!$N$3:$N$348,AF$1,Data!$K$3:$K$348,'Reporting 2022'!$B23)</f>
        <v>0</v>
      </c>
      <c r="AG78" s="608">
        <f>SUMIFS(Data!$S$3:$S$348,Data!$N$3:$N$348,AG$1,Data!$K$3:$K$348,'Reporting 2022'!$B23)</f>
        <v>0</v>
      </c>
      <c r="AH78" s="608">
        <f>SUMIFS(Data!$S$3:$S$348,Data!$N$3:$N$348,AH$1,Data!$K$3:$K$348,'Reporting 2022'!$B23)</f>
        <v>0</v>
      </c>
      <c r="AI78" s="608">
        <f>SUMIFS(Data!$S$3:$S$348,Data!$N$3:$N$348,AI$1,Data!$K$3:$K$348,'Reporting 2022'!$B23)</f>
        <v>0</v>
      </c>
      <c r="AJ78" s="608">
        <f>SUMIFS(Data!$S$3:$S$348,Data!$N$3:$N$348,AJ$1,Data!$K$3:$K$348,'Reporting 2022'!$B23)</f>
        <v>0</v>
      </c>
      <c r="AK78" s="608">
        <f>SUMIFS(Data!$S$3:$S$348,Data!$N$3:$N$348,AK$1,Data!$K$3:$K$348,'Reporting 2022'!$B23)</f>
        <v>0</v>
      </c>
      <c r="AL78" s="608">
        <f>SUMIFS(Data!$S$3:$S$348,Data!$N$3:$N$348,AL$1,Data!$K$3:$K$348,'Reporting 2022'!$B23)</f>
        <v>0</v>
      </c>
      <c r="AM78" s="608">
        <f>SUMIFS(Data!$S$3:$S$348,Data!$N$3:$N$348,AM$1,Data!$K$3:$K$348,'Reporting 2022'!$B23)</f>
        <v>0</v>
      </c>
      <c r="AN78" s="608">
        <f>SUMIFS(Data!$S$3:$S$348,Data!$N$3:$N$348,AN$1,Data!$K$3:$K$348,'Reporting 2022'!$B23)</f>
        <v>0</v>
      </c>
      <c r="AO78" s="608">
        <f>SUMIFS(Data!$S$3:$S$348,Data!$N$3:$N$348,AO$1,Data!$K$3:$K$348,'Reporting 2022'!$B23)</f>
        <v>0</v>
      </c>
      <c r="AP78" s="608">
        <f>SUMIFS(Data!$S$3:$S$348,Data!$N$3:$N$348,AP$1,Data!$K$3:$K$348,'Reporting 2022'!$B23)</f>
        <v>0</v>
      </c>
      <c r="AQ78" s="608">
        <f>SUMIFS(Data!$S$3:$S$348,Data!$N$3:$N$348,AQ$1,Data!$K$3:$K$348,'Reporting 2022'!$B23)</f>
        <v>0</v>
      </c>
      <c r="AR78" s="608">
        <f>SUMIFS(Data!$S$3:$S$348,Data!$N$3:$N$348,AR$1,Data!$K$3:$K$348,'Reporting 2022'!$B23)</f>
        <v>0</v>
      </c>
      <c r="AS78" s="608">
        <f>SUMIFS(Data!$S$3:$S$348,Data!$N$3:$N$348,AS$1,Data!$K$3:$K$348,'Reporting 2022'!$B23)</f>
        <v>0</v>
      </c>
      <c r="AT78" s="608">
        <f>SUMIFS(Data!$S$3:$S$348,Data!$N$3:$N$348,AT$1,Data!$K$3:$K$348,'Reporting 2022'!$B23)</f>
        <v>0</v>
      </c>
      <c r="AU78" s="608">
        <f>SUMIFS(Data!$S$3:$S$348,Data!$N$3:$N$348,AU$1,Data!$K$3:$K$348,'Reporting 2022'!$B23)</f>
        <v>0</v>
      </c>
      <c r="AV78" s="608">
        <f>SUMIFS(Data!$S$3:$S$348,Data!$N$3:$N$348,AV$1,Data!$K$3:$K$348,'Reporting 2022'!$B23)</f>
        <v>0</v>
      </c>
      <c r="AW78" s="608">
        <f>SUMIFS(Data!$S$3:$S$348,Data!$N$3:$N$348,AW$1,Data!$K$3:$K$348,'Reporting 2022'!$B23)</f>
        <v>0</v>
      </c>
      <c r="AX78" s="608">
        <f>SUMIFS(Data!$S$3:$S$348,Data!$N$3:$N$348,AX$1,Data!$K$3:$K$348,'Reporting 2022'!$B23)</f>
        <v>0</v>
      </c>
      <c r="AY78" s="608">
        <f>SUMIFS(Data!$S$3:$S$348,Data!$N$3:$N$348,AY$1,Data!$K$3:$K$348,'Reporting 2022'!$B23)</f>
        <v>0</v>
      </c>
      <c r="AZ78" s="608">
        <f>SUMIFS(Data!$S$3:$S$348,Data!$N$3:$N$348,AZ$1,Data!$K$3:$K$348,'Reporting 2022'!$B23)</f>
        <v>0</v>
      </c>
      <c r="BA78" s="608">
        <f>SUMIFS(Data!$S$3:$S$348,Data!$N$3:$N$348,BA$1,Data!$K$3:$K$348,'Reporting 2022'!$B23)</f>
        <v>0</v>
      </c>
      <c r="BB78" s="608">
        <f>SUMIFS(Data!$S$3:$S$348,Data!$N$3:$N$348,BB$1,Data!$K$3:$K$348,'Reporting 2022'!$B23)</f>
        <v>0</v>
      </c>
    </row>
    <row r="79" spans="2:54" s="437" customFormat="1" ht="15" thickBot="1" x14ac:dyDescent="0.35">
      <c r="B79" s="678" t="s">
        <v>632</v>
      </c>
      <c r="C79" s="610">
        <f>SUMIFS(Data!$S$3:$S$348,Data!$N$3:$N$348,C$1,Data!$K$3:$K$348,'Reporting 2022'!$B24)</f>
        <v>0</v>
      </c>
      <c r="D79" s="610">
        <f>SUMIFS(Data!$S$3:$S$348,Data!$N$3:$N$348,D$1,Data!$K$3:$K$348,'Reporting 2022'!$B24)</f>
        <v>0</v>
      </c>
      <c r="E79" s="610">
        <f>SUMIFS(Data!$S$3:$S$348,Data!$N$3:$N$348,E$1,Data!$K$3:$K$348,'Reporting 2022'!$B24)</f>
        <v>0</v>
      </c>
      <c r="F79" s="610">
        <f>SUMIFS(Data!$S$3:$S$348,Data!$N$3:$N$348,F$1,Data!$K$3:$K$348,'Reporting 2022'!$B24)</f>
        <v>0</v>
      </c>
      <c r="G79" s="610">
        <f>SUMIFS(Data!$S$3:$S$348,Data!$N$3:$N$348,G$1,Data!$K$3:$K$348,'Reporting 2022'!$B24)</f>
        <v>0</v>
      </c>
      <c r="H79" s="610">
        <f>SUMIFS(Data!$S$3:$S$348,Data!$N$3:$N$348,H$1,Data!$K$3:$K$348,'Reporting 2022'!$B24)</f>
        <v>0</v>
      </c>
      <c r="I79" s="610">
        <f>SUMIFS(Data!$S$3:$S$348,Data!$N$3:$N$348,I$1,Data!$K$3:$K$348,'Reporting 2022'!$B24)</f>
        <v>0</v>
      </c>
      <c r="J79" s="610">
        <f>SUMIFS(Data!$S$3:$S$348,Data!$N$3:$N$348,J$1,Data!$K$3:$K$348,'Reporting 2022'!$B24)</f>
        <v>0</v>
      </c>
      <c r="K79" s="610">
        <f>SUMIFS(Data!$S$3:$S$348,Data!$N$3:$N$348,K$1,Data!$K$3:$K$348,'Reporting 2022'!$B24)</f>
        <v>0</v>
      </c>
      <c r="L79" s="610">
        <f>SUMIFS(Data!$S$3:$S$348,Data!$N$3:$N$348,L$1,Data!$K$3:$K$348,'Reporting 2022'!$B24)</f>
        <v>0</v>
      </c>
      <c r="M79" s="610">
        <f>SUMIFS(Data!$S$3:$S$348,Data!$N$3:$N$348,M$1,Data!$K$3:$K$348,'Reporting 2022'!$B24)</f>
        <v>0</v>
      </c>
      <c r="N79" s="610">
        <f>SUMIFS(Data!$S$3:$S$348,Data!$N$3:$N$348,N$1,Data!$K$3:$K$348,'Reporting 2022'!$B24)</f>
        <v>0</v>
      </c>
      <c r="O79" s="610">
        <f>SUMIFS(Data!$S$3:$S$348,Data!$N$3:$N$348,O$1,Data!$K$3:$K$348,'Reporting 2022'!$B24)</f>
        <v>0</v>
      </c>
      <c r="P79" s="610">
        <f>SUMIFS(Data!$S$3:$S$348,Data!$N$3:$N$348,P$1,Data!$K$3:$K$348,'Reporting 2022'!$B24)</f>
        <v>0</v>
      </c>
      <c r="Q79" s="610">
        <f>SUMIFS(Data!$S$3:$S$348,Data!$N$3:$N$348,Q$1,Data!$K$3:$K$348,'Reporting 2022'!$B24)</f>
        <v>0</v>
      </c>
      <c r="R79" s="610">
        <f>SUMIFS(Data!$S$3:$S$348,Data!$N$3:$N$348,R$1,Data!$K$3:$K$348,'Reporting 2022'!$B24)</f>
        <v>0</v>
      </c>
      <c r="S79" s="610">
        <f>SUMIFS(Data!$S$3:$S$348,Data!$N$3:$N$348,S$1,Data!$K$3:$K$348,'Reporting 2022'!$B24)</f>
        <v>0</v>
      </c>
      <c r="T79" s="610">
        <f>SUMIFS(Data!$S$3:$S$348,Data!$N$3:$N$348,T$1,Data!$K$3:$K$348,'Reporting 2022'!$B24)</f>
        <v>0</v>
      </c>
      <c r="U79" s="610">
        <f>SUMIFS(Data!$S$3:$S$348,Data!$N$3:$N$348,U$1,Data!$K$3:$K$348,'Reporting 2022'!$B24)</f>
        <v>0</v>
      </c>
      <c r="V79" s="610">
        <f>SUMIFS(Data!$S$3:$S$348,Data!$N$3:$N$348,V$1,Data!$K$3:$K$348,'Reporting 2022'!$B24)</f>
        <v>0</v>
      </c>
      <c r="W79" s="610">
        <f>SUMIFS(Data!$S$3:$S$348,Data!$N$3:$N$348,W$1,Data!$K$3:$K$348,'Reporting 2022'!$B24)</f>
        <v>0</v>
      </c>
      <c r="X79" s="610">
        <f>SUMIFS(Data!$S$3:$S$348,Data!$N$3:$N$348,X$1,Data!$K$3:$K$348,'Reporting 2022'!$B24)</f>
        <v>0</v>
      </c>
      <c r="Y79" s="610">
        <f>SUMIFS(Data!$S$3:$S$348,Data!$N$3:$N$348,Y$1,Data!$K$3:$K$348,'Reporting 2022'!$B24)</f>
        <v>0</v>
      </c>
      <c r="Z79" s="610">
        <f>SUMIFS(Data!$S$3:$S$348,Data!$N$3:$N$348,Z$1,Data!$K$3:$K$348,'Reporting 2022'!$B24)</f>
        <v>0</v>
      </c>
      <c r="AA79" s="610">
        <f>SUMIFS(Data!$S$3:$S$348,Data!$N$3:$N$348,AA$1,Data!$K$3:$K$348,'Reporting 2022'!$B24)</f>
        <v>0</v>
      </c>
      <c r="AB79" s="610">
        <f>SUMIFS(Data!$S$3:$S$348,Data!$N$3:$N$348,AB$1,Data!$K$3:$K$348,'Reporting 2022'!$B24)</f>
        <v>0</v>
      </c>
      <c r="AC79" s="610">
        <f>SUMIFS(Data!$S$3:$S$348,Data!$N$3:$N$348,AC$1,Data!$K$3:$K$348,'Reporting 2022'!$B24)</f>
        <v>0</v>
      </c>
      <c r="AD79" s="610">
        <f>SUMIFS(Data!$S$3:$S$348,Data!$N$3:$N$348,AD$1,Data!$K$3:$K$348,'Reporting 2022'!$B24)</f>
        <v>0</v>
      </c>
      <c r="AE79" s="610">
        <f>SUMIFS(Data!$S$3:$S$348,Data!$N$3:$N$348,AE$1,Data!$K$3:$K$348,'Reporting 2022'!$B24)</f>
        <v>0</v>
      </c>
      <c r="AF79" s="610">
        <f>SUMIFS(Data!$S$3:$S$348,Data!$N$3:$N$348,AF$1,Data!$K$3:$K$348,'Reporting 2022'!$B24)</f>
        <v>0</v>
      </c>
      <c r="AG79" s="610">
        <f>SUMIFS(Data!$S$3:$S$348,Data!$N$3:$N$348,AG$1,Data!$K$3:$K$348,'Reporting 2022'!$B24)</f>
        <v>0</v>
      </c>
      <c r="AH79" s="610">
        <f>SUMIFS(Data!$S$3:$S$348,Data!$N$3:$N$348,AH$1,Data!$K$3:$K$348,'Reporting 2022'!$B24)</f>
        <v>0</v>
      </c>
      <c r="AI79" s="610">
        <f>SUMIFS(Data!$S$3:$S$348,Data!$N$3:$N$348,AI$1,Data!$K$3:$K$348,'Reporting 2022'!$B24)</f>
        <v>0</v>
      </c>
      <c r="AJ79" s="610">
        <f>SUMIFS(Data!$S$3:$S$348,Data!$N$3:$N$348,AJ$1,Data!$K$3:$K$348,'Reporting 2022'!$B24)</f>
        <v>0</v>
      </c>
      <c r="AK79" s="610">
        <f>SUMIFS(Data!$S$3:$S$348,Data!$N$3:$N$348,AK$1,Data!$K$3:$K$348,'Reporting 2022'!$B24)</f>
        <v>0</v>
      </c>
      <c r="AL79" s="610">
        <f>SUMIFS(Data!$S$3:$S$348,Data!$N$3:$N$348,AL$1,Data!$K$3:$K$348,'Reporting 2022'!$B24)</f>
        <v>0</v>
      </c>
      <c r="AM79" s="610">
        <f>SUMIFS(Data!$S$3:$S$348,Data!$N$3:$N$348,AM$1,Data!$K$3:$K$348,'Reporting 2022'!$B24)</f>
        <v>0</v>
      </c>
      <c r="AN79" s="610">
        <f>SUMIFS(Data!$S$3:$S$348,Data!$N$3:$N$348,AN$1,Data!$K$3:$K$348,'Reporting 2022'!$B24)</f>
        <v>0</v>
      </c>
      <c r="AO79" s="610">
        <f>SUMIFS(Data!$S$3:$S$348,Data!$N$3:$N$348,AO$1,Data!$K$3:$K$348,'Reporting 2022'!$B24)</f>
        <v>0</v>
      </c>
      <c r="AP79" s="610">
        <f>SUMIFS(Data!$S$3:$S$348,Data!$N$3:$N$348,AP$1,Data!$K$3:$K$348,'Reporting 2022'!$B24)</f>
        <v>0</v>
      </c>
      <c r="AQ79" s="610">
        <f>SUMIFS(Data!$S$3:$S$348,Data!$N$3:$N$348,AQ$1,Data!$K$3:$K$348,'Reporting 2022'!$B24)</f>
        <v>0</v>
      </c>
      <c r="AR79" s="610">
        <f>SUMIFS(Data!$S$3:$S$348,Data!$N$3:$N$348,AR$1,Data!$K$3:$K$348,'Reporting 2022'!$B24)</f>
        <v>0</v>
      </c>
      <c r="AS79" s="610">
        <f>SUMIFS(Data!$S$3:$S$348,Data!$N$3:$N$348,AS$1,Data!$K$3:$K$348,'Reporting 2022'!$B24)</f>
        <v>0</v>
      </c>
      <c r="AT79" s="610">
        <f>SUMIFS(Data!$S$3:$S$348,Data!$N$3:$N$348,AT$1,Data!$K$3:$K$348,'Reporting 2022'!$B24)</f>
        <v>0</v>
      </c>
      <c r="AU79" s="610">
        <f>SUMIFS(Data!$S$3:$S$348,Data!$N$3:$N$348,AU$1,Data!$K$3:$K$348,'Reporting 2022'!$B24)</f>
        <v>0</v>
      </c>
      <c r="AV79" s="610">
        <f>SUMIFS(Data!$S$3:$S$348,Data!$N$3:$N$348,AV$1,Data!$K$3:$K$348,'Reporting 2022'!$B24)</f>
        <v>0</v>
      </c>
      <c r="AW79" s="610">
        <f>SUMIFS(Data!$S$3:$S$348,Data!$N$3:$N$348,AW$1,Data!$K$3:$K$348,'Reporting 2022'!$B24)</f>
        <v>0</v>
      </c>
      <c r="AX79" s="610">
        <f>SUMIFS(Data!$S$3:$S$348,Data!$N$3:$N$348,AX$1,Data!$K$3:$K$348,'Reporting 2022'!$B24)</f>
        <v>0</v>
      </c>
      <c r="AY79" s="610">
        <f>SUMIFS(Data!$S$3:$S$348,Data!$N$3:$N$348,AY$1,Data!$K$3:$K$348,'Reporting 2022'!$B24)</f>
        <v>0</v>
      </c>
      <c r="AZ79" s="610">
        <f>SUMIFS(Data!$S$3:$S$348,Data!$N$3:$N$348,AZ$1,Data!$K$3:$K$348,'Reporting 2022'!$B24)</f>
        <v>0</v>
      </c>
      <c r="BA79" s="610">
        <f>SUMIFS(Data!$S$3:$S$348,Data!$N$3:$N$348,BA$1,Data!$K$3:$K$348,'Reporting 2022'!$B24)</f>
        <v>0</v>
      </c>
      <c r="BB79" s="610">
        <f>SUMIFS(Data!$S$3:$S$348,Data!$N$3:$N$348,BB$1,Data!$K$3:$K$348,'Reporting 2022'!$B24)</f>
        <v>0</v>
      </c>
    </row>
    <row r="80" spans="2:54" s="437" customFormat="1" ht="15" thickTop="1" x14ac:dyDescent="0.3">
      <c r="B80" s="675" t="s">
        <v>633</v>
      </c>
      <c r="C80" s="664">
        <f>+C70</f>
        <v>0</v>
      </c>
      <c r="D80" s="664">
        <f>C80+D70</f>
        <v>0</v>
      </c>
      <c r="E80" s="664">
        <f t="shared" ref="E80:BB85" si="98">D80+E70</f>
        <v>0</v>
      </c>
      <c r="F80" s="664">
        <f t="shared" si="98"/>
        <v>0</v>
      </c>
      <c r="G80" s="664">
        <f t="shared" si="98"/>
        <v>0</v>
      </c>
      <c r="H80" s="664">
        <f t="shared" si="98"/>
        <v>0</v>
      </c>
      <c r="I80" s="664">
        <f t="shared" si="98"/>
        <v>0</v>
      </c>
      <c r="J80" s="664">
        <f t="shared" si="98"/>
        <v>8579</v>
      </c>
      <c r="K80" s="664">
        <f t="shared" si="98"/>
        <v>8579</v>
      </c>
      <c r="L80" s="664">
        <f t="shared" si="98"/>
        <v>8579</v>
      </c>
      <c r="M80" s="664">
        <f t="shared" si="98"/>
        <v>8579</v>
      </c>
      <c r="N80" s="664">
        <f t="shared" si="98"/>
        <v>8579</v>
      </c>
      <c r="O80" s="664">
        <f t="shared" si="98"/>
        <v>8579</v>
      </c>
      <c r="P80" s="664">
        <f t="shared" si="98"/>
        <v>8579</v>
      </c>
      <c r="Q80" s="664">
        <f t="shared" si="98"/>
        <v>8579</v>
      </c>
      <c r="R80" s="664">
        <f t="shared" si="98"/>
        <v>8579</v>
      </c>
      <c r="S80" s="664">
        <f t="shared" si="98"/>
        <v>8579</v>
      </c>
      <c r="T80" s="664">
        <f t="shared" si="98"/>
        <v>8579</v>
      </c>
      <c r="U80" s="664">
        <f t="shared" si="98"/>
        <v>8579</v>
      </c>
      <c r="V80" s="664">
        <f t="shared" si="98"/>
        <v>8579</v>
      </c>
      <c r="W80" s="664">
        <f t="shared" si="98"/>
        <v>8579</v>
      </c>
      <c r="X80" s="664">
        <f t="shared" si="98"/>
        <v>8579</v>
      </c>
      <c r="Y80" s="664">
        <f t="shared" si="98"/>
        <v>8579</v>
      </c>
      <c r="Z80" s="664">
        <f t="shared" si="98"/>
        <v>8579</v>
      </c>
      <c r="AA80" s="664">
        <f t="shared" si="98"/>
        <v>8579</v>
      </c>
      <c r="AB80" s="664">
        <f t="shared" si="98"/>
        <v>8579</v>
      </c>
      <c r="AC80" s="664">
        <f t="shared" si="98"/>
        <v>8579</v>
      </c>
      <c r="AD80" s="664">
        <f t="shared" si="98"/>
        <v>8579</v>
      </c>
      <c r="AE80" s="664">
        <f t="shared" si="98"/>
        <v>8579</v>
      </c>
      <c r="AF80" s="664">
        <f t="shared" si="98"/>
        <v>8579</v>
      </c>
      <c r="AG80" s="664">
        <f t="shared" si="98"/>
        <v>8579</v>
      </c>
      <c r="AH80" s="664">
        <f t="shared" si="98"/>
        <v>8579</v>
      </c>
      <c r="AI80" s="664">
        <f t="shared" si="98"/>
        <v>8579</v>
      </c>
      <c r="AJ80" s="664">
        <f t="shared" si="98"/>
        <v>8579</v>
      </c>
      <c r="AK80" s="664">
        <f t="shared" si="98"/>
        <v>8579</v>
      </c>
      <c r="AL80" s="664">
        <f t="shared" si="98"/>
        <v>8579</v>
      </c>
      <c r="AM80" s="664">
        <f t="shared" si="98"/>
        <v>8579</v>
      </c>
      <c r="AN80" s="664">
        <f t="shared" si="98"/>
        <v>8579</v>
      </c>
      <c r="AO80" s="664">
        <f t="shared" si="98"/>
        <v>8579</v>
      </c>
      <c r="AP80" s="664">
        <f t="shared" si="98"/>
        <v>8579</v>
      </c>
      <c r="AQ80" s="664">
        <f t="shared" si="98"/>
        <v>8579</v>
      </c>
      <c r="AR80" s="664">
        <f t="shared" si="98"/>
        <v>8579</v>
      </c>
      <c r="AS80" s="664">
        <f t="shared" si="98"/>
        <v>8579</v>
      </c>
      <c r="AT80" s="664">
        <f t="shared" si="98"/>
        <v>8579</v>
      </c>
      <c r="AU80" s="664">
        <f t="shared" si="98"/>
        <v>8579</v>
      </c>
      <c r="AV80" s="664">
        <f t="shared" si="98"/>
        <v>8579</v>
      </c>
      <c r="AW80" s="664">
        <f t="shared" si="98"/>
        <v>8579</v>
      </c>
      <c r="AX80" s="664">
        <f t="shared" si="98"/>
        <v>8579</v>
      </c>
      <c r="AY80" s="664">
        <f t="shared" si="98"/>
        <v>8579</v>
      </c>
      <c r="AZ80" s="664">
        <f t="shared" si="98"/>
        <v>8579</v>
      </c>
      <c r="BA80" s="664">
        <f t="shared" si="98"/>
        <v>8579</v>
      </c>
      <c r="BB80" s="664">
        <f t="shared" si="98"/>
        <v>8579</v>
      </c>
    </row>
    <row r="81" spans="2:54" s="437" customFormat="1" x14ac:dyDescent="0.3">
      <c r="B81" s="675" t="s">
        <v>634</v>
      </c>
      <c r="C81" s="664">
        <f t="shared" ref="C81:C89" si="99">+C71</f>
        <v>0</v>
      </c>
      <c r="D81" s="664">
        <f t="shared" ref="D81:S89" si="100">C81+D71</f>
        <v>0</v>
      </c>
      <c r="E81" s="664">
        <f t="shared" si="100"/>
        <v>0</v>
      </c>
      <c r="F81" s="664">
        <f t="shared" si="100"/>
        <v>0</v>
      </c>
      <c r="G81" s="664">
        <f t="shared" si="100"/>
        <v>0</v>
      </c>
      <c r="H81" s="664">
        <f t="shared" si="100"/>
        <v>0</v>
      </c>
      <c r="I81" s="664">
        <f t="shared" si="100"/>
        <v>0</v>
      </c>
      <c r="J81" s="664">
        <f t="shared" si="100"/>
        <v>0</v>
      </c>
      <c r="K81" s="664">
        <f t="shared" si="100"/>
        <v>0</v>
      </c>
      <c r="L81" s="664">
        <f t="shared" si="100"/>
        <v>0</v>
      </c>
      <c r="M81" s="664">
        <f t="shared" si="100"/>
        <v>0</v>
      </c>
      <c r="N81" s="664">
        <f t="shared" si="100"/>
        <v>0</v>
      </c>
      <c r="O81" s="664">
        <f t="shared" si="100"/>
        <v>0</v>
      </c>
      <c r="P81" s="664">
        <f t="shared" si="100"/>
        <v>0</v>
      </c>
      <c r="Q81" s="664">
        <f t="shared" si="100"/>
        <v>0</v>
      </c>
      <c r="R81" s="664">
        <f t="shared" si="100"/>
        <v>0</v>
      </c>
      <c r="S81" s="664">
        <f t="shared" si="100"/>
        <v>0</v>
      </c>
      <c r="T81" s="664">
        <f t="shared" si="98"/>
        <v>0</v>
      </c>
      <c r="U81" s="664">
        <f t="shared" si="98"/>
        <v>0</v>
      </c>
      <c r="V81" s="664">
        <f t="shared" si="98"/>
        <v>0</v>
      </c>
      <c r="W81" s="664">
        <f t="shared" si="98"/>
        <v>0</v>
      </c>
      <c r="X81" s="664">
        <f t="shared" si="98"/>
        <v>0</v>
      </c>
      <c r="Y81" s="664">
        <f t="shared" si="98"/>
        <v>0</v>
      </c>
      <c r="Z81" s="664">
        <f t="shared" si="98"/>
        <v>0</v>
      </c>
      <c r="AA81" s="664">
        <f t="shared" si="98"/>
        <v>0</v>
      </c>
      <c r="AB81" s="664">
        <f t="shared" si="98"/>
        <v>0</v>
      </c>
      <c r="AC81" s="664">
        <f t="shared" si="98"/>
        <v>0</v>
      </c>
      <c r="AD81" s="664">
        <f t="shared" si="98"/>
        <v>0</v>
      </c>
      <c r="AE81" s="664">
        <f t="shared" si="98"/>
        <v>0</v>
      </c>
      <c r="AF81" s="664">
        <f t="shared" si="98"/>
        <v>0</v>
      </c>
      <c r="AG81" s="664">
        <f t="shared" si="98"/>
        <v>0</v>
      </c>
      <c r="AH81" s="664">
        <f t="shared" si="98"/>
        <v>0</v>
      </c>
      <c r="AI81" s="664">
        <f t="shared" si="98"/>
        <v>0</v>
      </c>
      <c r="AJ81" s="664">
        <f t="shared" si="98"/>
        <v>0</v>
      </c>
      <c r="AK81" s="664">
        <f t="shared" si="98"/>
        <v>0</v>
      </c>
      <c r="AL81" s="664">
        <f t="shared" si="98"/>
        <v>0</v>
      </c>
      <c r="AM81" s="664">
        <f t="shared" si="98"/>
        <v>0</v>
      </c>
      <c r="AN81" s="664">
        <f t="shared" si="98"/>
        <v>0</v>
      </c>
      <c r="AO81" s="664">
        <f t="shared" si="98"/>
        <v>0</v>
      </c>
      <c r="AP81" s="664">
        <f t="shared" si="98"/>
        <v>0</v>
      </c>
      <c r="AQ81" s="664">
        <f t="shared" si="98"/>
        <v>0</v>
      </c>
      <c r="AR81" s="664">
        <f t="shared" si="98"/>
        <v>0</v>
      </c>
      <c r="AS81" s="664">
        <f t="shared" si="98"/>
        <v>0</v>
      </c>
      <c r="AT81" s="664">
        <f t="shared" si="98"/>
        <v>0</v>
      </c>
      <c r="AU81" s="664">
        <f t="shared" si="98"/>
        <v>0</v>
      </c>
      <c r="AV81" s="664">
        <f t="shared" si="98"/>
        <v>0</v>
      </c>
      <c r="AW81" s="664">
        <f t="shared" si="98"/>
        <v>0</v>
      </c>
      <c r="AX81" s="664">
        <f t="shared" si="98"/>
        <v>0</v>
      </c>
      <c r="AY81" s="664">
        <f t="shared" si="98"/>
        <v>0</v>
      </c>
      <c r="AZ81" s="664">
        <f t="shared" si="98"/>
        <v>0</v>
      </c>
      <c r="BA81" s="664">
        <f t="shared" si="98"/>
        <v>0</v>
      </c>
      <c r="BB81" s="664">
        <f t="shared" si="98"/>
        <v>0</v>
      </c>
    </row>
    <row r="82" spans="2:54" s="437" customFormat="1" x14ac:dyDescent="0.3">
      <c r="B82" s="675" t="s">
        <v>635</v>
      </c>
      <c r="C82" s="664">
        <f t="shared" si="99"/>
        <v>0</v>
      </c>
      <c r="D82" s="664">
        <f t="shared" si="100"/>
        <v>0</v>
      </c>
      <c r="E82" s="664">
        <f t="shared" si="98"/>
        <v>0</v>
      </c>
      <c r="F82" s="664">
        <f t="shared" si="98"/>
        <v>0</v>
      </c>
      <c r="G82" s="664">
        <f t="shared" si="98"/>
        <v>0</v>
      </c>
      <c r="H82" s="664">
        <f t="shared" si="98"/>
        <v>0</v>
      </c>
      <c r="I82" s="664">
        <f t="shared" si="98"/>
        <v>0</v>
      </c>
      <c r="J82" s="664">
        <f t="shared" si="98"/>
        <v>9590</v>
      </c>
      <c r="K82" s="664">
        <f t="shared" si="98"/>
        <v>9590</v>
      </c>
      <c r="L82" s="664">
        <f t="shared" si="98"/>
        <v>9590</v>
      </c>
      <c r="M82" s="664">
        <f t="shared" si="98"/>
        <v>9590</v>
      </c>
      <c r="N82" s="664">
        <f t="shared" si="98"/>
        <v>9590</v>
      </c>
      <c r="O82" s="664">
        <f t="shared" si="98"/>
        <v>9590</v>
      </c>
      <c r="P82" s="664">
        <f t="shared" si="98"/>
        <v>9590</v>
      </c>
      <c r="Q82" s="664">
        <f t="shared" si="98"/>
        <v>9590</v>
      </c>
      <c r="R82" s="664">
        <f t="shared" si="98"/>
        <v>9590</v>
      </c>
      <c r="S82" s="664">
        <f t="shared" si="98"/>
        <v>9590</v>
      </c>
      <c r="T82" s="664">
        <f t="shared" si="98"/>
        <v>9590</v>
      </c>
      <c r="U82" s="664">
        <f t="shared" si="98"/>
        <v>9590</v>
      </c>
      <c r="V82" s="664">
        <f t="shared" si="98"/>
        <v>9590</v>
      </c>
      <c r="W82" s="664">
        <f t="shared" si="98"/>
        <v>9590</v>
      </c>
      <c r="X82" s="664">
        <f t="shared" si="98"/>
        <v>9590</v>
      </c>
      <c r="Y82" s="664">
        <f t="shared" si="98"/>
        <v>9590</v>
      </c>
      <c r="Z82" s="664">
        <f t="shared" si="98"/>
        <v>9590</v>
      </c>
      <c r="AA82" s="664">
        <f t="shared" si="98"/>
        <v>9590</v>
      </c>
      <c r="AB82" s="664">
        <f t="shared" si="98"/>
        <v>9590</v>
      </c>
      <c r="AC82" s="664">
        <f t="shared" si="98"/>
        <v>9590</v>
      </c>
      <c r="AD82" s="664">
        <f t="shared" si="98"/>
        <v>9590</v>
      </c>
      <c r="AE82" s="664">
        <f t="shared" si="98"/>
        <v>9590</v>
      </c>
      <c r="AF82" s="664">
        <f t="shared" si="98"/>
        <v>9590</v>
      </c>
      <c r="AG82" s="664">
        <f t="shared" si="98"/>
        <v>9590</v>
      </c>
      <c r="AH82" s="664">
        <f t="shared" si="98"/>
        <v>9590</v>
      </c>
      <c r="AI82" s="664">
        <f t="shared" si="98"/>
        <v>9590</v>
      </c>
      <c r="AJ82" s="664">
        <f t="shared" si="98"/>
        <v>9590</v>
      </c>
      <c r="AK82" s="664">
        <f t="shared" si="98"/>
        <v>9590</v>
      </c>
      <c r="AL82" s="664">
        <f t="shared" si="98"/>
        <v>9590</v>
      </c>
      <c r="AM82" s="664">
        <f t="shared" si="98"/>
        <v>9590</v>
      </c>
      <c r="AN82" s="664">
        <f t="shared" si="98"/>
        <v>9590</v>
      </c>
      <c r="AO82" s="664">
        <f t="shared" si="98"/>
        <v>9590</v>
      </c>
      <c r="AP82" s="664">
        <f t="shared" si="98"/>
        <v>9590</v>
      </c>
      <c r="AQ82" s="664">
        <f t="shared" si="98"/>
        <v>9590</v>
      </c>
      <c r="AR82" s="664">
        <f t="shared" si="98"/>
        <v>9590</v>
      </c>
      <c r="AS82" s="664">
        <f t="shared" si="98"/>
        <v>9590</v>
      </c>
      <c r="AT82" s="664">
        <f t="shared" si="98"/>
        <v>9590</v>
      </c>
      <c r="AU82" s="664">
        <f t="shared" si="98"/>
        <v>9590</v>
      </c>
      <c r="AV82" s="664">
        <f t="shared" si="98"/>
        <v>9590</v>
      </c>
      <c r="AW82" s="664">
        <f t="shared" si="98"/>
        <v>9590</v>
      </c>
      <c r="AX82" s="664">
        <f t="shared" si="98"/>
        <v>9590</v>
      </c>
      <c r="AY82" s="664">
        <f t="shared" si="98"/>
        <v>9590</v>
      </c>
      <c r="AZ82" s="664">
        <f t="shared" si="98"/>
        <v>9590</v>
      </c>
      <c r="BA82" s="664">
        <f t="shared" si="98"/>
        <v>9590</v>
      </c>
      <c r="BB82" s="664">
        <f t="shared" si="98"/>
        <v>9590</v>
      </c>
    </row>
    <row r="83" spans="2:54" s="437" customFormat="1" x14ac:dyDescent="0.3">
      <c r="B83" s="675" t="s">
        <v>636</v>
      </c>
      <c r="C83" s="664">
        <f t="shared" si="99"/>
        <v>0</v>
      </c>
      <c r="D83" s="664">
        <f t="shared" si="100"/>
        <v>0</v>
      </c>
      <c r="E83" s="664">
        <f t="shared" si="98"/>
        <v>0</v>
      </c>
      <c r="F83" s="664">
        <f t="shared" si="98"/>
        <v>0</v>
      </c>
      <c r="G83" s="664">
        <f t="shared" si="98"/>
        <v>0</v>
      </c>
      <c r="H83" s="664">
        <f t="shared" si="98"/>
        <v>0</v>
      </c>
      <c r="I83" s="664">
        <f t="shared" si="98"/>
        <v>0</v>
      </c>
      <c r="J83" s="664">
        <f t="shared" si="98"/>
        <v>0</v>
      </c>
      <c r="K83" s="664">
        <f t="shared" si="98"/>
        <v>0</v>
      </c>
      <c r="L83" s="664">
        <f t="shared" si="98"/>
        <v>0</v>
      </c>
      <c r="M83" s="664">
        <f t="shared" si="98"/>
        <v>0</v>
      </c>
      <c r="N83" s="664">
        <f t="shared" si="98"/>
        <v>0</v>
      </c>
      <c r="O83" s="664">
        <f t="shared" si="98"/>
        <v>0</v>
      </c>
      <c r="P83" s="664">
        <f t="shared" si="98"/>
        <v>0</v>
      </c>
      <c r="Q83" s="664">
        <f t="shared" si="98"/>
        <v>0</v>
      </c>
      <c r="R83" s="664">
        <f t="shared" si="98"/>
        <v>0</v>
      </c>
      <c r="S83" s="664">
        <f t="shared" si="98"/>
        <v>0</v>
      </c>
      <c r="T83" s="664">
        <f t="shared" si="98"/>
        <v>0</v>
      </c>
      <c r="U83" s="664">
        <f t="shared" si="98"/>
        <v>0</v>
      </c>
      <c r="V83" s="664">
        <f t="shared" si="98"/>
        <v>0</v>
      </c>
      <c r="W83" s="664">
        <f t="shared" si="98"/>
        <v>0</v>
      </c>
      <c r="X83" s="664">
        <f t="shared" si="98"/>
        <v>0</v>
      </c>
      <c r="Y83" s="664">
        <f t="shared" si="98"/>
        <v>0</v>
      </c>
      <c r="Z83" s="664">
        <f t="shared" si="98"/>
        <v>0</v>
      </c>
      <c r="AA83" s="664">
        <f t="shared" si="98"/>
        <v>0</v>
      </c>
      <c r="AB83" s="664">
        <f t="shared" si="98"/>
        <v>0</v>
      </c>
      <c r="AC83" s="664">
        <f t="shared" si="98"/>
        <v>0</v>
      </c>
      <c r="AD83" s="664">
        <f t="shared" si="98"/>
        <v>0</v>
      </c>
      <c r="AE83" s="664">
        <f t="shared" si="98"/>
        <v>0</v>
      </c>
      <c r="AF83" s="664">
        <f t="shared" si="98"/>
        <v>0</v>
      </c>
      <c r="AG83" s="664">
        <f t="shared" si="98"/>
        <v>0</v>
      </c>
      <c r="AH83" s="664">
        <f t="shared" si="98"/>
        <v>0</v>
      </c>
      <c r="AI83" s="664">
        <f t="shared" si="98"/>
        <v>0</v>
      </c>
      <c r="AJ83" s="664">
        <f t="shared" si="98"/>
        <v>0</v>
      </c>
      <c r="AK83" s="664">
        <f t="shared" si="98"/>
        <v>0</v>
      </c>
      <c r="AL83" s="664">
        <f t="shared" si="98"/>
        <v>0</v>
      </c>
      <c r="AM83" s="664">
        <f t="shared" si="98"/>
        <v>0</v>
      </c>
      <c r="AN83" s="664">
        <f t="shared" si="98"/>
        <v>0</v>
      </c>
      <c r="AO83" s="664">
        <f t="shared" si="98"/>
        <v>0</v>
      </c>
      <c r="AP83" s="664">
        <f t="shared" si="98"/>
        <v>0</v>
      </c>
      <c r="AQ83" s="664">
        <f t="shared" si="98"/>
        <v>0</v>
      </c>
      <c r="AR83" s="664">
        <f t="shared" si="98"/>
        <v>0</v>
      </c>
      <c r="AS83" s="664">
        <f t="shared" si="98"/>
        <v>0</v>
      </c>
      <c r="AT83" s="664">
        <f t="shared" si="98"/>
        <v>0</v>
      </c>
      <c r="AU83" s="664">
        <f t="shared" si="98"/>
        <v>0</v>
      </c>
      <c r="AV83" s="664">
        <f t="shared" si="98"/>
        <v>0</v>
      </c>
      <c r="AW83" s="664">
        <f t="shared" si="98"/>
        <v>0</v>
      </c>
      <c r="AX83" s="664">
        <f t="shared" si="98"/>
        <v>0</v>
      </c>
      <c r="AY83" s="664">
        <f t="shared" si="98"/>
        <v>0</v>
      </c>
      <c r="AZ83" s="664">
        <f t="shared" si="98"/>
        <v>0</v>
      </c>
      <c r="BA83" s="664">
        <f t="shared" si="98"/>
        <v>0</v>
      </c>
      <c r="BB83" s="664">
        <f t="shared" si="98"/>
        <v>0</v>
      </c>
    </row>
    <row r="84" spans="2:54" x14ac:dyDescent="0.3">
      <c r="B84" s="675" t="s">
        <v>637</v>
      </c>
      <c r="C84" s="664">
        <f t="shared" si="99"/>
        <v>0</v>
      </c>
      <c r="D84" s="664">
        <f t="shared" si="100"/>
        <v>0</v>
      </c>
      <c r="E84" s="664">
        <f t="shared" si="98"/>
        <v>0</v>
      </c>
      <c r="F84" s="664">
        <f t="shared" si="98"/>
        <v>0</v>
      </c>
      <c r="G84" s="664">
        <f t="shared" si="98"/>
        <v>0</v>
      </c>
      <c r="H84" s="664">
        <f t="shared" si="98"/>
        <v>0</v>
      </c>
      <c r="I84" s="664">
        <f t="shared" si="98"/>
        <v>0</v>
      </c>
      <c r="J84" s="664">
        <f t="shared" si="98"/>
        <v>0</v>
      </c>
      <c r="K84" s="664">
        <f t="shared" si="98"/>
        <v>0</v>
      </c>
      <c r="L84" s="664">
        <f t="shared" si="98"/>
        <v>0</v>
      </c>
      <c r="M84" s="664">
        <f t="shared" si="98"/>
        <v>0</v>
      </c>
      <c r="N84" s="664">
        <f t="shared" si="98"/>
        <v>0</v>
      </c>
      <c r="O84" s="664">
        <f t="shared" si="98"/>
        <v>0</v>
      </c>
      <c r="P84" s="664">
        <f t="shared" si="98"/>
        <v>0</v>
      </c>
      <c r="Q84" s="664">
        <f t="shared" si="98"/>
        <v>0</v>
      </c>
      <c r="R84" s="664">
        <f t="shared" si="98"/>
        <v>0</v>
      </c>
      <c r="S84" s="664">
        <f t="shared" si="98"/>
        <v>0</v>
      </c>
      <c r="T84" s="664">
        <f t="shared" si="98"/>
        <v>0</v>
      </c>
      <c r="U84" s="664">
        <f t="shared" si="98"/>
        <v>0</v>
      </c>
      <c r="V84" s="664">
        <f t="shared" si="98"/>
        <v>0</v>
      </c>
      <c r="W84" s="664">
        <f t="shared" si="98"/>
        <v>0</v>
      </c>
      <c r="X84" s="664">
        <f t="shared" si="98"/>
        <v>0</v>
      </c>
      <c r="Y84" s="664">
        <f t="shared" si="98"/>
        <v>0</v>
      </c>
      <c r="Z84" s="664">
        <f t="shared" si="98"/>
        <v>0</v>
      </c>
      <c r="AA84" s="664">
        <f t="shared" si="98"/>
        <v>0</v>
      </c>
      <c r="AB84" s="664">
        <f t="shared" si="98"/>
        <v>0</v>
      </c>
      <c r="AC84" s="664">
        <f t="shared" si="98"/>
        <v>0</v>
      </c>
      <c r="AD84" s="664">
        <f t="shared" si="98"/>
        <v>0</v>
      </c>
      <c r="AE84" s="664">
        <f t="shared" si="98"/>
        <v>0</v>
      </c>
      <c r="AF84" s="664">
        <f t="shared" si="98"/>
        <v>0</v>
      </c>
      <c r="AG84" s="664">
        <f t="shared" si="98"/>
        <v>0</v>
      </c>
      <c r="AH84" s="664">
        <f t="shared" si="98"/>
        <v>0</v>
      </c>
      <c r="AI84" s="664">
        <f t="shared" si="98"/>
        <v>0</v>
      </c>
      <c r="AJ84" s="664">
        <f t="shared" si="98"/>
        <v>0</v>
      </c>
      <c r="AK84" s="664">
        <f t="shared" si="98"/>
        <v>0</v>
      </c>
      <c r="AL84" s="664">
        <f t="shared" si="98"/>
        <v>0</v>
      </c>
      <c r="AM84" s="664">
        <f t="shared" si="98"/>
        <v>0</v>
      </c>
      <c r="AN84" s="664">
        <f t="shared" si="98"/>
        <v>0</v>
      </c>
      <c r="AO84" s="664">
        <f t="shared" si="98"/>
        <v>0</v>
      </c>
      <c r="AP84" s="664">
        <f t="shared" si="98"/>
        <v>0</v>
      </c>
      <c r="AQ84" s="664">
        <f t="shared" si="98"/>
        <v>0</v>
      </c>
      <c r="AR84" s="664">
        <f t="shared" si="98"/>
        <v>0</v>
      </c>
      <c r="AS84" s="664">
        <f t="shared" si="98"/>
        <v>0</v>
      </c>
      <c r="AT84" s="664">
        <f t="shared" si="98"/>
        <v>0</v>
      </c>
      <c r="AU84" s="664">
        <f t="shared" si="98"/>
        <v>0</v>
      </c>
      <c r="AV84" s="664">
        <f t="shared" si="98"/>
        <v>0</v>
      </c>
      <c r="AW84" s="664">
        <f t="shared" si="98"/>
        <v>0</v>
      </c>
      <c r="AX84" s="664">
        <f t="shared" si="98"/>
        <v>0</v>
      </c>
      <c r="AY84" s="664">
        <f t="shared" si="98"/>
        <v>0</v>
      </c>
      <c r="AZ84" s="664">
        <f t="shared" si="98"/>
        <v>0</v>
      </c>
      <c r="BA84" s="664">
        <f t="shared" si="98"/>
        <v>0</v>
      </c>
      <c r="BB84" s="664">
        <f t="shared" si="98"/>
        <v>0</v>
      </c>
    </row>
    <row r="85" spans="2:54" x14ac:dyDescent="0.3">
      <c r="B85" s="675" t="s">
        <v>638</v>
      </c>
      <c r="C85" s="664">
        <f t="shared" si="99"/>
        <v>0</v>
      </c>
      <c r="D85" s="664">
        <f t="shared" si="100"/>
        <v>10950</v>
      </c>
      <c r="E85" s="664">
        <f t="shared" si="98"/>
        <v>10950</v>
      </c>
      <c r="F85" s="664">
        <f t="shared" si="98"/>
        <v>10950</v>
      </c>
      <c r="G85" s="664">
        <f t="shared" si="98"/>
        <v>16100</v>
      </c>
      <c r="H85" s="664">
        <f t="shared" si="98"/>
        <v>19280</v>
      </c>
      <c r="I85" s="664">
        <f t="shared" si="98"/>
        <v>19280</v>
      </c>
      <c r="J85" s="664">
        <f t="shared" si="98"/>
        <v>19280</v>
      </c>
      <c r="K85" s="664">
        <f t="shared" si="98"/>
        <v>25460</v>
      </c>
      <c r="L85" s="664">
        <f t="shared" si="98"/>
        <v>28880</v>
      </c>
      <c r="M85" s="664">
        <f t="shared" si="98"/>
        <v>28880</v>
      </c>
      <c r="N85" s="664">
        <f t="shared" si="98"/>
        <v>32060</v>
      </c>
      <c r="O85" s="664">
        <f t="shared" si="98"/>
        <v>33260</v>
      </c>
      <c r="P85" s="664">
        <f t="shared" si="98"/>
        <v>36440</v>
      </c>
      <c r="Q85" s="664">
        <f t="shared" si="98"/>
        <v>36440</v>
      </c>
      <c r="R85" s="664">
        <f t="shared" si="98"/>
        <v>36440</v>
      </c>
      <c r="S85" s="664">
        <f t="shared" si="98"/>
        <v>36440</v>
      </c>
      <c r="T85" s="664">
        <f t="shared" si="98"/>
        <v>36440</v>
      </c>
      <c r="U85" s="664">
        <f t="shared" si="98"/>
        <v>36440</v>
      </c>
      <c r="V85" s="664">
        <f t="shared" si="98"/>
        <v>36440</v>
      </c>
      <c r="W85" s="664">
        <f t="shared" si="98"/>
        <v>36440</v>
      </c>
      <c r="X85" s="664">
        <f t="shared" si="98"/>
        <v>36440</v>
      </c>
      <c r="Y85" s="664">
        <f t="shared" ref="E85:BB89" si="101">X85+Y75</f>
        <v>36440</v>
      </c>
      <c r="Z85" s="664">
        <f t="shared" si="101"/>
        <v>36440</v>
      </c>
      <c r="AA85" s="664">
        <f t="shared" si="101"/>
        <v>36440</v>
      </c>
      <c r="AB85" s="664">
        <f t="shared" si="101"/>
        <v>36440</v>
      </c>
      <c r="AC85" s="664">
        <f t="shared" si="101"/>
        <v>36440</v>
      </c>
      <c r="AD85" s="664">
        <f t="shared" si="101"/>
        <v>36440</v>
      </c>
      <c r="AE85" s="664">
        <f t="shared" si="101"/>
        <v>36440</v>
      </c>
      <c r="AF85" s="664">
        <f t="shared" si="101"/>
        <v>36440</v>
      </c>
      <c r="AG85" s="664">
        <f t="shared" si="101"/>
        <v>36440</v>
      </c>
      <c r="AH85" s="664">
        <f t="shared" si="101"/>
        <v>36440</v>
      </c>
      <c r="AI85" s="664">
        <f t="shared" si="101"/>
        <v>36440</v>
      </c>
      <c r="AJ85" s="664">
        <f t="shared" si="101"/>
        <v>36440</v>
      </c>
      <c r="AK85" s="664">
        <f t="shared" si="101"/>
        <v>36440</v>
      </c>
      <c r="AL85" s="664">
        <f t="shared" si="101"/>
        <v>36440</v>
      </c>
      <c r="AM85" s="664">
        <f t="shared" si="101"/>
        <v>36440</v>
      </c>
      <c r="AN85" s="664">
        <f t="shared" si="101"/>
        <v>36440</v>
      </c>
      <c r="AO85" s="664">
        <f t="shared" si="101"/>
        <v>36440</v>
      </c>
      <c r="AP85" s="664">
        <f t="shared" si="101"/>
        <v>36440</v>
      </c>
      <c r="AQ85" s="664">
        <f t="shared" si="101"/>
        <v>36440</v>
      </c>
      <c r="AR85" s="664">
        <f t="shared" si="101"/>
        <v>36440</v>
      </c>
      <c r="AS85" s="664">
        <f t="shared" si="101"/>
        <v>36440</v>
      </c>
      <c r="AT85" s="664">
        <f t="shared" si="101"/>
        <v>36440</v>
      </c>
      <c r="AU85" s="664">
        <f t="shared" si="101"/>
        <v>36440</v>
      </c>
      <c r="AV85" s="664">
        <f t="shared" si="101"/>
        <v>36440</v>
      </c>
      <c r="AW85" s="664">
        <f t="shared" si="101"/>
        <v>36440</v>
      </c>
      <c r="AX85" s="664">
        <f t="shared" si="101"/>
        <v>36440</v>
      </c>
      <c r="AY85" s="664">
        <f t="shared" si="101"/>
        <v>36440</v>
      </c>
      <c r="AZ85" s="664">
        <f t="shared" si="101"/>
        <v>36440</v>
      </c>
      <c r="BA85" s="664">
        <f t="shared" si="101"/>
        <v>36440</v>
      </c>
      <c r="BB85" s="664">
        <f t="shared" si="101"/>
        <v>36440</v>
      </c>
    </row>
    <row r="86" spans="2:54" x14ac:dyDescent="0.3">
      <c r="B86" s="675" t="s">
        <v>639</v>
      </c>
      <c r="C86" s="664">
        <f t="shared" si="99"/>
        <v>0</v>
      </c>
      <c r="D86" s="664">
        <f t="shared" si="100"/>
        <v>0</v>
      </c>
      <c r="E86" s="664">
        <f t="shared" si="101"/>
        <v>0</v>
      </c>
      <c r="F86" s="664">
        <f t="shared" si="101"/>
        <v>0</v>
      </c>
      <c r="G86" s="664">
        <f t="shared" si="101"/>
        <v>0</v>
      </c>
      <c r="H86" s="664">
        <f t="shared" si="101"/>
        <v>0</v>
      </c>
      <c r="I86" s="664">
        <f t="shared" si="101"/>
        <v>0</v>
      </c>
      <c r="J86" s="664">
        <f t="shared" si="101"/>
        <v>0</v>
      </c>
      <c r="K86" s="664">
        <f t="shared" si="101"/>
        <v>0</v>
      </c>
      <c r="L86" s="664">
        <f t="shared" si="101"/>
        <v>0</v>
      </c>
      <c r="M86" s="664">
        <f t="shared" si="101"/>
        <v>0</v>
      </c>
      <c r="N86" s="664">
        <f t="shared" si="101"/>
        <v>0</v>
      </c>
      <c r="O86" s="664">
        <f t="shared" si="101"/>
        <v>0</v>
      </c>
      <c r="P86" s="664">
        <f t="shared" si="101"/>
        <v>0</v>
      </c>
      <c r="Q86" s="664">
        <f t="shared" si="101"/>
        <v>0</v>
      </c>
      <c r="R86" s="664">
        <f t="shared" si="101"/>
        <v>0</v>
      </c>
      <c r="S86" s="664">
        <f t="shared" si="101"/>
        <v>0</v>
      </c>
      <c r="T86" s="664">
        <f t="shared" si="101"/>
        <v>0</v>
      </c>
      <c r="U86" s="664">
        <f t="shared" si="101"/>
        <v>0</v>
      </c>
      <c r="V86" s="664">
        <f t="shared" si="101"/>
        <v>0</v>
      </c>
      <c r="W86" s="664">
        <f t="shared" si="101"/>
        <v>0</v>
      </c>
      <c r="X86" s="664">
        <f t="shared" si="101"/>
        <v>0</v>
      </c>
      <c r="Y86" s="664">
        <f t="shared" si="101"/>
        <v>0</v>
      </c>
      <c r="Z86" s="664">
        <f t="shared" si="101"/>
        <v>0</v>
      </c>
      <c r="AA86" s="664">
        <f t="shared" si="101"/>
        <v>0</v>
      </c>
      <c r="AB86" s="664">
        <f t="shared" si="101"/>
        <v>0</v>
      </c>
      <c r="AC86" s="664">
        <f t="shared" si="101"/>
        <v>0</v>
      </c>
      <c r="AD86" s="664">
        <f t="shared" si="101"/>
        <v>0</v>
      </c>
      <c r="AE86" s="664">
        <f t="shared" si="101"/>
        <v>0</v>
      </c>
      <c r="AF86" s="664">
        <f t="shared" si="101"/>
        <v>0</v>
      </c>
      <c r="AG86" s="664">
        <f t="shared" si="101"/>
        <v>0</v>
      </c>
      <c r="AH86" s="664">
        <f t="shared" si="101"/>
        <v>0</v>
      </c>
      <c r="AI86" s="664">
        <f t="shared" si="101"/>
        <v>0</v>
      </c>
      <c r="AJ86" s="664">
        <f t="shared" si="101"/>
        <v>0</v>
      </c>
      <c r="AK86" s="664">
        <f t="shared" si="101"/>
        <v>0</v>
      </c>
      <c r="AL86" s="664">
        <f t="shared" si="101"/>
        <v>0</v>
      </c>
      <c r="AM86" s="664">
        <f t="shared" si="101"/>
        <v>0</v>
      </c>
      <c r="AN86" s="664">
        <f t="shared" si="101"/>
        <v>0</v>
      </c>
      <c r="AO86" s="664">
        <f t="shared" si="101"/>
        <v>0</v>
      </c>
      <c r="AP86" s="664">
        <f t="shared" si="101"/>
        <v>0</v>
      </c>
      <c r="AQ86" s="664">
        <f t="shared" si="101"/>
        <v>0</v>
      </c>
      <c r="AR86" s="664">
        <f t="shared" si="101"/>
        <v>0</v>
      </c>
      <c r="AS86" s="664">
        <f t="shared" si="101"/>
        <v>0</v>
      </c>
      <c r="AT86" s="664">
        <f t="shared" si="101"/>
        <v>0</v>
      </c>
      <c r="AU86" s="664">
        <f t="shared" si="101"/>
        <v>0</v>
      </c>
      <c r="AV86" s="664">
        <f t="shared" si="101"/>
        <v>0</v>
      </c>
      <c r="AW86" s="664">
        <f t="shared" si="101"/>
        <v>0</v>
      </c>
      <c r="AX86" s="664">
        <f t="shared" si="101"/>
        <v>0</v>
      </c>
      <c r="AY86" s="664">
        <f t="shared" si="101"/>
        <v>0</v>
      </c>
      <c r="AZ86" s="664">
        <f t="shared" si="101"/>
        <v>0</v>
      </c>
      <c r="BA86" s="664">
        <f t="shared" si="101"/>
        <v>0</v>
      </c>
      <c r="BB86" s="664">
        <f t="shared" si="101"/>
        <v>0</v>
      </c>
    </row>
    <row r="87" spans="2:54" x14ac:dyDescent="0.3">
      <c r="B87" s="675" t="s">
        <v>640</v>
      </c>
      <c r="C87" s="664">
        <f t="shared" si="99"/>
        <v>0</v>
      </c>
      <c r="D87" s="664">
        <f t="shared" si="100"/>
        <v>1434</v>
      </c>
      <c r="E87" s="664">
        <f t="shared" si="101"/>
        <v>2094</v>
      </c>
      <c r="F87" s="664">
        <f t="shared" si="101"/>
        <v>10830</v>
      </c>
      <c r="G87" s="664">
        <f t="shared" si="101"/>
        <v>10830</v>
      </c>
      <c r="H87" s="664">
        <f t="shared" si="101"/>
        <v>10830</v>
      </c>
      <c r="I87" s="664">
        <f t="shared" si="101"/>
        <v>88105</v>
      </c>
      <c r="J87" s="664">
        <f t="shared" si="101"/>
        <v>103013</v>
      </c>
      <c r="K87" s="664">
        <f t="shared" si="101"/>
        <v>104930</v>
      </c>
      <c r="L87" s="664">
        <f t="shared" si="101"/>
        <v>115186</v>
      </c>
      <c r="M87" s="664">
        <f t="shared" si="101"/>
        <v>117582</v>
      </c>
      <c r="N87" s="664">
        <f t="shared" si="101"/>
        <v>126625</v>
      </c>
      <c r="O87" s="664">
        <f t="shared" si="101"/>
        <v>126625</v>
      </c>
      <c r="P87" s="664">
        <f t="shared" si="101"/>
        <v>138576</v>
      </c>
      <c r="Q87" s="664">
        <f t="shared" si="101"/>
        <v>138576</v>
      </c>
      <c r="R87" s="664">
        <f t="shared" si="101"/>
        <v>138576</v>
      </c>
      <c r="S87" s="664">
        <f t="shared" si="101"/>
        <v>138576</v>
      </c>
      <c r="T87" s="664">
        <f t="shared" si="101"/>
        <v>138576</v>
      </c>
      <c r="U87" s="664">
        <f t="shared" si="101"/>
        <v>138576</v>
      </c>
      <c r="V87" s="664">
        <f t="shared" si="101"/>
        <v>138576</v>
      </c>
      <c r="W87" s="664">
        <f t="shared" si="101"/>
        <v>138576</v>
      </c>
      <c r="X87" s="664">
        <f t="shared" si="101"/>
        <v>138576</v>
      </c>
      <c r="Y87" s="664">
        <f t="shared" si="101"/>
        <v>138576</v>
      </c>
      <c r="Z87" s="664">
        <f t="shared" si="101"/>
        <v>138576</v>
      </c>
      <c r="AA87" s="664">
        <f t="shared" si="101"/>
        <v>138576</v>
      </c>
      <c r="AB87" s="664">
        <f t="shared" si="101"/>
        <v>138576</v>
      </c>
      <c r="AC87" s="664">
        <f t="shared" si="101"/>
        <v>138576</v>
      </c>
      <c r="AD87" s="664">
        <f t="shared" si="101"/>
        <v>138576</v>
      </c>
      <c r="AE87" s="664">
        <f t="shared" si="101"/>
        <v>138576</v>
      </c>
      <c r="AF87" s="664">
        <f t="shared" si="101"/>
        <v>138576</v>
      </c>
      <c r="AG87" s="664">
        <f t="shared" si="101"/>
        <v>138576</v>
      </c>
      <c r="AH87" s="664">
        <f t="shared" si="101"/>
        <v>138576</v>
      </c>
      <c r="AI87" s="664">
        <f t="shared" si="101"/>
        <v>138576</v>
      </c>
      <c r="AJ87" s="664">
        <f t="shared" si="101"/>
        <v>138576</v>
      </c>
      <c r="AK87" s="664">
        <f t="shared" si="101"/>
        <v>138576</v>
      </c>
      <c r="AL87" s="664">
        <f t="shared" si="101"/>
        <v>138576</v>
      </c>
      <c r="AM87" s="664">
        <f t="shared" si="101"/>
        <v>138576</v>
      </c>
      <c r="AN87" s="664">
        <f t="shared" si="101"/>
        <v>138576</v>
      </c>
      <c r="AO87" s="664">
        <f t="shared" si="101"/>
        <v>138576</v>
      </c>
      <c r="AP87" s="664">
        <f t="shared" si="101"/>
        <v>138576</v>
      </c>
      <c r="AQ87" s="664">
        <f t="shared" si="101"/>
        <v>138576</v>
      </c>
      <c r="AR87" s="664">
        <f t="shared" si="101"/>
        <v>138576</v>
      </c>
      <c r="AS87" s="664">
        <f t="shared" si="101"/>
        <v>138576</v>
      </c>
      <c r="AT87" s="664">
        <f t="shared" si="101"/>
        <v>138576</v>
      </c>
      <c r="AU87" s="664">
        <f t="shared" si="101"/>
        <v>138576</v>
      </c>
      <c r="AV87" s="664">
        <f t="shared" si="101"/>
        <v>138576</v>
      </c>
      <c r="AW87" s="664">
        <f t="shared" si="101"/>
        <v>138576</v>
      </c>
      <c r="AX87" s="664">
        <f t="shared" si="101"/>
        <v>138576</v>
      </c>
      <c r="AY87" s="664">
        <f t="shared" si="101"/>
        <v>138576</v>
      </c>
      <c r="AZ87" s="664">
        <f t="shared" si="101"/>
        <v>138576</v>
      </c>
      <c r="BA87" s="664">
        <f t="shared" si="101"/>
        <v>138576</v>
      </c>
      <c r="BB87" s="664">
        <f t="shared" si="101"/>
        <v>138576</v>
      </c>
    </row>
    <row r="88" spans="2:54" x14ac:dyDescent="0.3">
      <c r="B88" s="675" t="s">
        <v>641</v>
      </c>
      <c r="C88" s="664">
        <f t="shared" si="99"/>
        <v>0</v>
      </c>
      <c r="D88" s="664">
        <f t="shared" si="100"/>
        <v>0</v>
      </c>
      <c r="E88" s="664">
        <f t="shared" si="101"/>
        <v>0</v>
      </c>
      <c r="F88" s="664">
        <f t="shared" si="101"/>
        <v>0</v>
      </c>
      <c r="G88" s="664">
        <f t="shared" si="101"/>
        <v>0</v>
      </c>
      <c r="H88" s="664">
        <f t="shared" si="101"/>
        <v>0</v>
      </c>
      <c r="I88" s="664">
        <f t="shared" si="101"/>
        <v>0</v>
      </c>
      <c r="J88" s="664">
        <f t="shared" si="101"/>
        <v>0</v>
      </c>
      <c r="K88" s="664">
        <f t="shared" si="101"/>
        <v>0</v>
      </c>
      <c r="L88" s="664">
        <f t="shared" si="101"/>
        <v>0</v>
      </c>
      <c r="M88" s="664">
        <f t="shared" si="101"/>
        <v>0</v>
      </c>
      <c r="N88" s="664">
        <f t="shared" si="101"/>
        <v>0</v>
      </c>
      <c r="O88" s="664">
        <f t="shared" si="101"/>
        <v>0</v>
      </c>
      <c r="P88" s="664">
        <f t="shared" si="101"/>
        <v>0</v>
      </c>
      <c r="Q88" s="664">
        <f t="shared" si="101"/>
        <v>0</v>
      </c>
      <c r="R88" s="664">
        <f t="shared" si="101"/>
        <v>0</v>
      </c>
      <c r="S88" s="664">
        <f t="shared" si="101"/>
        <v>0</v>
      </c>
      <c r="T88" s="664">
        <f t="shared" si="101"/>
        <v>0</v>
      </c>
      <c r="U88" s="664">
        <f t="shared" si="101"/>
        <v>0</v>
      </c>
      <c r="V88" s="664">
        <f t="shared" si="101"/>
        <v>0</v>
      </c>
      <c r="W88" s="664">
        <f t="shared" si="101"/>
        <v>0</v>
      </c>
      <c r="X88" s="664">
        <f t="shared" si="101"/>
        <v>0</v>
      </c>
      <c r="Y88" s="664">
        <f t="shared" si="101"/>
        <v>0</v>
      </c>
      <c r="Z88" s="664">
        <f t="shared" si="101"/>
        <v>0</v>
      </c>
      <c r="AA88" s="664">
        <f t="shared" si="101"/>
        <v>0</v>
      </c>
      <c r="AB88" s="664">
        <f t="shared" si="101"/>
        <v>0</v>
      </c>
      <c r="AC88" s="664">
        <f t="shared" si="101"/>
        <v>0</v>
      </c>
      <c r="AD88" s="664">
        <f t="shared" si="101"/>
        <v>0</v>
      </c>
      <c r="AE88" s="664">
        <f t="shared" si="101"/>
        <v>0</v>
      </c>
      <c r="AF88" s="664">
        <f t="shared" si="101"/>
        <v>0</v>
      </c>
      <c r="AG88" s="664">
        <f t="shared" si="101"/>
        <v>0</v>
      </c>
      <c r="AH88" s="664">
        <f t="shared" si="101"/>
        <v>0</v>
      </c>
      <c r="AI88" s="664">
        <f t="shared" si="101"/>
        <v>0</v>
      </c>
      <c r="AJ88" s="664">
        <f t="shared" si="101"/>
        <v>0</v>
      </c>
      <c r="AK88" s="664">
        <f t="shared" si="101"/>
        <v>0</v>
      </c>
      <c r="AL88" s="664">
        <f t="shared" si="101"/>
        <v>0</v>
      </c>
      <c r="AM88" s="664">
        <f t="shared" si="101"/>
        <v>0</v>
      </c>
      <c r="AN88" s="664">
        <f t="shared" si="101"/>
        <v>0</v>
      </c>
      <c r="AO88" s="664">
        <f t="shared" si="101"/>
        <v>0</v>
      </c>
      <c r="AP88" s="664">
        <f t="shared" si="101"/>
        <v>0</v>
      </c>
      <c r="AQ88" s="664">
        <f t="shared" si="101"/>
        <v>0</v>
      </c>
      <c r="AR88" s="664">
        <f t="shared" si="101"/>
        <v>0</v>
      </c>
      <c r="AS88" s="664">
        <f t="shared" si="101"/>
        <v>0</v>
      </c>
      <c r="AT88" s="664">
        <f t="shared" si="101"/>
        <v>0</v>
      </c>
      <c r="AU88" s="664">
        <f t="shared" si="101"/>
        <v>0</v>
      </c>
      <c r="AV88" s="664">
        <f t="shared" si="101"/>
        <v>0</v>
      </c>
      <c r="AW88" s="664">
        <f t="shared" si="101"/>
        <v>0</v>
      </c>
      <c r="AX88" s="664">
        <f t="shared" si="101"/>
        <v>0</v>
      </c>
      <c r="AY88" s="664">
        <f t="shared" si="101"/>
        <v>0</v>
      </c>
      <c r="AZ88" s="664">
        <f t="shared" si="101"/>
        <v>0</v>
      </c>
      <c r="BA88" s="664">
        <f t="shared" si="101"/>
        <v>0</v>
      </c>
      <c r="BB88" s="664">
        <f t="shared" si="101"/>
        <v>0</v>
      </c>
    </row>
    <row r="89" spans="2:54" x14ac:dyDescent="0.3">
      <c r="B89" s="680" t="s">
        <v>642</v>
      </c>
      <c r="C89" s="679">
        <f t="shared" si="99"/>
        <v>0</v>
      </c>
      <c r="D89" s="664">
        <f t="shared" si="100"/>
        <v>0</v>
      </c>
      <c r="E89" s="664">
        <f t="shared" si="101"/>
        <v>0</v>
      </c>
      <c r="F89" s="664">
        <f t="shared" si="101"/>
        <v>0</v>
      </c>
      <c r="G89" s="664">
        <f t="shared" si="101"/>
        <v>0</v>
      </c>
      <c r="H89" s="664">
        <f t="shared" si="101"/>
        <v>0</v>
      </c>
      <c r="I89" s="664">
        <f t="shared" si="101"/>
        <v>0</v>
      </c>
      <c r="J89" s="664">
        <f t="shared" si="101"/>
        <v>0</v>
      </c>
      <c r="K89" s="664">
        <f t="shared" si="101"/>
        <v>0</v>
      </c>
      <c r="L89" s="664">
        <f t="shared" si="101"/>
        <v>0</v>
      </c>
      <c r="M89" s="664">
        <f t="shared" si="101"/>
        <v>0</v>
      </c>
      <c r="N89" s="664">
        <f t="shared" si="101"/>
        <v>0</v>
      </c>
      <c r="O89" s="664">
        <f t="shared" si="101"/>
        <v>0</v>
      </c>
      <c r="P89" s="664">
        <f t="shared" si="101"/>
        <v>0</v>
      </c>
      <c r="Q89" s="664">
        <f t="shared" si="101"/>
        <v>0</v>
      </c>
      <c r="R89" s="664">
        <f t="shared" si="101"/>
        <v>0</v>
      </c>
      <c r="S89" s="664">
        <f t="shared" si="101"/>
        <v>0</v>
      </c>
      <c r="T89" s="664">
        <f t="shared" si="101"/>
        <v>0</v>
      </c>
      <c r="U89" s="664">
        <f t="shared" si="101"/>
        <v>0</v>
      </c>
      <c r="V89" s="664">
        <f t="shared" si="101"/>
        <v>0</v>
      </c>
      <c r="W89" s="664">
        <f t="shared" si="101"/>
        <v>0</v>
      </c>
      <c r="X89" s="664">
        <f t="shared" si="101"/>
        <v>0</v>
      </c>
      <c r="Y89" s="664">
        <f t="shared" si="101"/>
        <v>0</v>
      </c>
      <c r="Z89" s="664">
        <f t="shared" si="101"/>
        <v>0</v>
      </c>
      <c r="AA89" s="664">
        <f t="shared" si="101"/>
        <v>0</v>
      </c>
      <c r="AB89" s="664">
        <f t="shared" si="101"/>
        <v>0</v>
      </c>
      <c r="AC89" s="664">
        <f t="shared" si="101"/>
        <v>0</v>
      </c>
      <c r="AD89" s="664">
        <f t="shared" si="101"/>
        <v>0</v>
      </c>
      <c r="AE89" s="664">
        <f t="shared" si="101"/>
        <v>0</v>
      </c>
      <c r="AF89" s="664">
        <f t="shared" si="101"/>
        <v>0</v>
      </c>
      <c r="AG89" s="664">
        <f t="shared" si="101"/>
        <v>0</v>
      </c>
      <c r="AH89" s="664">
        <f t="shared" si="101"/>
        <v>0</v>
      </c>
      <c r="AI89" s="664">
        <f t="shared" si="101"/>
        <v>0</v>
      </c>
      <c r="AJ89" s="664">
        <f t="shared" si="101"/>
        <v>0</v>
      </c>
      <c r="AK89" s="664">
        <f t="shared" si="101"/>
        <v>0</v>
      </c>
      <c r="AL89" s="664">
        <f t="shared" si="101"/>
        <v>0</v>
      </c>
      <c r="AM89" s="664">
        <f t="shared" si="101"/>
        <v>0</v>
      </c>
      <c r="AN89" s="664">
        <f t="shared" si="101"/>
        <v>0</v>
      </c>
      <c r="AO89" s="664">
        <f t="shared" si="101"/>
        <v>0</v>
      </c>
      <c r="AP89" s="664">
        <f t="shared" si="101"/>
        <v>0</v>
      </c>
      <c r="AQ89" s="664">
        <f t="shared" si="101"/>
        <v>0</v>
      </c>
      <c r="AR89" s="664">
        <f t="shared" si="101"/>
        <v>0</v>
      </c>
      <c r="AS89" s="664">
        <f t="shared" si="101"/>
        <v>0</v>
      </c>
      <c r="AT89" s="664">
        <f t="shared" si="101"/>
        <v>0</v>
      </c>
      <c r="AU89" s="664">
        <f t="shared" si="101"/>
        <v>0</v>
      </c>
      <c r="AV89" s="664">
        <f t="shared" si="101"/>
        <v>0</v>
      </c>
      <c r="AW89" s="664">
        <f t="shared" si="101"/>
        <v>0</v>
      </c>
      <c r="AX89" s="664">
        <f t="shared" si="101"/>
        <v>0</v>
      </c>
      <c r="AY89" s="664">
        <f t="shared" si="101"/>
        <v>0</v>
      </c>
      <c r="AZ89" s="664">
        <f t="shared" si="101"/>
        <v>0</v>
      </c>
      <c r="BA89" s="664">
        <f t="shared" si="101"/>
        <v>0</v>
      </c>
      <c r="BB89" s="664">
        <f t="shared" si="101"/>
        <v>0</v>
      </c>
    </row>
    <row r="90" spans="2:54" x14ac:dyDescent="0.3">
      <c r="B90" s="381"/>
    </row>
    <row r="91" spans="2:54" hidden="1" x14ac:dyDescent="0.3"/>
    <row r="92" spans="2:54" hidden="1" x14ac:dyDescent="0.3"/>
    <row r="93" spans="2:54" hidden="1" x14ac:dyDescent="0.3"/>
    <row r="94" spans="2:54" hidden="1" x14ac:dyDescent="0.3"/>
    <row r="95" spans="2:54" hidden="1" x14ac:dyDescent="0.3"/>
    <row r="96" spans="2:54" hidden="1" x14ac:dyDescent="0.3"/>
    <row r="97" spans="1:54" hidden="1" x14ac:dyDescent="0.3"/>
    <row r="98" spans="1:54" hidden="1" x14ac:dyDescent="0.3"/>
    <row r="99" spans="1:54" s="230" customFormat="1" hidden="1" x14ac:dyDescent="0.3">
      <c r="A99" s="230" t="s">
        <v>187</v>
      </c>
      <c r="B99" s="4"/>
    </row>
    <row r="100" spans="1:54" hidden="1" x14ac:dyDescent="0.3">
      <c r="B100" s="4" t="s">
        <v>182</v>
      </c>
      <c r="C100" s="241">
        <f>C17</f>
        <v>1.6808243066094926E-3</v>
      </c>
      <c r="D100" s="241">
        <f>D17+C17</f>
        <v>1.5120640359150223E-2</v>
      </c>
      <c r="E100" s="241">
        <f t="shared" ref="E100:AJ100" si="102">E17+D100</f>
        <v>3.8619017375158923E-2</v>
      </c>
      <c r="F100" s="241">
        <f t="shared" si="102"/>
        <v>6.3057108808088319E-2</v>
      </c>
      <c r="G100" s="241">
        <f t="shared" si="102"/>
        <v>8.7259399320472747E-2</v>
      </c>
      <c r="H100" s="241">
        <f t="shared" si="102"/>
        <v>0.13359717581310965</v>
      </c>
      <c r="I100" s="241">
        <f t="shared" si="102"/>
        <v>0.18731441358221634</v>
      </c>
      <c r="J100" s="241">
        <f t="shared" si="102"/>
        <v>0.23950846052593683</v>
      </c>
      <c r="K100" s="241">
        <f t="shared" si="102"/>
        <v>0.27342670438447547</v>
      </c>
      <c r="L100" s="241">
        <f t="shared" si="102"/>
        <v>0.29342188196501284</v>
      </c>
      <c r="M100" s="241">
        <f t="shared" si="102"/>
        <v>0.31341705954555021</v>
      </c>
      <c r="N100" s="241">
        <f t="shared" si="102"/>
        <v>0.32346844095087152</v>
      </c>
      <c r="O100" s="241">
        <f t="shared" si="102"/>
        <v>0.34285324794684835</v>
      </c>
      <c r="P100" s="241">
        <f t="shared" si="102"/>
        <v>0.3712125026261478</v>
      </c>
      <c r="Q100" s="241">
        <f t="shared" si="102"/>
        <v>0.39207540115556788</v>
      </c>
      <c r="R100" s="241">
        <f t="shared" si="102"/>
        <v>0.40791260898232728</v>
      </c>
      <c r="S100" s="241">
        <f t="shared" si="102"/>
        <v>0.41477536912576407</v>
      </c>
      <c r="T100" s="241">
        <f t="shared" si="102"/>
        <v>0.43107296611867796</v>
      </c>
      <c r="U100" s="241">
        <f t="shared" si="102"/>
        <v>0.44373052713123617</v>
      </c>
      <c r="V100" s="241">
        <f t="shared" si="102"/>
        <v>0.45638808814379439</v>
      </c>
      <c r="W100" s="241">
        <f t="shared" si="102"/>
        <v>0.46367085243881068</v>
      </c>
      <c r="X100" s="241">
        <f t="shared" si="102"/>
        <v>0.46920898410418904</v>
      </c>
      <c r="Y100" s="241">
        <f t="shared" si="102"/>
        <v>0.47474711576956741</v>
      </c>
      <c r="Z100" s="241">
        <f t="shared" si="102"/>
        <v>0.49381404782860094</v>
      </c>
      <c r="AA100" s="241">
        <f t="shared" si="102"/>
        <v>0.51395791360963317</v>
      </c>
      <c r="AB100" s="241">
        <f t="shared" si="102"/>
        <v>0.53553769101999704</v>
      </c>
      <c r="AC100" s="241">
        <f t="shared" si="102"/>
        <v>0.54962806478510184</v>
      </c>
      <c r="AD100" s="241">
        <f t="shared" si="102"/>
        <v>0.56338862759784447</v>
      </c>
      <c r="AE100" s="241">
        <f t="shared" si="102"/>
        <v>0.57603635889785509</v>
      </c>
      <c r="AF100" s="241">
        <f t="shared" si="102"/>
        <v>0.58204250800991875</v>
      </c>
      <c r="AG100" s="241">
        <f t="shared" si="102"/>
        <v>0.58730153435234578</v>
      </c>
      <c r="AH100" s="241">
        <f t="shared" si="102"/>
        <v>0.59331441430017196</v>
      </c>
      <c r="AI100" s="241">
        <f t="shared" si="102"/>
        <v>0.59331441430017196</v>
      </c>
      <c r="AJ100" s="241">
        <f t="shared" si="102"/>
        <v>0.61047346852620799</v>
      </c>
      <c r="AK100" s="241">
        <f t="shared" ref="AK100:BB100" si="103">AK17+AJ100</f>
        <v>0.63478515755585208</v>
      </c>
      <c r="AL100" s="241">
        <f t="shared" si="103"/>
        <v>0.6533173920219133</v>
      </c>
      <c r="AM100" s="241">
        <f t="shared" si="103"/>
        <v>0.67115347858117913</v>
      </c>
      <c r="AN100" s="241">
        <f t="shared" si="103"/>
        <v>0.71184640645614572</v>
      </c>
      <c r="AO100" s="241">
        <f t="shared" si="103"/>
        <v>0.75139060502764699</v>
      </c>
      <c r="AP100" s="241">
        <f t="shared" si="103"/>
        <v>0.784271904405619</v>
      </c>
      <c r="AQ100" s="241">
        <f t="shared" si="103"/>
        <v>0.78642577184961648</v>
      </c>
      <c r="AR100" s="241">
        <f t="shared" si="103"/>
        <v>0.78953093074804614</v>
      </c>
      <c r="AS100" s="241">
        <f t="shared" si="103"/>
        <v>0.80171823070199821</v>
      </c>
      <c r="AT100" s="241">
        <f t="shared" si="103"/>
        <v>0.81354655274861742</v>
      </c>
      <c r="AU100" s="241">
        <f t="shared" si="103"/>
        <v>0.82988722709041118</v>
      </c>
      <c r="AV100" s="241">
        <f t="shared" si="103"/>
        <v>0.87501268224074347</v>
      </c>
      <c r="AW100" s="241">
        <f t="shared" si="103"/>
        <v>0.92297406285900574</v>
      </c>
      <c r="AX100" s="241">
        <f t="shared" si="103"/>
        <v>0.96651104076938998</v>
      </c>
      <c r="AY100" s="241">
        <f t="shared" si="103"/>
        <v>0.98704268530910722</v>
      </c>
      <c r="AZ100" s="241">
        <f t="shared" si="103"/>
        <v>0.99493840438089443</v>
      </c>
      <c r="BA100" s="241">
        <f t="shared" si="103"/>
        <v>0.99999999287428842</v>
      </c>
      <c r="BB100" s="241">
        <f t="shared" si="103"/>
        <v>0.99999999287428842</v>
      </c>
    </row>
    <row r="101" spans="1:54" hidden="1" x14ac:dyDescent="0.3">
      <c r="B101" s="4" t="s">
        <v>50</v>
      </c>
      <c r="C101" s="241">
        <f>C18</f>
        <v>3.3849725304940098E-4</v>
      </c>
      <c r="D101" s="241">
        <f>D18+C18</f>
        <v>7.9828062314384954E-3</v>
      </c>
      <c r="E101" s="241">
        <f t="shared" ref="E101:AJ101" si="104">E18+D101</f>
        <v>1.9769099845429697E-2</v>
      </c>
      <c r="F101" s="241">
        <f t="shared" si="104"/>
        <v>3.6084379721773495E-2</v>
      </c>
      <c r="G101" s="241">
        <f t="shared" si="104"/>
        <v>6.204356912531761E-2</v>
      </c>
      <c r="H101" s="241">
        <f t="shared" si="104"/>
        <v>8.8364580257848574E-2</v>
      </c>
      <c r="I101" s="241">
        <f t="shared" si="104"/>
        <v>0.11844059176667418</v>
      </c>
      <c r="J101" s="241">
        <f t="shared" si="104"/>
        <v>0.15356688202295976</v>
      </c>
      <c r="K101" s="241">
        <f t="shared" si="104"/>
        <v>0.18619342005476533</v>
      </c>
      <c r="L101" s="241">
        <f t="shared" si="104"/>
        <v>0.21006062858565333</v>
      </c>
      <c r="M101" s="241">
        <f t="shared" si="104"/>
        <v>0.24275628730382026</v>
      </c>
      <c r="N101" s="241">
        <f t="shared" si="104"/>
        <v>0.27907016331185558</v>
      </c>
      <c r="O101" s="241">
        <f t="shared" si="104"/>
        <v>0.29151683078900287</v>
      </c>
      <c r="P101" s="241">
        <f t="shared" si="104"/>
        <v>0.3087532653687397</v>
      </c>
      <c r="Q101" s="241">
        <f t="shared" si="104"/>
        <v>0.32566843119887451</v>
      </c>
      <c r="R101" s="241">
        <f t="shared" si="104"/>
        <v>0.34258359702900931</v>
      </c>
      <c r="S101" s="241">
        <f t="shared" si="104"/>
        <v>0.35588054556927573</v>
      </c>
      <c r="T101" s="241">
        <f t="shared" si="104"/>
        <v>0.37462366371999045</v>
      </c>
      <c r="U101" s="241">
        <f t="shared" si="104"/>
        <v>0.39176104598319983</v>
      </c>
      <c r="V101" s="241">
        <f t="shared" si="104"/>
        <v>0.41367050950288581</v>
      </c>
      <c r="W101" s="241">
        <f t="shared" si="104"/>
        <v>0.43683685487185708</v>
      </c>
      <c r="X101" s="241">
        <f t="shared" si="104"/>
        <v>0.45519134753990159</v>
      </c>
      <c r="Y101" s="241">
        <f t="shared" si="104"/>
        <v>0.4714591998240098</v>
      </c>
      <c r="Z101" s="241">
        <f t="shared" si="104"/>
        <v>0.48657683530453799</v>
      </c>
      <c r="AA101" s="241">
        <f t="shared" si="104"/>
        <v>0.496459489281393</v>
      </c>
      <c r="AB101" s="241">
        <f t="shared" si="104"/>
        <v>0.5036567023857077</v>
      </c>
      <c r="AC101" s="241">
        <f t="shared" si="104"/>
        <v>0.51188148920034493</v>
      </c>
      <c r="AD101" s="241">
        <f t="shared" si="104"/>
        <v>0.51803086657751374</v>
      </c>
      <c r="AE101" s="241">
        <f t="shared" si="104"/>
        <v>0.53748261982088374</v>
      </c>
      <c r="AF101" s="241">
        <f t="shared" si="104"/>
        <v>0.55205701615751113</v>
      </c>
      <c r="AG101" s="241">
        <f t="shared" si="104"/>
        <v>0.56535939202371233</v>
      </c>
      <c r="AH101" s="241">
        <f t="shared" si="104"/>
        <v>0.56959994268743808</v>
      </c>
      <c r="AI101" s="241">
        <f t="shared" si="104"/>
        <v>0.56959994268743808</v>
      </c>
      <c r="AJ101" s="241">
        <f t="shared" si="104"/>
        <v>0.58295543398345462</v>
      </c>
      <c r="AK101" s="241">
        <f t="shared" ref="AK101:BB101" si="105">AK18+AJ101</f>
        <v>0.60065857517497701</v>
      </c>
      <c r="AL101" s="241">
        <f t="shared" si="105"/>
        <v>0.61850217556169207</v>
      </c>
      <c r="AM101" s="241">
        <f t="shared" si="105"/>
        <v>0.6366207604624371</v>
      </c>
      <c r="AN101" s="241">
        <f t="shared" si="105"/>
        <v>0.66615114480395055</v>
      </c>
      <c r="AO101" s="241">
        <f t="shared" si="105"/>
        <v>0.69053642415927108</v>
      </c>
      <c r="AP101" s="241">
        <f t="shared" si="105"/>
        <v>0.7125481529724379</v>
      </c>
      <c r="AQ101" s="241">
        <f t="shared" si="105"/>
        <v>0.73764260291657258</v>
      </c>
      <c r="AR101" s="241">
        <f t="shared" si="105"/>
        <v>0.75101478143072997</v>
      </c>
      <c r="AS101" s="241">
        <f t="shared" si="105"/>
        <v>0.75791834001979885</v>
      </c>
      <c r="AT101" s="241">
        <f t="shared" si="105"/>
        <v>0.78580669051795504</v>
      </c>
      <c r="AU101" s="241">
        <f t="shared" si="105"/>
        <v>0.81845972663644728</v>
      </c>
      <c r="AV101" s="241">
        <f t="shared" si="105"/>
        <v>0.85999042069736065</v>
      </c>
      <c r="AW101" s="241">
        <f t="shared" si="105"/>
        <v>0.87745360171821896</v>
      </c>
      <c r="AX101" s="241">
        <f t="shared" si="105"/>
        <v>0.89214935306274845</v>
      </c>
      <c r="AY101" s="241">
        <f t="shared" si="105"/>
        <v>0.93177751610830328</v>
      </c>
      <c r="AZ101" s="241">
        <f t="shared" si="105"/>
        <v>0.97140567915385811</v>
      </c>
      <c r="BA101" s="241">
        <f t="shared" si="105"/>
        <v>1.0000471288722161</v>
      </c>
      <c r="BB101" s="241">
        <f t="shared" si="105"/>
        <v>1.0000471288722161</v>
      </c>
    </row>
    <row r="102" spans="1:54" hidden="1" x14ac:dyDescent="0.3">
      <c r="B102" s="4" t="s">
        <v>185</v>
      </c>
      <c r="C102" s="242">
        <f>C100-C101</f>
        <v>1.3423270535600916E-3</v>
      </c>
      <c r="D102" s="242">
        <f t="shared" ref="D102:BB102" si="106">D100-D101</f>
        <v>7.1378341277117275E-3</v>
      </c>
      <c r="E102" s="242">
        <f t="shared" si="106"/>
        <v>1.8849917529729227E-2</v>
      </c>
      <c r="F102" s="242">
        <f t="shared" si="106"/>
        <v>2.6972729086314824E-2</v>
      </c>
      <c r="G102" s="242">
        <f t="shared" si="106"/>
        <v>2.5215830195155137E-2</v>
      </c>
      <c r="H102" s="241">
        <f t="shared" si="106"/>
        <v>4.5232595555261074E-2</v>
      </c>
      <c r="I102" s="241">
        <f t="shared" si="106"/>
        <v>6.8873821815542163E-2</v>
      </c>
      <c r="J102" s="241">
        <f t="shared" si="106"/>
        <v>8.5941578502977067E-2</v>
      </c>
      <c r="K102" s="241">
        <f t="shared" si="106"/>
        <v>8.7233284329710142E-2</v>
      </c>
      <c r="L102" s="241">
        <f t="shared" si="106"/>
        <v>8.3361253379359512E-2</v>
      </c>
      <c r="M102" s="241">
        <f t="shared" si="106"/>
        <v>7.0660772241729952E-2</v>
      </c>
      <c r="N102" s="241">
        <f t="shared" si="106"/>
        <v>4.4398277639015937E-2</v>
      </c>
      <c r="O102" s="241">
        <f t="shared" si="106"/>
        <v>5.1336417157845482E-2</v>
      </c>
      <c r="P102" s="241">
        <f t="shared" si="106"/>
        <v>6.2459237257408096E-2</v>
      </c>
      <c r="Q102" s="241">
        <f t="shared" si="106"/>
        <v>6.6406969956693374E-2</v>
      </c>
      <c r="R102" s="241">
        <f t="shared" si="106"/>
        <v>6.5329011953317973E-2</v>
      </c>
      <c r="S102" s="241">
        <f t="shared" si="106"/>
        <v>5.889482355648834E-2</v>
      </c>
      <c r="T102" s="241">
        <f t="shared" si="106"/>
        <v>5.6449302398687506E-2</v>
      </c>
      <c r="U102" s="241">
        <f t="shared" si="106"/>
        <v>5.1969481148036345E-2</v>
      </c>
      <c r="V102" s="242">
        <f t="shared" si="106"/>
        <v>4.2717578640908582E-2</v>
      </c>
      <c r="W102" s="242">
        <f t="shared" si="106"/>
        <v>2.6833997566953594E-2</v>
      </c>
      <c r="X102" s="242">
        <f t="shared" si="106"/>
        <v>1.401763656428745E-2</v>
      </c>
      <c r="Y102" s="242">
        <f t="shared" si="106"/>
        <v>3.2879159455576068E-3</v>
      </c>
      <c r="Z102" s="242">
        <f t="shared" si="106"/>
        <v>7.2372125240629526E-3</v>
      </c>
      <c r="AA102" s="242">
        <f t="shared" si="106"/>
        <v>1.749842432824017E-2</v>
      </c>
      <c r="AB102" s="242">
        <f t="shared" si="106"/>
        <v>3.1880988634289342E-2</v>
      </c>
      <c r="AC102" s="242">
        <f t="shared" si="106"/>
        <v>3.7746575584756914E-2</v>
      </c>
      <c r="AD102" s="242">
        <f t="shared" si="106"/>
        <v>4.5357761020330734E-2</v>
      </c>
      <c r="AE102" s="242">
        <f t="shared" si="106"/>
        <v>3.8553739076971349E-2</v>
      </c>
      <c r="AF102" s="242">
        <f t="shared" si="106"/>
        <v>2.998549185240762E-2</v>
      </c>
      <c r="AG102" s="242">
        <f t="shared" si="106"/>
        <v>2.1942142328633452E-2</v>
      </c>
      <c r="AH102" s="242">
        <f t="shared" si="106"/>
        <v>2.3714471612733878E-2</v>
      </c>
      <c r="AI102" s="242">
        <f t="shared" si="106"/>
        <v>2.3714471612733878E-2</v>
      </c>
      <c r="AJ102" s="242">
        <f t="shared" si="106"/>
        <v>2.7518034542753367E-2</v>
      </c>
      <c r="AK102" s="242">
        <f t="shared" si="106"/>
        <v>3.412658238087507E-2</v>
      </c>
      <c r="AL102" s="242">
        <f t="shared" si="106"/>
        <v>3.4815216460221232E-2</v>
      </c>
      <c r="AM102" s="242">
        <f t="shared" si="106"/>
        <v>3.4532718118742034E-2</v>
      </c>
      <c r="AN102" s="242">
        <f t="shared" si="106"/>
        <v>4.5695261652195174E-2</v>
      </c>
      <c r="AO102" s="242">
        <f t="shared" si="106"/>
        <v>6.0854180868375907E-2</v>
      </c>
      <c r="AP102" s="241">
        <f t="shared" si="106"/>
        <v>7.1723751433181104E-2</v>
      </c>
      <c r="AQ102" s="241">
        <f t="shared" si="106"/>
        <v>4.8783168933043908E-2</v>
      </c>
      <c r="AR102" s="241">
        <f t="shared" si="106"/>
        <v>3.8516149317316173E-2</v>
      </c>
      <c r="AS102" s="241">
        <f t="shared" si="106"/>
        <v>4.3799890682199361E-2</v>
      </c>
      <c r="AT102" s="241">
        <f t="shared" si="106"/>
        <v>2.7739862230662382E-2</v>
      </c>
      <c r="AU102" s="241">
        <f t="shared" si="106"/>
        <v>1.1427500453963901E-2</v>
      </c>
      <c r="AV102" s="241">
        <f t="shared" si="106"/>
        <v>1.502226154338282E-2</v>
      </c>
      <c r="AW102" s="241">
        <f t="shared" si="106"/>
        <v>4.5520461140786783E-2</v>
      </c>
      <c r="AX102" s="241">
        <f t="shared" si="106"/>
        <v>7.4361687706641533E-2</v>
      </c>
      <c r="AY102" s="241">
        <f t="shared" si="106"/>
        <v>5.5265169200803932E-2</v>
      </c>
      <c r="AZ102" s="241">
        <f t="shared" si="106"/>
        <v>2.3532725227036311E-2</v>
      </c>
      <c r="BA102" s="241">
        <f t="shared" si="106"/>
        <v>-4.7135997927716389E-5</v>
      </c>
      <c r="BB102" s="241">
        <f t="shared" si="106"/>
        <v>-4.7135997927716389E-5</v>
      </c>
    </row>
    <row r="103" spans="1:54" hidden="1" x14ac:dyDescent="0.3">
      <c r="A103" s="66" t="s">
        <v>186</v>
      </c>
      <c r="B103" s="68"/>
      <c r="AN103" s="243"/>
      <c r="AO103" s="243"/>
    </row>
    <row r="104" spans="1:54" s="230" customFormat="1" hidden="1" x14ac:dyDescent="0.3">
      <c r="B104" s="4" t="s">
        <v>188</v>
      </c>
      <c r="C104" s="241">
        <f>C20</f>
        <v>1.2873005791719641E-2</v>
      </c>
      <c r="D104" s="241">
        <f t="shared" ref="D104:AI104" si="107">C104+D20</f>
        <v>3.3331767292212586E-2</v>
      </c>
      <c r="E104" s="241">
        <f t="shared" si="107"/>
        <v>5.7378020279320097E-2</v>
      </c>
      <c r="F104" s="241">
        <f t="shared" si="107"/>
        <v>8.9037406425303667E-2</v>
      </c>
      <c r="G104" s="241">
        <f t="shared" si="107"/>
        <v>0.13045650801667968</v>
      </c>
      <c r="H104" s="241">
        <f t="shared" si="107"/>
        <v>0.18120619508516772</v>
      </c>
      <c r="I104" s="241">
        <f t="shared" si="107"/>
        <v>0.22781603794228966</v>
      </c>
      <c r="J104" s="241">
        <f t="shared" si="107"/>
        <v>0.2631851940698885</v>
      </c>
      <c r="K104" s="241">
        <f t="shared" si="107"/>
        <v>0.28782139374309296</v>
      </c>
      <c r="L104" s="241">
        <f t="shared" si="107"/>
        <v>0.30450197259855832</v>
      </c>
      <c r="M104" s="241">
        <f t="shared" si="107"/>
        <v>0.32097909459250351</v>
      </c>
      <c r="N104" s="241">
        <f t="shared" si="107"/>
        <v>0.34024424228603606</v>
      </c>
      <c r="O104" s="241">
        <f t="shared" si="107"/>
        <v>0.36311322902093485</v>
      </c>
      <c r="P104" s="241">
        <f t="shared" si="107"/>
        <v>0.38479968269942783</v>
      </c>
      <c r="Q104" s="241">
        <f t="shared" si="107"/>
        <v>0.39932063819929992</v>
      </c>
      <c r="R104" s="241">
        <f t="shared" si="107"/>
        <v>0.41231982652033661</v>
      </c>
      <c r="S104" s="250">
        <f t="shared" si="107"/>
        <v>0.42425913256997289</v>
      </c>
      <c r="T104" s="241">
        <f t="shared" si="107"/>
        <v>0.43813003890931634</v>
      </c>
      <c r="U104" s="241">
        <f t="shared" si="107"/>
        <v>0.44899600101602727</v>
      </c>
      <c r="V104" s="241">
        <f t="shared" si="107"/>
        <v>0.46708882000701157</v>
      </c>
      <c r="W104" s="241">
        <f t="shared" si="107"/>
        <v>0.48320849588226927</v>
      </c>
      <c r="X104" s="241">
        <f t="shared" si="107"/>
        <v>0.49725622767886607</v>
      </c>
      <c r="Y104" s="241">
        <f t="shared" si="107"/>
        <v>0.51217253751401415</v>
      </c>
      <c r="Z104" s="241">
        <f t="shared" si="107"/>
        <v>0.53243606259749077</v>
      </c>
      <c r="AA104" s="241">
        <f t="shared" si="107"/>
        <v>0.55104073491632444</v>
      </c>
      <c r="AB104" s="241">
        <f t="shared" si="107"/>
        <v>0.56751763957906154</v>
      </c>
      <c r="AC104" s="241">
        <f t="shared" si="107"/>
        <v>0.58101719553834763</v>
      </c>
      <c r="AD104" s="241">
        <f t="shared" si="107"/>
        <v>0.59182200994661993</v>
      </c>
      <c r="AE104" s="241">
        <f t="shared" si="107"/>
        <v>0.59979297886478711</v>
      </c>
      <c r="AF104" s="241">
        <f t="shared" si="107"/>
        <v>0.60555233066555936</v>
      </c>
      <c r="AG104" s="251">
        <f t="shared" si="107"/>
        <v>0.60930963276231043</v>
      </c>
      <c r="AH104" s="241">
        <f t="shared" si="107"/>
        <v>0.60930963276231043</v>
      </c>
      <c r="AI104" s="241">
        <f t="shared" si="107"/>
        <v>0.60930963276231043</v>
      </c>
      <c r="AJ104" s="241">
        <f t="shared" ref="AJ104:BB104" si="108">AI104+AJ20</f>
        <v>0.62931062533622417</v>
      </c>
      <c r="AK104" s="241">
        <f t="shared" si="108"/>
        <v>0.65953729535454786</v>
      </c>
      <c r="AL104" s="241">
        <f t="shared" si="108"/>
        <v>0.69522437832131245</v>
      </c>
      <c r="AM104" s="241">
        <f t="shared" si="108"/>
        <v>0.73791544932322373</v>
      </c>
      <c r="AN104" s="241">
        <f t="shared" si="108"/>
        <v>0.77562159126470365</v>
      </c>
      <c r="AO104" s="241">
        <f t="shared" si="108"/>
        <v>0.80048137972919386</v>
      </c>
      <c r="AP104" s="241">
        <f t="shared" si="108"/>
        <v>0.81319482163599355</v>
      </c>
      <c r="AQ104" s="241">
        <f t="shared" si="108"/>
        <v>0.81901026373478658</v>
      </c>
      <c r="AR104" s="241">
        <f t="shared" si="108"/>
        <v>0.82805052403445356</v>
      </c>
      <c r="AS104" s="241">
        <f t="shared" si="108"/>
        <v>0.84150262281524191</v>
      </c>
      <c r="AT104" s="241">
        <f t="shared" si="108"/>
        <v>0.86593410666149029</v>
      </c>
      <c r="AU104" s="241">
        <f t="shared" si="108"/>
        <v>0.90240994336495306</v>
      </c>
      <c r="AV104" s="241">
        <f t="shared" si="108"/>
        <v>0.94795121459127929</v>
      </c>
      <c r="AW104" s="241">
        <f t="shared" si="108"/>
        <v>0.98529454894740054</v>
      </c>
      <c r="AX104" s="241">
        <f t="shared" si="108"/>
        <v>1.00928266278803</v>
      </c>
      <c r="AY104" s="241">
        <f t="shared" si="108"/>
        <v>1.0204456468229961</v>
      </c>
      <c r="AZ104" s="241">
        <f t="shared" si="108"/>
        <v>1.0247647493447232</v>
      </c>
      <c r="BA104" s="252">
        <f t="shared" si="108"/>
        <v>1.0247647493447232</v>
      </c>
      <c r="BB104" s="241">
        <f t="shared" si="108"/>
        <v>1.0247647493447232</v>
      </c>
    </row>
    <row r="105" spans="1:54" s="230" customFormat="1" hidden="1" x14ac:dyDescent="0.3">
      <c r="B105" s="4" t="s">
        <v>190</v>
      </c>
      <c r="C105" s="241">
        <f>C21</f>
        <v>6.5896999484765656E-3</v>
      </c>
      <c r="D105" s="241">
        <f t="shared" ref="D105:AI105" si="109">C105+D21</f>
        <v>1.8504994104717933E-2</v>
      </c>
      <c r="E105" s="241">
        <f t="shared" si="109"/>
        <v>3.6525248402677638E-2</v>
      </c>
      <c r="F105" s="241">
        <f t="shared" si="109"/>
        <v>5.9390408540150597E-2</v>
      </c>
      <c r="G105" s="241">
        <f t="shared" si="109"/>
        <v>8.6842479221784161E-2</v>
      </c>
      <c r="H105" s="241">
        <f t="shared" si="109"/>
        <v>0.11735025018766487</v>
      </c>
      <c r="I105" s="241">
        <f t="shared" si="109"/>
        <v>0.14995986345330378</v>
      </c>
      <c r="J105" s="241">
        <f t="shared" si="109"/>
        <v>0.18049987572629683</v>
      </c>
      <c r="K105" s="241">
        <f t="shared" si="109"/>
        <v>0.21022967748658367</v>
      </c>
      <c r="L105" s="241">
        <f t="shared" si="109"/>
        <v>0.24118859190561376</v>
      </c>
      <c r="M105" s="241">
        <f t="shared" si="109"/>
        <v>0.26834065930673029</v>
      </c>
      <c r="N105" s="241">
        <f t="shared" si="109"/>
        <v>0.29033965199503675</v>
      </c>
      <c r="O105" s="241">
        <f t="shared" si="109"/>
        <v>0.30587240795737641</v>
      </c>
      <c r="P105" s="241">
        <f t="shared" si="109"/>
        <v>0.32289466337071193</v>
      </c>
      <c r="Q105" s="241">
        <f t="shared" si="109"/>
        <v>0.33860375677089061</v>
      </c>
      <c r="R105" s="241">
        <f t="shared" si="109"/>
        <v>0.35492216761126261</v>
      </c>
      <c r="S105" s="250">
        <f t="shared" si="109"/>
        <v>0.37131465059599278</v>
      </c>
      <c r="T105" s="241">
        <f t="shared" si="109"/>
        <v>0.39057797190719612</v>
      </c>
      <c r="U105" s="241">
        <f t="shared" si="109"/>
        <v>0.41131570229115166</v>
      </c>
      <c r="V105" s="241">
        <f t="shared" si="109"/>
        <v>0.4324591361433856</v>
      </c>
      <c r="W105" s="241">
        <f t="shared" si="109"/>
        <v>0.4499220329170936</v>
      </c>
      <c r="X105" s="241">
        <f t="shared" si="109"/>
        <v>0.46650202639465388</v>
      </c>
      <c r="Y105" s="241">
        <f t="shared" si="109"/>
        <v>0.48025807364181766</v>
      </c>
      <c r="Z105" s="241">
        <f t="shared" si="109"/>
        <v>0.49099057449571692</v>
      </c>
      <c r="AA105" s="241">
        <f t="shared" si="109"/>
        <v>0.51742545912765259</v>
      </c>
      <c r="AB105" s="241">
        <f t="shared" si="109"/>
        <v>0.53461591822635945</v>
      </c>
      <c r="AC105" s="241">
        <f t="shared" si="109"/>
        <v>0.54589122403808477</v>
      </c>
      <c r="AD105" s="241">
        <f t="shared" si="109"/>
        <v>0.55928306635714009</v>
      </c>
      <c r="AE105" s="241">
        <f t="shared" si="109"/>
        <v>0.57505924150587295</v>
      </c>
      <c r="AF105" s="241">
        <f t="shared" si="109"/>
        <v>0.5857650157947244</v>
      </c>
      <c r="AG105" s="251">
        <f t="shared" si="109"/>
        <v>0.59161265797136675</v>
      </c>
      <c r="AH105" s="241">
        <f t="shared" si="109"/>
        <v>0.59161265797136675</v>
      </c>
      <c r="AI105" s="241">
        <f t="shared" si="109"/>
        <v>0.59161265797136675</v>
      </c>
      <c r="AJ105" s="241">
        <f t="shared" ref="AJ105:BB105" si="110">AI105+AJ21</f>
        <v>0.61791340226278468</v>
      </c>
      <c r="AK105" s="241">
        <f t="shared" si="110"/>
        <v>0.64580184442244548</v>
      </c>
      <c r="AL105" s="241">
        <f t="shared" si="110"/>
        <v>0.67763270096543671</v>
      </c>
      <c r="AM105" s="241">
        <f t="shared" si="110"/>
        <v>0.70164411716462971</v>
      </c>
      <c r="AN105" s="241">
        <f t="shared" si="110"/>
        <v>0.72695324800129668</v>
      </c>
      <c r="AO105" s="241">
        <f t="shared" si="110"/>
        <v>0.75078373403883736</v>
      </c>
      <c r="AP105" s="241">
        <f t="shared" si="110"/>
        <v>0.77094318646265703</v>
      </c>
      <c r="AQ105" s="241">
        <f t="shared" si="110"/>
        <v>0.78606658214511071</v>
      </c>
      <c r="AR105" s="241">
        <f t="shared" si="110"/>
        <v>0.8021212780122382</v>
      </c>
      <c r="AS105" s="241">
        <f t="shared" si="110"/>
        <v>0.82460292641414401</v>
      </c>
      <c r="AT105" s="241">
        <f t="shared" si="110"/>
        <v>0.85862695330666461</v>
      </c>
      <c r="AU105" s="241">
        <f t="shared" si="110"/>
        <v>0.88917592370675258</v>
      </c>
      <c r="AV105" s="241">
        <f t="shared" si="110"/>
        <v>0.91373913251551964</v>
      </c>
      <c r="AW105" s="241">
        <f t="shared" si="110"/>
        <v>0.93766816431916722</v>
      </c>
      <c r="AX105" s="241">
        <f t="shared" si="110"/>
        <v>0.96898552346438027</v>
      </c>
      <c r="AY105" s="241">
        <f t="shared" si="110"/>
        <v>1.0049514487342028</v>
      </c>
      <c r="AZ105" s="241">
        <f t="shared" si="110"/>
        <v>1.0277079863221739</v>
      </c>
      <c r="BA105" s="252">
        <f t="shared" si="110"/>
        <v>1.0399551362282933</v>
      </c>
      <c r="BB105" s="241">
        <f t="shared" si="110"/>
        <v>1.0399551362282933</v>
      </c>
    </row>
    <row r="106" spans="1:54" s="230" customFormat="1" hidden="1" x14ac:dyDescent="0.3">
      <c r="B106" s="4" t="s">
        <v>185</v>
      </c>
      <c r="C106" s="242">
        <f>C104-C105</f>
        <v>6.2833058432430755E-3</v>
      </c>
      <c r="D106" s="242">
        <f t="shared" ref="D106" si="111">D104-D105</f>
        <v>1.4826773187494653E-2</v>
      </c>
      <c r="E106" s="242">
        <f t="shared" ref="E106" si="112">E104-E105</f>
        <v>2.0852771876642459E-2</v>
      </c>
      <c r="F106" s="242">
        <f t="shared" ref="F106" si="113">F104-F105</f>
        <v>2.964699788515307E-2</v>
      </c>
      <c r="G106" s="242">
        <f t="shared" ref="G106" si="114">G104-G105</f>
        <v>4.3614028794895524E-2</v>
      </c>
      <c r="H106" s="241">
        <f t="shared" ref="H106" si="115">H104-H105</f>
        <v>6.3855944897502848E-2</v>
      </c>
      <c r="I106" s="241">
        <f t="shared" ref="I106" si="116">I104-I105</f>
        <v>7.785617448898588E-2</v>
      </c>
      <c r="J106" s="241">
        <f t="shared" ref="J106" si="117">J104-J105</f>
        <v>8.2685318343591663E-2</v>
      </c>
      <c r="K106" s="242">
        <f t="shared" ref="K106" si="118">K104-K105</f>
        <v>7.7591716256509291E-2</v>
      </c>
      <c r="L106" s="242">
        <f t="shared" ref="L106" si="119">L104-L105</f>
        <v>6.3313380692944565E-2</v>
      </c>
      <c r="M106" s="242">
        <f t="shared" ref="M106" si="120">M104-M105</f>
        <v>5.2638435285773222E-2</v>
      </c>
      <c r="N106" s="242">
        <f t="shared" ref="N106" si="121">N104-N105</f>
        <v>4.9904590290999307E-2</v>
      </c>
      <c r="O106" s="241">
        <f t="shared" ref="O106" si="122">O104-O105</f>
        <v>5.7240821063558434E-2</v>
      </c>
      <c r="P106" s="241">
        <f t="shared" ref="P106" si="123">P104-P105</f>
        <v>6.1905019328715893E-2</v>
      </c>
      <c r="Q106" s="241">
        <f t="shared" ref="Q106" si="124">Q104-Q105</f>
        <v>6.0716881428409308E-2</v>
      </c>
      <c r="R106" s="242">
        <f t="shared" ref="R106" si="125">R104-R105</f>
        <v>5.7397658909074001E-2</v>
      </c>
      <c r="S106" s="242">
        <f t="shared" ref="S106" si="126">S104-S105</f>
        <v>5.2944481973980106E-2</v>
      </c>
      <c r="T106" s="242">
        <f t="shared" ref="T106" si="127">T104-T105</f>
        <v>4.7552067002120224E-2</v>
      </c>
      <c r="U106" s="242">
        <f t="shared" ref="U106" si="128">U104-U105</f>
        <v>3.7680298724875605E-2</v>
      </c>
      <c r="V106" s="242">
        <f t="shared" ref="V106" si="129">V104-V105</f>
        <v>3.4629683863625971E-2</v>
      </c>
      <c r="W106" s="242">
        <f t="shared" ref="W106" si="130">W104-W105</f>
        <v>3.3286462965175678E-2</v>
      </c>
      <c r="X106" s="242">
        <f t="shared" ref="X106" si="131">X104-X105</f>
        <v>3.075420128421219E-2</v>
      </c>
      <c r="Y106" s="242">
        <f t="shared" ref="Y106" si="132">Y104-Y105</f>
        <v>3.1914463872196486E-2</v>
      </c>
      <c r="Z106" s="242">
        <f t="shared" ref="Z106" si="133">Z104-Z105</f>
        <v>4.1445488101773842E-2</v>
      </c>
      <c r="AA106" s="242">
        <f t="shared" ref="AA106" si="134">AA104-AA105</f>
        <v>3.361527578867185E-2</v>
      </c>
      <c r="AB106" s="242">
        <f t="shared" ref="AB106" si="135">AB104-AB105</f>
        <v>3.2901721352702085E-2</v>
      </c>
      <c r="AC106" s="242">
        <f t="shared" ref="AC106" si="136">AC104-AC105</f>
        <v>3.5125971500262865E-2</v>
      </c>
      <c r="AD106" s="242">
        <f t="shared" ref="AD106" si="137">AD104-AD105</f>
        <v>3.2538943589479841E-2</v>
      </c>
      <c r="AE106" s="242">
        <f t="shared" ref="AE106" si="138">AE104-AE105</f>
        <v>2.4733737358914154E-2</v>
      </c>
      <c r="AF106" s="242">
        <f t="shared" ref="AF106" si="139">AF104-AF105</f>
        <v>1.978731487083496E-2</v>
      </c>
      <c r="AG106" s="242">
        <f t="shared" ref="AG106" si="140">AG104-AG105</f>
        <v>1.7696974790943676E-2</v>
      </c>
      <c r="AH106" s="242">
        <f t="shared" ref="AH106" si="141">AH104-AH105</f>
        <v>1.7696974790943676E-2</v>
      </c>
      <c r="AI106" s="242">
        <f t="shared" ref="AI106" si="142">AI104-AI105</f>
        <v>1.7696974790943676E-2</v>
      </c>
      <c r="AJ106" s="242">
        <f t="shared" ref="AJ106" si="143">AJ104-AJ105</f>
        <v>1.1397223073439489E-2</v>
      </c>
      <c r="AK106" s="242">
        <f t="shared" ref="AK106" si="144">AK104-AK105</f>
        <v>1.3735450932102378E-2</v>
      </c>
      <c r="AL106" s="242">
        <f t="shared" ref="AL106" si="145">AL104-AL105</f>
        <v>1.7591677355875746E-2</v>
      </c>
      <c r="AM106" s="242">
        <f t="shared" ref="AM106" si="146">AM104-AM105</f>
        <v>3.6271332158594016E-2</v>
      </c>
      <c r="AN106" s="242">
        <f t="shared" ref="AN106" si="147">AN104-AN105</f>
        <v>4.8668343263406966E-2</v>
      </c>
      <c r="AO106" s="242">
        <f t="shared" ref="AO106" si="148">AO104-AO105</f>
        <v>4.9697645690356507E-2</v>
      </c>
      <c r="AP106" s="241">
        <f t="shared" ref="AP106" si="149">AP104-AP105</f>
        <v>4.2251635173336521E-2</v>
      </c>
      <c r="AQ106" s="241">
        <f t="shared" ref="AQ106" si="150">AQ104-AQ105</f>
        <v>3.2943681589675866E-2</v>
      </c>
      <c r="AR106" s="241">
        <f t="shared" ref="AR106" si="151">AR104-AR105</f>
        <v>2.5929246022215358E-2</v>
      </c>
      <c r="AS106" s="241">
        <f t="shared" ref="AS106" si="152">AS104-AS105</f>
        <v>1.6899696401097897E-2</v>
      </c>
      <c r="AT106" s="241">
        <f t="shared" ref="AT106" si="153">AT104-AT105</f>
        <v>7.3071533548256795E-3</v>
      </c>
      <c r="AU106" s="241">
        <f t="shared" ref="AU106" si="154">AU104-AU105</f>
        <v>1.323401965820048E-2</v>
      </c>
      <c r="AV106" s="241">
        <f t="shared" ref="AV106" si="155">AV104-AV105</f>
        <v>3.4212082075759653E-2</v>
      </c>
      <c r="AW106" s="241">
        <f t="shared" ref="AW106" si="156">AW104-AW105</f>
        <v>4.762638462823332E-2</v>
      </c>
      <c r="AX106" s="241">
        <f t="shared" ref="AX106" si="157">AX104-AX105</f>
        <v>4.0297139323649755E-2</v>
      </c>
      <c r="AY106" s="241">
        <f t="shared" ref="AY106" si="158">AY104-AY105</f>
        <v>1.5494198088793265E-2</v>
      </c>
      <c r="AZ106" s="241">
        <f t="shared" ref="AZ106" si="159">AZ104-AZ105</f>
        <v>-2.9432369774506917E-3</v>
      </c>
      <c r="BA106" s="241">
        <f t="shared" ref="BA106:BB106" si="160">BA104-BA105</f>
        <v>-1.5190386883570106E-2</v>
      </c>
      <c r="BB106" s="241">
        <f t="shared" si="160"/>
        <v>-1.5190386883570106E-2</v>
      </c>
    </row>
    <row r="107" spans="1:54" s="41" customFormat="1" hidden="1" x14ac:dyDescent="0.3">
      <c r="B107" s="63" t="s">
        <v>189</v>
      </c>
      <c r="C107" s="41">
        <f>1/52*C16</f>
        <v>1.9230769230769232E-2</v>
      </c>
      <c r="D107" s="41">
        <f t="shared" ref="D107:BB107" si="161">1/52*D16</f>
        <v>3.8461538461538464E-2</v>
      </c>
      <c r="E107" s="41">
        <f t="shared" si="161"/>
        <v>5.7692307692307696E-2</v>
      </c>
      <c r="F107" s="41">
        <f t="shared" si="161"/>
        <v>7.6923076923076927E-2</v>
      </c>
      <c r="G107" s="41">
        <f t="shared" si="161"/>
        <v>9.6153846153846159E-2</v>
      </c>
      <c r="H107" s="41">
        <f t="shared" si="161"/>
        <v>0.11538461538461539</v>
      </c>
      <c r="I107" s="41">
        <f t="shared" si="161"/>
        <v>0.13461538461538464</v>
      </c>
      <c r="J107" s="41">
        <f t="shared" si="161"/>
        <v>0.15384615384615385</v>
      </c>
      <c r="K107" s="41">
        <f t="shared" si="161"/>
        <v>0.17307692307692307</v>
      </c>
      <c r="L107" s="41">
        <f t="shared" si="161"/>
        <v>0.19230769230769232</v>
      </c>
      <c r="M107" s="41">
        <f t="shared" si="161"/>
        <v>0.21153846153846156</v>
      </c>
      <c r="N107" s="41">
        <f t="shared" si="161"/>
        <v>0.23076923076923078</v>
      </c>
      <c r="O107" s="41">
        <f t="shared" si="161"/>
        <v>0.25</v>
      </c>
      <c r="P107" s="41">
        <f t="shared" si="161"/>
        <v>0.26923076923076927</v>
      </c>
      <c r="Q107" s="41">
        <f t="shared" si="161"/>
        <v>0.28846153846153849</v>
      </c>
      <c r="R107" s="41">
        <f t="shared" si="161"/>
        <v>0.30769230769230771</v>
      </c>
      <c r="S107" s="41">
        <f t="shared" si="161"/>
        <v>0.32692307692307693</v>
      </c>
      <c r="T107" s="41">
        <f t="shared" si="161"/>
        <v>0.34615384615384615</v>
      </c>
      <c r="U107" s="41">
        <f t="shared" si="161"/>
        <v>0.36538461538461542</v>
      </c>
      <c r="V107" s="41">
        <f t="shared" si="161"/>
        <v>0.38461538461538464</v>
      </c>
      <c r="W107" s="41">
        <f t="shared" si="161"/>
        <v>0.40384615384615385</v>
      </c>
      <c r="X107" s="41">
        <f t="shared" si="161"/>
        <v>0.42307692307692313</v>
      </c>
      <c r="Y107" s="41">
        <f t="shared" si="161"/>
        <v>0.44230769230769235</v>
      </c>
      <c r="Z107" s="41">
        <f t="shared" si="161"/>
        <v>0.46153846153846156</v>
      </c>
      <c r="AA107" s="41">
        <f t="shared" si="161"/>
        <v>0.48076923076923078</v>
      </c>
      <c r="AB107" s="41">
        <f t="shared" si="161"/>
        <v>0.5</v>
      </c>
      <c r="AC107" s="41">
        <f t="shared" si="161"/>
        <v>0.51923076923076927</v>
      </c>
      <c r="AD107" s="41">
        <f t="shared" si="161"/>
        <v>0.53846153846153855</v>
      </c>
      <c r="AE107" s="41">
        <f t="shared" si="161"/>
        <v>0.55769230769230771</v>
      </c>
      <c r="AF107" s="41">
        <f t="shared" si="161"/>
        <v>0.57692307692307698</v>
      </c>
      <c r="AG107" s="41">
        <f t="shared" si="161"/>
        <v>0.59615384615384615</v>
      </c>
      <c r="AH107" s="41">
        <f t="shared" si="161"/>
        <v>0.61538461538461542</v>
      </c>
      <c r="AI107" s="41">
        <f t="shared" si="161"/>
        <v>0.63461538461538469</v>
      </c>
      <c r="AJ107" s="41">
        <f t="shared" si="161"/>
        <v>0.65384615384615385</v>
      </c>
      <c r="AK107" s="41">
        <f t="shared" si="161"/>
        <v>0.67307692307692313</v>
      </c>
      <c r="AL107" s="41">
        <f t="shared" si="161"/>
        <v>0.69230769230769229</v>
      </c>
      <c r="AM107" s="41">
        <f t="shared" si="161"/>
        <v>0.71153846153846156</v>
      </c>
      <c r="AN107" s="41">
        <f t="shared" si="161"/>
        <v>0.73076923076923084</v>
      </c>
      <c r="AO107" s="41">
        <f t="shared" si="161"/>
        <v>0.75</v>
      </c>
      <c r="AP107" s="41">
        <f t="shared" si="161"/>
        <v>0.76923076923076927</v>
      </c>
      <c r="AQ107" s="41">
        <f t="shared" si="161"/>
        <v>0.78846153846153855</v>
      </c>
      <c r="AR107" s="41">
        <f t="shared" si="161"/>
        <v>0.80769230769230771</v>
      </c>
      <c r="AS107" s="41">
        <f t="shared" si="161"/>
        <v>0.82692307692307698</v>
      </c>
      <c r="AT107" s="41">
        <f t="shared" si="161"/>
        <v>0.84615384615384626</v>
      </c>
      <c r="AU107" s="41">
        <f t="shared" si="161"/>
        <v>0.86538461538461542</v>
      </c>
      <c r="AV107" s="41">
        <f t="shared" si="161"/>
        <v>0.88461538461538469</v>
      </c>
      <c r="AW107" s="41">
        <f t="shared" si="161"/>
        <v>0.90384615384615385</v>
      </c>
      <c r="AX107" s="41">
        <f t="shared" si="161"/>
        <v>0.92307692307692313</v>
      </c>
      <c r="AY107" s="41">
        <f t="shared" si="161"/>
        <v>0.9423076923076924</v>
      </c>
      <c r="AZ107" s="41">
        <f t="shared" si="161"/>
        <v>0.96153846153846156</v>
      </c>
      <c r="BA107" s="41">
        <f t="shared" si="161"/>
        <v>0.98076923076923084</v>
      </c>
      <c r="BB107" s="41">
        <f t="shared" si="161"/>
        <v>1</v>
      </c>
    </row>
    <row r="108" spans="1:54" hidden="1" x14ac:dyDescent="0.3"/>
    <row r="109" spans="1:54" hidden="1" x14ac:dyDescent="0.3"/>
    <row r="110" spans="1:54" hidden="1" x14ac:dyDescent="0.3"/>
    <row r="111" spans="1:54" hidden="1" x14ac:dyDescent="0.3"/>
    <row r="112" spans="1:54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</sheetData>
  <conditionalFormatting sqref="C1:BB1">
    <cfRule type="expression" dxfId="681" priority="21">
      <formula>VALUE(RIGHT(C$1,2))=VALUE(WEEKNUM(TODAY(),21))</formula>
    </cfRule>
  </conditionalFormatting>
  <conditionalFormatting sqref="C3:BB3">
    <cfRule type="cellIs" dxfId="680" priority="20" operator="greaterThan">
      <formula>C$5</formula>
    </cfRule>
  </conditionalFormatting>
  <conditionalFormatting sqref="C4:BB4">
    <cfRule type="cellIs" dxfId="679" priority="19" operator="greaterThan">
      <formula>C$6</formula>
    </cfRule>
  </conditionalFormatting>
  <conditionalFormatting sqref="C9:BB9">
    <cfRule type="cellIs" dxfId="678" priority="18" operator="lessThan">
      <formula>0</formula>
    </cfRule>
  </conditionalFormatting>
  <conditionalFormatting sqref="B25">
    <cfRule type="expression" dxfId="677" priority="17">
      <formula>MOD(ROW(),2)</formula>
    </cfRule>
  </conditionalFormatting>
  <conditionalFormatting sqref="B26">
    <cfRule type="expression" dxfId="676" priority="16">
      <formula>MOD(ROW(),2)</formula>
    </cfRule>
  </conditionalFormatting>
  <conditionalFormatting sqref="B27">
    <cfRule type="expression" dxfId="675" priority="15">
      <formula>MOD(ROW(),2)</formula>
    </cfRule>
  </conditionalFormatting>
  <conditionalFormatting sqref="B29">
    <cfRule type="expression" dxfId="674" priority="14">
      <formula>MOD(ROW(),2)</formula>
    </cfRule>
  </conditionalFormatting>
  <conditionalFormatting sqref="B30">
    <cfRule type="expression" dxfId="673" priority="13">
      <formula>MOD(ROW(),2)</formula>
    </cfRule>
  </conditionalFormatting>
  <conditionalFormatting sqref="B31">
    <cfRule type="expression" dxfId="672" priority="12">
      <formula>MOD(ROW(),2)</formula>
    </cfRule>
  </conditionalFormatting>
  <conditionalFormatting sqref="B36">
    <cfRule type="expression" dxfId="671" priority="11">
      <formula>MOD(ROW(),2)</formula>
    </cfRule>
  </conditionalFormatting>
  <conditionalFormatting sqref="B37">
    <cfRule type="expression" dxfId="670" priority="10">
      <formula>MOD(ROW(),2)</formula>
    </cfRule>
  </conditionalFormatting>
  <conditionalFormatting sqref="B38">
    <cfRule type="expression" dxfId="669" priority="9">
      <formula>MOD(ROW(),2)</formula>
    </cfRule>
  </conditionalFormatting>
  <conditionalFormatting sqref="B40">
    <cfRule type="expression" dxfId="668" priority="8">
      <formula>MOD(ROW(),2)</formula>
    </cfRule>
  </conditionalFormatting>
  <conditionalFormatting sqref="B41">
    <cfRule type="expression" dxfId="667" priority="7">
      <formula>MOD(ROW(),2)</formula>
    </cfRule>
  </conditionalFormatting>
  <conditionalFormatting sqref="B42">
    <cfRule type="expression" dxfId="666" priority="6">
      <formula>MOD(ROW(),2)</formula>
    </cfRule>
  </conditionalFormatting>
  <conditionalFormatting sqref="B28">
    <cfRule type="expression" dxfId="665" priority="5">
      <formula>MOD(ROW(),2)</formula>
    </cfRule>
  </conditionalFormatting>
  <conditionalFormatting sqref="B39">
    <cfRule type="expression" dxfId="664" priority="4">
      <formula>MOD(ROW(),2)</formula>
    </cfRule>
  </conditionalFormatting>
  <conditionalFormatting sqref="B43:B44">
    <cfRule type="expression" dxfId="663" priority="2">
      <formula>MOD(ROW(),2)</formula>
    </cfRule>
  </conditionalFormatting>
  <conditionalFormatting sqref="B32">
    <cfRule type="expression" dxfId="662" priority="1">
      <formula>MOD(ROW(),2)</formula>
    </cfRule>
  </conditionalFormatting>
  <pageMargins left="0.7" right="0.7" top="0.75" bottom="0.75" header="0.3" footer="0.3"/>
  <pageSetup scale="17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F6AD-99D8-4ADA-B81E-7CB167A10B3C}">
  <sheetPr codeName="Sheet1">
    <pageSetUpPr fitToPage="1"/>
  </sheetPr>
  <dimension ref="A1:AS64"/>
  <sheetViews>
    <sheetView zoomScaleNormal="100" workbookViewId="0">
      <pane xSplit="2" ySplit="7" topLeftCell="C8" activePane="bottomRight" state="frozenSplit"/>
      <selection pane="topRight" activeCell="G1" sqref="G1"/>
      <selection pane="bottomLeft" activeCell="A8" sqref="A8"/>
      <selection pane="bottomRight" activeCell="B37" sqref="B37"/>
    </sheetView>
  </sheetViews>
  <sheetFormatPr baseColWidth="10" defaultColWidth="8.88671875" defaultRowHeight="14.4" outlineLevelRow="1" outlineLevelCol="1" x14ac:dyDescent="0.3"/>
  <cols>
    <col min="1" max="1" width="14.5546875" style="437" hidden="1" customWidth="1" outlineLevel="1"/>
    <col min="2" max="2" width="50.88671875" style="655" bestFit="1" customWidth="1" collapsed="1"/>
    <col min="3" max="3" width="4.88671875" style="655" bestFit="1" customWidth="1"/>
    <col min="4" max="4" width="1.88671875" customWidth="1"/>
    <col min="5" max="6" width="10.5546875" style="658" bestFit="1" customWidth="1"/>
    <col min="7" max="7" width="12.5546875" style="118" bestFit="1" customWidth="1"/>
    <col min="8" max="8" width="1.88671875" customWidth="1"/>
    <col min="9" max="9" width="11.88671875" style="387" customWidth="1"/>
    <col min="10" max="18" width="10.88671875" style="387" customWidth="1"/>
    <col min="19" max="20" width="10.88671875" style="387" customWidth="1" outlineLevel="1"/>
    <col min="21" max="21" width="1.88671875" customWidth="1"/>
    <col min="22" max="23" width="8.44140625" style="387" hidden="1" customWidth="1" outlineLevel="1"/>
    <col min="24" max="30" width="8.88671875" style="387" hidden="1" customWidth="1" outlineLevel="1"/>
    <col min="31" max="31" width="2.5546875" style="253" customWidth="1" collapsed="1"/>
    <col min="32" max="32" width="12.44140625" style="387" bestFit="1" customWidth="1"/>
    <col min="33" max="33" width="13.5546875" style="387" bestFit="1" customWidth="1"/>
    <col min="34" max="34" width="14.5546875" style="437" bestFit="1" customWidth="1"/>
    <col min="35" max="35" width="3.109375" customWidth="1"/>
    <col min="36" max="36" width="14.109375" style="387" bestFit="1" customWidth="1"/>
    <col min="37" max="37" width="15.5546875" style="387" bestFit="1" customWidth="1"/>
    <col min="38" max="16384" width="8.88671875" style="437"/>
  </cols>
  <sheetData>
    <row r="1" spans="1:37" hidden="1" outlineLevel="1" x14ac:dyDescent="0.3">
      <c r="B1" s="659" t="s">
        <v>540</v>
      </c>
      <c r="C1" s="659"/>
      <c r="E1" s="659">
        <v>2020</v>
      </c>
      <c r="F1" s="659">
        <v>2021</v>
      </c>
      <c r="G1" s="118">
        <v>2022</v>
      </c>
      <c r="I1" s="118">
        <v>2021</v>
      </c>
      <c r="J1" s="118">
        <v>2021</v>
      </c>
      <c r="K1" s="118">
        <v>2021</v>
      </c>
      <c r="L1" s="118">
        <v>2021</v>
      </c>
      <c r="M1" s="118">
        <v>2021</v>
      </c>
      <c r="N1" s="118">
        <v>2021</v>
      </c>
      <c r="O1" s="118">
        <v>2021</v>
      </c>
      <c r="P1" s="118">
        <v>2021</v>
      </c>
      <c r="Q1" s="118">
        <v>2021</v>
      </c>
      <c r="R1" s="118">
        <v>2021</v>
      </c>
      <c r="S1" s="118">
        <v>2021</v>
      </c>
      <c r="T1" s="118">
        <v>2021</v>
      </c>
      <c r="V1" s="118">
        <v>2021</v>
      </c>
      <c r="W1" s="118">
        <v>2021</v>
      </c>
      <c r="X1" s="118">
        <v>2021</v>
      </c>
      <c r="Y1" s="118">
        <v>2021</v>
      </c>
      <c r="Z1" s="118">
        <v>2021</v>
      </c>
      <c r="AA1" s="118">
        <v>2021</v>
      </c>
      <c r="AB1" s="118">
        <v>2021</v>
      </c>
      <c r="AC1" s="118">
        <v>2021</v>
      </c>
      <c r="AD1" s="118">
        <v>2021</v>
      </c>
      <c r="AE1" s="693"/>
      <c r="AF1" s="118">
        <v>2021</v>
      </c>
      <c r="AG1" s="118">
        <v>2022</v>
      </c>
      <c r="AH1" s="118">
        <v>2021</v>
      </c>
      <c r="AJ1" s="387">
        <v>2020</v>
      </c>
      <c r="AK1" s="118">
        <v>2022</v>
      </c>
    </row>
    <row r="2" spans="1:37" hidden="1" outlineLevel="1" x14ac:dyDescent="0.3">
      <c r="B2" s="659" t="s">
        <v>541</v>
      </c>
      <c r="C2" s="659"/>
      <c r="E2" s="659" t="s">
        <v>234</v>
      </c>
      <c r="F2" s="659" t="str">
        <f ca="1">MONTH(TODAY())-1&amp;" YTD"</f>
        <v>3 YTD</v>
      </c>
      <c r="G2" s="659" t="s">
        <v>234</v>
      </c>
      <c r="I2" s="118">
        <v>1</v>
      </c>
      <c r="J2" s="118">
        <v>2</v>
      </c>
      <c r="K2" s="118">
        <v>3</v>
      </c>
      <c r="L2" s="118">
        <v>4</v>
      </c>
      <c r="M2" s="118">
        <v>5</v>
      </c>
      <c r="N2" s="118">
        <v>6</v>
      </c>
      <c r="O2" s="118">
        <v>7</v>
      </c>
      <c r="P2" s="118">
        <v>8</v>
      </c>
      <c r="Q2" s="118">
        <v>9</v>
      </c>
      <c r="R2" s="118">
        <v>10</v>
      </c>
      <c r="S2" s="118">
        <v>11</v>
      </c>
      <c r="T2" s="118">
        <v>12</v>
      </c>
      <c r="V2" s="118">
        <v>4</v>
      </c>
      <c r="W2" s="118">
        <v>5</v>
      </c>
      <c r="X2" s="118">
        <v>6</v>
      </c>
      <c r="Y2" s="118">
        <v>7</v>
      </c>
      <c r="Z2" s="118">
        <v>8</v>
      </c>
      <c r="AA2" s="118">
        <v>9</v>
      </c>
      <c r="AB2" s="118">
        <v>10</v>
      </c>
      <c r="AC2" s="118">
        <v>11</v>
      </c>
      <c r="AD2" s="118">
        <v>12</v>
      </c>
      <c r="AE2" s="693"/>
      <c r="AF2" s="696" t="str">
        <f ca="1">MONTH(TODAY())-1&amp;" YTD"</f>
        <v>3 YTD</v>
      </c>
      <c r="AG2" s="696" t="str">
        <f ca="1">MONTH(TODAY())-1&amp;" YTD"</f>
        <v>3 YTD</v>
      </c>
      <c r="AH2" s="696" t="str">
        <f ca="1">MONTH(TODAY())-1&amp;" YTD"</f>
        <v>3 YTD</v>
      </c>
      <c r="AJ2" s="118" t="s">
        <v>234</v>
      </c>
      <c r="AK2" s="118" t="s">
        <v>234</v>
      </c>
    </row>
    <row r="3" spans="1:37" hidden="1" outlineLevel="1" x14ac:dyDescent="0.3">
      <c r="A3"/>
      <c r="B3" s="659" t="s">
        <v>544</v>
      </c>
      <c r="C3" s="659"/>
      <c r="E3" s="659">
        <v>12</v>
      </c>
      <c r="F3" s="659">
        <f ca="1">LEFT(F$2,2)*1</f>
        <v>3</v>
      </c>
      <c r="G3" s="659">
        <v>12</v>
      </c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V3" s="118"/>
      <c r="W3" s="118"/>
      <c r="X3" s="118"/>
      <c r="Y3" s="118"/>
      <c r="Z3" s="118"/>
      <c r="AA3" s="118"/>
      <c r="AB3" s="118"/>
      <c r="AC3" s="118"/>
      <c r="AD3" s="118"/>
      <c r="AE3" s="693"/>
      <c r="AF3" s="118"/>
      <c r="AG3" s="118"/>
      <c r="AK3" s="118"/>
    </row>
    <row r="4" spans="1:37" collapsed="1" x14ac:dyDescent="0.3">
      <c r="B4" s="659"/>
      <c r="C4" s="659"/>
      <c r="E4" s="659"/>
      <c r="F4" s="659"/>
    </row>
    <row r="5" spans="1:37" x14ac:dyDescent="0.3">
      <c r="B5" s="655">
        <f ca="1">YEAR(TODAY())</f>
        <v>2022</v>
      </c>
      <c r="C5" s="655">
        <f ca="1">MONTH(TODAY())</f>
        <v>4</v>
      </c>
    </row>
    <row r="6" spans="1:37" x14ac:dyDescent="0.3">
      <c r="B6" s="387"/>
      <c r="C6" s="387"/>
      <c r="E6" s="692" t="s">
        <v>550</v>
      </c>
      <c r="F6" s="729" t="s">
        <v>551</v>
      </c>
      <c r="G6" s="730" t="s">
        <v>788</v>
      </c>
      <c r="I6" s="729" t="str">
        <f>TEXT(I$2,"00")&amp;" "&amp;I$1</f>
        <v>01 2021</v>
      </c>
      <c r="J6" s="729" t="str">
        <f t="shared" ref="J6:M6" si="0">TEXT(J$2,"00")&amp;" "&amp;J$1</f>
        <v>02 2021</v>
      </c>
      <c r="K6" s="729" t="str">
        <f t="shared" si="0"/>
        <v>03 2021</v>
      </c>
      <c r="L6" s="729" t="str">
        <f t="shared" si="0"/>
        <v>04 2021</v>
      </c>
      <c r="M6" s="729" t="str">
        <f t="shared" si="0"/>
        <v>05 2021</v>
      </c>
      <c r="N6" s="722" t="s">
        <v>597</v>
      </c>
      <c r="O6" s="722" t="s">
        <v>598</v>
      </c>
      <c r="P6" s="722" t="s">
        <v>599</v>
      </c>
      <c r="Q6" s="722" t="s">
        <v>600</v>
      </c>
      <c r="R6" s="722" t="s">
        <v>561</v>
      </c>
      <c r="S6" s="722" t="s">
        <v>562</v>
      </c>
      <c r="T6" s="722" t="s">
        <v>563</v>
      </c>
      <c r="V6" s="662" t="s">
        <v>553</v>
      </c>
      <c r="W6" s="662" t="s">
        <v>558</v>
      </c>
      <c r="X6" s="662" t="s">
        <v>559</v>
      </c>
      <c r="Y6" s="662" t="s">
        <v>554</v>
      </c>
      <c r="Z6" s="662" t="s">
        <v>555</v>
      </c>
      <c r="AA6" s="662" t="s">
        <v>560</v>
      </c>
      <c r="AB6" s="662" t="s">
        <v>561</v>
      </c>
      <c r="AC6" s="662" t="s">
        <v>562</v>
      </c>
      <c r="AD6" s="662" t="s">
        <v>563</v>
      </c>
      <c r="AE6" s="667"/>
      <c r="AF6" s="729" t="str">
        <f ca="1">AF$2&amp;" "&amp;AF$1</f>
        <v>3 YTD 2021</v>
      </c>
      <c r="AG6" s="730" t="str">
        <f ca="1">AG$2&amp;" "&amp;AG$1</f>
        <v>3 YTD 2022</v>
      </c>
      <c r="AH6" s="694" t="str">
        <f ca="1">AH$2&amp;" "&amp;AH$1</f>
        <v>3 YTD 2021</v>
      </c>
      <c r="AJ6" s="661" t="str">
        <f>AJ$2&amp;" "&amp;AJ$1</f>
        <v>12 YTD 2020</v>
      </c>
      <c r="AK6" s="730" t="str">
        <f>AK$2&amp;" "&amp;AK$1</f>
        <v>12 YTD 2022</v>
      </c>
    </row>
    <row r="7" spans="1:37" x14ac:dyDescent="0.3">
      <c r="C7" s="387" t="s">
        <v>565</v>
      </c>
      <c r="E7" s="692" t="s">
        <v>245</v>
      </c>
      <c r="F7" s="729" t="s">
        <v>245</v>
      </c>
      <c r="G7" s="730" t="s">
        <v>115</v>
      </c>
      <c r="I7" s="729" t="s">
        <v>245</v>
      </c>
      <c r="J7" s="729" t="s">
        <v>245</v>
      </c>
      <c r="K7" s="729" t="s">
        <v>245</v>
      </c>
      <c r="L7" s="729" t="s">
        <v>245</v>
      </c>
      <c r="M7" s="729" t="s">
        <v>245</v>
      </c>
      <c r="N7" s="722" t="s">
        <v>245</v>
      </c>
      <c r="O7" s="722" t="s">
        <v>245</v>
      </c>
      <c r="P7" s="722" t="s">
        <v>245</v>
      </c>
      <c r="Q7" s="722" t="s">
        <v>245</v>
      </c>
      <c r="R7" s="722" t="s">
        <v>245</v>
      </c>
      <c r="S7" s="722" t="s">
        <v>245</v>
      </c>
      <c r="T7" s="722" t="s">
        <v>245</v>
      </c>
      <c r="V7" s="662" t="s">
        <v>564</v>
      </c>
      <c r="W7" s="662" t="s">
        <v>564</v>
      </c>
      <c r="X7" s="662" t="s">
        <v>564</v>
      </c>
      <c r="Y7" s="662" t="s">
        <v>564</v>
      </c>
      <c r="Z7" s="662" t="s">
        <v>564</v>
      </c>
      <c r="AA7" s="662" t="s">
        <v>564</v>
      </c>
      <c r="AB7" s="662" t="s">
        <v>564</v>
      </c>
      <c r="AC7" s="662" t="s">
        <v>564</v>
      </c>
      <c r="AD7" s="662" t="s">
        <v>564</v>
      </c>
      <c r="AE7" s="667"/>
      <c r="AF7" s="729" t="s">
        <v>654</v>
      </c>
      <c r="AG7" s="730" t="s">
        <v>655</v>
      </c>
      <c r="AH7" s="695" t="s">
        <v>652</v>
      </c>
      <c r="AJ7" s="661" t="s">
        <v>654</v>
      </c>
      <c r="AK7" s="730" t="s">
        <v>655</v>
      </c>
    </row>
    <row r="8" spans="1:37" s="686" customFormat="1" x14ac:dyDescent="0.3">
      <c r="B8" s="854" t="s">
        <v>783</v>
      </c>
      <c r="C8" s="687"/>
      <c r="D8"/>
      <c r="E8" s="698"/>
      <c r="F8" s="698"/>
      <c r="G8" s="699"/>
      <c r="H8"/>
      <c r="I8" s="699"/>
      <c r="J8" s="699"/>
      <c r="K8" s="699"/>
      <c r="L8" s="699"/>
      <c r="M8" s="699"/>
      <c r="N8" s="698"/>
      <c r="O8" s="698"/>
      <c r="P8" s="698"/>
      <c r="Q8" s="698"/>
      <c r="R8" s="698"/>
      <c r="S8" s="698"/>
      <c r="T8" s="698"/>
      <c r="U8"/>
      <c r="V8" s="700"/>
      <c r="W8" s="698"/>
      <c r="X8" s="698"/>
      <c r="Y8" s="698"/>
      <c r="Z8" s="698"/>
      <c r="AA8" s="698"/>
      <c r="AB8" s="698"/>
      <c r="AC8" s="698"/>
      <c r="AD8" s="688"/>
      <c r="AE8" s="688"/>
      <c r="AF8" s="689"/>
      <c r="AG8" s="690"/>
      <c r="AI8"/>
      <c r="AJ8" s="689"/>
      <c r="AK8" s="691"/>
    </row>
    <row r="9" spans="1:37" x14ac:dyDescent="0.3">
      <c r="A9" s="55" t="s">
        <v>171</v>
      </c>
      <c r="B9" s="725" t="s">
        <v>779</v>
      </c>
      <c r="C9" s="850" t="s">
        <v>653</v>
      </c>
      <c r="D9" s="437"/>
      <c r="E9" s="697">
        <f t="shared" ref="E9:E12" si="1">$AJ9/E$3</f>
        <v>0</v>
      </c>
      <c r="F9" s="697">
        <f ca="1">IFERROR(1/F$3,1)*SUMIFS(Data!$S$3:$S$305,Data!$O$3:$O$305,F$1,Data!$P$3:$P$305,IF(RIGHT(F$2,3)="YTD","&lt;="&amp;LEFT(F$2,2)*1,F$2),Data!$K$3:$K$305,$B9)</f>
        <v>0</v>
      </c>
      <c r="G9" s="697">
        <f>AK9/12</f>
        <v>0</v>
      </c>
      <c r="H9" s="437"/>
      <c r="I9" s="697">
        <f>IFERROR(1/I$3,1)*SUMIFS(tbl_DCFC[C Montant € HT],tbl_DCFC[OI_Year],I$1,tbl_DCFC[OI_Month],IF(RIGHT(I$2,3)="YTD","&lt;="&amp;LEFT(I$2,2)*1,I$2),tbl_DCFC[BU_Key],$A9)</f>
        <v>0</v>
      </c>
      <c r="J9" s="697">
        <f>IFERROR(1/J$3,1)*SUMIFS(tbl_DCFC[C Montant € HT],tbl_DCFC[OI_Year],J$1,tbl_DCFC[OI_Month],IF(RIGHT(J$2,3)="YTD","&lt;="&amp;LEFT(J$2,2)*1,J$2),tbl_DCFC[BU_Key],$A9)</f>
        <v>0</v>
      </c>
      <c r="K9" s="697">
        <f>IFERROR(1/K$3,1)*SUMIFS(tbl_DCFC[C Montant € HT],tbl_DCFC[OI_Year],K$1,tbl_DCFC[OI_Month],IF(RIGHT(K$2,3)="YTD","&lt;="&amp;LEFT(K$2,2)*1,K$2),tbl_DCFC[BU_Key],$A9)</f>
        <v>0</v>
      </c>
      <c r="L9" s="697">
        <f>IFERROR(1/L$3,1)*SUMIFS(tbl_DCFC[C Montant € HT],tbl_DCFC[OI_Year],L$1,tbl_DCFC[OI_Month],IF(RIGHT(L$2,3)="YTD","&lt;="&amp;LEFT(L$2,2)*1,L$2),tbl_DCFC[BU_Key],$A9)</f>
        <v>0</v>
      </c>
      <c r="M9" s="697">
        <f>IFERROR(1/M$3,1)*SUMIFS(tbl_DCFC[C Montant € HT],tbl_DCFC[OI_Year],M$1,tbl_DCFC[OI_Month],IF(RIGHT(M$2,3)="YTD","&lt;="&amp;LEFT(M$2,2)*1,M$2),tbl_DCFC[BU_Key],$A9)</f>
        <v>0</v>
      </c>
      <c r="N9" s="697">
        <f>IFERROR(1/N$3,1)*SUMIFS(tbl_DCFC[C Montant € HT],tbl_DCFC[OI_Year],N$1,tbl_DCFC[OI_Month],IF(RIGHT(N$2,3)="YTD","&lt;="&amp;LEFT(N$2,2)*1,N$2),tbl_DCFC[BU_Key],$A9)</f>
        <v>0</v>
      </c>
      <c r="O9" s="697">
        <f>IFERROR(1/O$3,1)*SUMIFS(tbl_DCFC[C Montant € HT],tbl_DCFC[OI_Year],O$1,tbl_DCFC[OI_Month],IF(RIGHT(O$2,3)="YTD","&lt;="&amp;LEFT(O$2,2)*1,O$2),tbl_DCFC[BU_Key],$A9)</f>
        <v>0</v>
      </c>
      <c r="P9" s="697">
        <f>IFERROR(1/P$3,1)*SUMIFS(tbl_DCFC[C Montant € HT],tbl_DCFC[OI_Year],P$1,tbl_DCFC[OI_Month],IF(RIGHT(P$2,3)="YTD","&lt;="&amp;LEFT(P$2,2)*1,P$2),tbl_DCFC[BU_Key],$A9)</f>
        <v>0</v>
      </c>
      <c r="Q9" s="697">
        <f>IFERROR(1/Q$3,1)*SUMIFS(tbl_DCFC[C Montant € HT],tbl_DCFC[OI_Year],Q$1,tbl_DCFC[OI_Month],IF(RIGHT(Q$2,3)="YTD","&lt;="&amp;LEFT(Q$2,2)*1,Q$2),tbl_DCFC[BU_Key],$A9)</f>
        <v>0</v>
      </c>
      <c r="R9" s="697">
        <f>IFERROR(1/R$3,1)*SUMIFS(tbl_DCFC[C Montant € HT],tbl_DCFC[OI_Year],R$1,tbl_DCFC[OI_Month],IF(RIGHT(R$2,3)="YTD","&lt;="&amp;LEFT(R$2,2)*1,R$2),tbl_DCFC[BU_Key],$A9)</f>
        <v>0</v>
      </c>
      <c r="S9" s="697">
        <f>IFERROR(1/S$3,1)*SUMIFS(tbl_DCFC[C Montant € HT],tbl_DCFC[OI_Year],S$1,tbl_DCFC[OI_Month],IF(RIGHT(S$2,3)="YTD","&lt;="&amp;LEFT(S$2,2)*1,S$2),tbl_DCFC[BU_Key],$A9)</f>
        <v>0</v>
      </c>
      <c r="T9" s="697">
        <f>IFERROR(1/T$3,1)*SUMIFS(tbl_DCFC[C Montant € HT],tbl_DCFC[OI_Year],T$1,tbl_DCFC[OI_Month],IF(RIGHT(T$2,3)="YTD","&lt;="&amp;LEFT(T$2,2)*1,T$2),tbl_DCFC[BU_Key],$A9)</f>
        <v>0</v>
      </c>
      <c r="U9" s="437"/>
      <c r="V9" s="697">
        <f>G9</f>
        <v>0</v>
      </c>
      <c r="W9" s="697">
        <f>$G9</f>
        <v>0</v>
      </c>
      <c r="X9" s="697">
        <f t="shared" ref="X9:AD11" si="2">$G9</f>
        <v>0</v>
      </c>
      <c r="Y9" s="697">
        <f t="shared" si="2"/>
        <v>0</v>
      </c>
      <c r="Z9" s="697">
        <f t="shared" si="2"/>
        <v>0</v>
      </c>
      <c r="AA9" s="697">
        <f t="shared" si="2"/>
        <v>0</v>
      </c>
      <c r="AB9" s="697">
        <f t="shared" si="2"/>
        <v>0</v>
      </c>
      <c r="AC9" s="697">
        <f t="shared" si="2"/>
        <v>0</v>
      </c>
      <c r="AD9" s="697">
        <f t="shared" si="2"/>
        <v>0</v>
      </c>
      <c r="AE9" s="697"/>
      <c r="AF9" s="697">
        <f ca="1">IFERROR(1/AF$3,1)*SUMIFS(tbl_DCFC[C Montant € HT],tbl_DCFC[OI_Year],AF$1,tbl_DCFC[OI_Month],IF(RIGHT(AF$2,3)="YTD","&lt;="&amp;LEFT(AF$2,2)*1,AF$2),tbl_DCFC[BU_Key],$A9)</f>
        <v>0</v>
      </c>
      <c r="AG9" s="697">
        <f t="shared" ref="AG9:AG10" ca="1" si="3">AK9/12*LEFT(AG$2,2)*1</f>
        <v>0</v>
      </c>
      <c r="AH9" s="716">
        <f ca="1">AF9-AG9</f>
        <v>0</v>
      </c>
      <c r="AI9" s="437"/>
      <c r="AJ9" s="697"/>
      <c r="AK9" s="697">
        <v>0</v>
      </c>
    </row>
    <row r="10" spans="1:37" x14ac:dyDescent="0.3">
      <c r="A10" s="437" t="s">
        <v>777</v>
      </c>
      <c r="B10" s="725" t="s">
        <v>780</v>
      </c>
      <c r="C10" s="850" t="s">
        <v>653</v>
      </c>
      <c r="D10" s="437"/>
      <c r="E10" s="697">
        <f t="shared" si="1"/>
        <v>0</v>
      </c>
      <c r="F10" s="697">
        <f ca="1">IFERROR(1/F$3,1)*SUMIFS(Data!$S$3:$S$305,Data!$O$3:$O$305,F$1,Data!$P$3:$P$305,IF(RIGHT(F$2,3)="YTD","&lt;="&amp;LEFT(F$2,2)*1,F$2),Data!$K$3:$K$305,$B10)</f>
        <v>0</v>
      </c>
      <c r="G10" s="697">
        <f t="shared" ref="G10" si="4">AK10/12</f>
        <v>0</v>
      </c>
      <c r="H10" s="437"/>
      <c r="I10" s="697">
        <f>IFERROR(1/I$3,1)*SUMIFS(tbl_DCFC[C Montant € HT],tbl_DCFC[OI_Year],I$1,tbl_DCFC[OI_Month],IF(RIGHT(I$2,3)="YTD","&lt;="&amp;LEFT(I$2,2)*1,I$2),tbl_DCFC[BU_Key],$A10)</f>
        <v>0</v>
      </c>
      <c r="J10" s="697">
        <f>IFERROR(1/J$3,1)*SUMIFS(tbl_DCFC[C Montant € HT],tbl_DCFC[OI_Year],J$1,tbl_DCFC[OI_Month],IF(RIGHT(J$2,3)="YTD","&lt;="&amp;LEFT(J$2,2)*1,J$2),tbl_DCFC[BU_Key],$A10)</f>
        <v>0</v>
      </c>
      <c r="K10" s="697">
        <f>IFERROR(1/K$3,1)*SUMIFS(tbl_DCFC[C Montant € HT],tbl_DCFC[OI_Year],K$1,tbl_DCFC[OI_Month],IF(RIGHT(K$2,3)="YTD","&lt;="&amp;LEFT(K$2,2)*1,K$2),tbl_DCFC[BU_Key],$A10)</f>
        <v>0</v>
      </c>
      <c r="L10" s="697">
        <f>IFERROR(1/L$3,1)*SUMIFS(tbl_DCFC[C Montant € HT],tbl_DCFC[OI_Year],L$1,tbl_DCFC[OI_Month],IF(RIGHT(L$2,3)="YTD","&lt;="&amp;LEFT(L$2,2)*1,L$2),tbl_DCFC[BU_Key],$A10)</f>
        <v>0</v>
      </c>
      <c r="M10" s="697">
        <f>IFERROR(1/M$3,1)*SUMIFS(tbl_DCFC[C Montant € HT],tbl_DCFC[OI_Year],M$1,tbl_DCFC[OI_Month],IF(RIGHT(M$2,3)="YTD","&lt;="&amp;LEFT(M$2,2)*1,M$2),tbl_DCFC[BU_Key],$A10)</f>
        <v>0</v>
      </c>
      <c r="N10" s="697">
        <f>IFERROR(1/N$3,1)*SUMIFS(tbl_DCFC[C Montant € HT],tbl_DCFC[OI_Year],N$1,tbl_DCFC[OI_Month],IF(RIGHT(N$2,3)="YTD","&lt;="&amp;LEFT(N$2,2)*1,N$2),tbl_DCFC[BU_Key],$A10)</f>
        <v>0</v>
      </c>
      <c r="O10" s="697">
        <f>IFERROR(1/O$3,1)*SUMIFS(tbl_DCFC[C Montant € HT],tbl_DCFC[OI_Year],O$1,tbl_DCFC[OI_Month],IF(RIGHT(O$2,3)="YTD","&lt;="&amp;LEFT(O$2,2)*1,O$2),tbl_DCFC[BU_Key],$A10)</f>
        <v>0</v>
      </c>
      <c r="P10" s="697">
        <f>IFERROR(1/P$3,1)*SUMIFS(tbl_DCFC[C Montant € HT],tbl_DCFC[OI_Year],P$1,tbl_DCFC[OI_Month],IF(RIGHT(P$2,3)="YTD","&lt;="&amp;LEFT(P$2,2)*1,P$2),tbl_DCFC[BU_Key],$A10)</f>
        <v>0</v>
      </c>
      <c r="Q10" s="697">
        <f>IFERROR(1/Q$3,1)*SUMIFS(tbl_DCFC[C Montant € HT],tbl_DCFC[OI_Year],Q$1,tbl_DCFC[OI_Month],IF(RIGHT(Q$2,3)="YTD","&lt;="&amp;LEFT(Q$2,2)*1,Q$2),tbl_DCFC[BU_Key],$A10)</f>
        <v>3236</v>
      </c>
      <c r="R10" s="697">
        <f>IFERROR(1/R$3,1)*SUMIFS(tbl_DCFC[C Montant € HT],tbl_DCFC[OI_Year],R$1,tbl_DCFC[OI_Month],IF(RIGHT(R$2,3)="YTD","&lt;="&amp;LEFT(R$2,2)*1,R$2),tbl_DCFC[BU_Key],$A10)</f>
        <v>0</v>
      </c>
      <c r="S10" s="697">
        <f>IFERROR(1/S$3,1)*SUMIFS(tbl_DCFC[C Montant € HT],tbl_DCFC[OI_Year],S$1,tbl_DCFC[OI_Month],IF(RIGHT(S$2,3)="YTD","&lt;="&amp;LEFT(S$2,2)*1,S$2),tbl_DCFC[BU_Key],$A10)</f>
        <v>0</v>
      </c>
      <c r="T10" s="697">
        <f>IFERROR(1/T$3,1)*SUMIFS(tbl_DCFC[C Montant € HT],tbl_DCFC[OI_Year],T$1,tbl_DCFC[OI_Month],IF(RIGHT(T$2,3)="YTD","&lt;="&amp;LEFT(T$2,2)*1,T$2),tbl_DCFC[BU_Key],$A10)</f>
        <v>7175</v>
      </c>
      <c r="U10" s="437"/>
      <c r="V10" s="697">
        <f t="shared" ref="V10" si="5">G10</f>
        <v>0</v>
      </c>
      <c r="W10" s="697">
        <f t="shared" ref="W10:AD12" si="6">$G10</f>
        <v>0</v>
      </c>
      <c r="X10" s="697">
        <f t="shared" si="6"/>
        <v>0</v>
      </c>
      <c r="Y10" s="697">
        <f t="shared" si="6"/>
        <v>0</v>
      </c>
      <c r="Z10" s="697">
        <f t="shared" si="6"/>
        <v>0</v>
      </c>
      <c r="AA10" s="697">
        <f t="shared" si="6"/>
        <v>0</v>
      </c>
      <c r="AB10" s="697">
        <f t="shared" si="6"/>
        <v>0</v>
      </c>
      <c r="AC10" s="697">
        <f t="shared" si="6"/>
        <v>0</v>
      </c>
      <c r="AD10" s="697">
        <f t="shared" si="6"/>
        <v>0</v>
      </c>
      <c r="AE10" s="697"/>
      <c r="AF10" s="697">
        <f ca="1">IFERROR(1/AF$3,1)*SUMIFS(tbl_DCFC[C Montant € HT],tbl_DCFC[OI_Year],AF$1,tbl_DCFC[OI_Month],IF(RIGHT(AF$2,3)="YTD","&lt;="&amp;LEFT(AF$2,2)*1,AF$2),tbl_DCFC[BU_Key],$A10)</f>
        <v>0</v>
      </c>
      <c r="AG10" s="697">
        <f t="shared" ca="1" si="3"/>
        <v>0</v>
      </c>
      <c r="AH10" s="716">
        <f t="shared" ref="AH10" ca="1" si="7">AF10-AG10</f>
        <v>0</v>
      </c>
      <c r="AI10" s="437"/>
      <c r="AJ10" s="697"/>
      <c r="AK10" s="697">
        <v>0</v>
      </c>
    </row>
    <row r="11" spans="1:37" x14ac:dyDescent="0.3">
      <c r="A11" s="55" t="s">
        <v>778</v>
      </c>
      <c r="B11" s="725" t="s">
        <v>781</v>
      </c>
      <c r="C11" s="850" t="s">
        <v>653</v>
      </c>
      <c r="D11" s="437"/>
      <c r="E11" s="697">
        <f t="shared" si="1"/>
        <v>0</v>
      </c>
      <c r="F11" s="697">
        <f ca="1">IFERROR(1/F$3,1)*SUMIFS(Data!$S$3:$S$305,Data!$O$3:$O$305,F$1,Data!$P$3:$P$305,IF(RIGHT(F$2,3)="YTD","&lt;="&amp;LEFT(F$2,2)*1,F$2),Data!$K$3:$K$305,$B11)</f>
        <v>0</v>
      </c>
      <c r="G11" s="697">
        <f>AK11/12</f>
        <v>58333.333333333336</v>
      </c>
      <c r="H11" s="437"/>
      <c r="I11" s="697">
        <f>IFERROR(1/I$3,1)*SUMIFS(tbl_DCFC[C Montant € HT],tbl_DCFC[OI_Year],I$1,tbl_DCFC[OI_Month],IF(RIGHT(I$2,3)="YTD","&lt;="&amp;LEFT(I$2,2)*1,I$2),tbl_DCFC[BU_Key],$A11)</f>
        <v>0</v>
      </c>
      <c r="J11" s="697">
        <f>IFERROR(1/J$3,1)*SUMIFS(tbl_DCFC[C Montant € HT],tbl_DCFC[OI_Year],J$1,tbl_DCFC[OI_Month],IF(RIGHT(J$2,3)="YTD","&lt;="&amp;LEFT(J$2,2)*1,J$2),tbl_DCFC[BU_Key],$A11)</f>
        <v>6900</v>
      </c>
      <c r="K11" s="697">
        <f>IFERROR(1/K$3,1)*SUMIFS(tbl_DCFC[C Montant € HT],tbl_DCFC[OI_Year],K$1,tbl_DCFC[OI_Month],IF(RIGHT(K$2,3)="YTD","&lt;="&amp;LEFT(K$2,2)*1,K$2),tbl_DCFC[BU_Key],$A11)</f>
        <v>1035.6500000000001</v>
      </c>
      <c r="L11" s="697">
        <f>IFERROR(1/L$3,1)*SUMIFS(tbl_DCFC[C Montant € HT],tbl_DCFC[OI_Year],L$1,tbl_DCFC[OI_Month],IF(RIGHT(L$2,3)="YTD","&lt;="&amp;LEFT(L$2,2)*1,L$2),tbl_DCFC[BU_Key],$A11)</f>
        <v>1200</v>
      </c>
      <c r="M11" s="697">
        <f>IFERROR(1/M$3,1)*SUMIFS(tbl_DCFC[C Montant € HT],tbl_DCFC[OI_Year],M$1,tbl_DCFC[OI_Month],IF(RIGHT(M$2,3)="YTD","&lt;="&amp;LEFT(M$2,2)*1,M$2),tbl_DCFC[BU_Key],$A11)</f>
        <v>0</v>
      </c>
      <c r="N11" s="697">
        <f>IFERROR(1/N$3,1)*SUMIFS(tbl_DCFC[C Montant € HT],tbl_DCFC[OI_Year],N$1,tbl_DCFC[OI_Month],IF(RIGHT(N$2,3)="YTD","&lt;="&amp;LEFT(N$2,2)*1,N$2),tbl_DCFC[BU_Key],$A11)</f>
        <v>1945</v>
      </c>
      <c r="O11" s="697">
        <f>IFERROR(1/O$3,1)*SUMIFS(tbl_DCFC[C Montant € HT],tbl_DCFC[OI_Year],O$1,tbl_DCFC[OI_Month],IF(RIGHT(O$2,3)="YTD","&lt;="&amp;LEFT(O$2,2)*1,O$2),tbl_DCFC[BU_Key],$A11)</f>
        <v>0</v>
      </c>
      <c r="P11" s="697">
        <f>IFERROR(1/P$3,1)*SUMIFS(tbl_DCFC[C Montant € HT],tbl_DCFC[OI_Year],P$1,tbl_DCFC[OI_Month],IF(RIGHT(P$2,3)="YTD","&lt;="&amp;LEFT(P$2,2)*1,P$2),tbl_DCFC[BU_Key],$A11)</f>
        <v>0</v>
      </c>
      <c r="Q11" s="697">
        <f>IFERROR(1/Q$3,1)*SUMIFS(tbl_DCFC[C Montant € HT],tbl_DCFC[OI_Year],Q$1,tbl_DCFC[OI_Month],IF(RIGHT(Q$2,3)="YTD","&lt;="&amp;LEFT(Q$2,2)*1,Q$2),tbl_DCFC[BU_Key],$A11)</f>
        <v>0</v>
      </c>
      <c r="R11" s="697">
        <f>IFERROR(1/R$3,1)*SUMIFS(tbl_DCFC[C Montant € HT],tbl_DCFC[OI_Year],R$1,tbl_DCFC[OI_Month],IF(RIGHT(R$2,3)="YTD","&lt;="&amp;LEFT(R$2,2)*1,R$2),tbl_DCFC[BU_Key],$A11)</f>
        <v>853</v>
      </c>
      <c r="S11" s="697">
        <f>IFERROR(1/S$3,1)*SUMIFS(tbl_DCFC[C Montant € HT],tbl_DCFC[OI_Year],S$1,tbl_DCFC[OI_Month],IF(RIGHT(S$2,3)="YTD","&lt;="&amp;LEFT(S$2,2)*1,S$2),tbl_DCFC[BU_Key],$A11)</f>
        <v>6912</v>
      </c>
      <c r="T11" s="697">
        <f>IFERROR(1/T$3,1)*SUMIFS(tbl_DCFC[C Montant € HT],tbl_DCFC[OI_Year],T$1,tbl_DCFC[OI_Month],IF(RIGHT(T$2,3)="YTD","&lt;="&amp;LEFT(T$2,2)*1,T$2),tbl_DCFC[BU_Key],$A11)</f>
        <v>9337</v>
      </c>
      <c r="U11" s="437"/>
      <c r="V11" s="697">
        <f>G11</f>
        <v>58333.333333333336</v>
      </c>
      <c r="W11" s="697">
        <f>$G11</f>
        <v>58333.333333333336</v>
      </c>
      <c r="X11" s="697">
        <f t="shared" si="2"/>
        <v>58333.333333333336</v>
      </c>
      <c r="Y11" s="697">
        <f t="shared" si="2"/>
        <v>58333.333333333336</v>
      </c>
      <c r="Z11" s="697">
        <f t="shared" si="2"/>
        <v>58333.333333333336</v>
      </c>
      <c r="AA11" s="697">
        <f t="shared" si="2"/>
        <v>58333.333333333336</v>
      </c>
      <c r="AB11" s="697">
        <f t="shared" si="2"/>
        <v>58333.333333333336</v>
      </c>
      <c r="AC11" s="697">
        <f t="shared" si="2"/>
        <v>58333.333333333336</v>
      </c>
      <c r="AD11" s="697">
        <f t="shared" si="2"/>
        <v>58333.333333333336</v>
      </c>
      <c r="AE11" s="697"/>
      <c r="AF11" s="697">
        <f ca="1">IFERROR(1/AF$3,1)*SUMIFS(tbl_DCFC[C Montant € HT],tbl_DCFC[OI_Year],AF$1,tbl_DCFC[OI_Month],IF(RIGHT(AF$2,3)="YTD","&lt;="&amp;LEFT(AF$2,2)*1,AF$2),tbl_DCFC[BU_Key],$A11)</f>
        <v>7935.65</v>
      </c>
      <c r="AG11" s="697">
        <f t="shared" ref="AG11:AG12" ca="1" si="8">AK11/12*LEFT(AG$2,2)*1</f>
        <v>175000</v>
      </c>
      <c r="AH11" s="716">
        <f t="shared" ref="AH11:AH12" ca="1" si="9">AF11-AG11</f>
        <v>-167064.35</v>
      </c>
      <c r="AI11" s="437"/>
      <c r="AJ11" s="697"/>
      <c r="AK11" s="697">
        <v>700000</v>
      </c>
    </row>
    <row r="12" spans="1:37" s="686" customFormat="1" x14ac:dyDescent="0.3">
      <c r="A12" s="686" t="s">
        <v>785</v>
      </c>
      <c r="B12" s="725" t="s">
        <v>786</v>
      </c>
      <c r="C12" s="687"/>
      <c r="D12" s="437"/>
      <c r="E12" s="697">
        <f t="shared" si="1"/>
        <v>0</v>
      </c>
      <c r="F12" s="697">
        <f ca="1">IFERROR(1/F$3,1)*SUMIFS(Data!$S$3:$S$305,Data!$O$3:$O$305,F$1,Data!$P$3:$P$305,IF(RIGHT(F$2,3)="YTD","&lt;="&amp;LEFT(F$2,2)*1,F$2),Data!$K$3:$K$305,$B12)</f>
        <v>0</v>
      </c>
      <c r="G12" s="697">
        <f>AK12/12</f>
        <v>0</v>
      </c>
      <c r="H12" s="437"/>
      <c r="I12" s="697">
        <f>IFERROR(1/I$3,1)*SUMIFS(tbl_DCFC[C Montant € HT],tbl_DCFC[OI_Year],I$1,tbl_DCFC[OI_Month],IF(RIGHT(I$2,3)="YTD","&lt;="&amp;LEFT(I$2,2)*1,I$2),tbl_DCFC[BU_Key],$A12)</f>
        <v>0</v>
      </c>
      <c r="J12" s="697">
        <f>IFERROR(1/J$3,1)*SUMIFS(tbl_DCFC[C Montant € HT],tbl_DCFC[OI_Year],J$1,tbl_DCFC[OI_Month],IF(RIGHT(J$2,3)="YTD","&lt;="&amp;LEFT(J$2,2)*1,J$2),tbl_DCFC[BU_Key],$A12)</f>
        <v>0</v>
      </c>
      <c r="K12" s="697">
        <f>IFERROR(1/K$3,1)*SUMIFS(tbl_DCFC[C Montant € HT],tbl_DCFC[OI_Year],K$1,tbl_DCFC[OI_Month],IF(RIGHT(K$2,3)="YTD","&lt;="&amp;LEFT(K$2,2)*1,K$2),tbl_DCFC[BU_Key],$A12)</f>
        <v>0</v>
      </c>
      <c r="L12" s="697">
        <f>IFERROR(1/L$3,1)*SUMIFS(tbl_DCFC[C Montant € HT],tbl_DCFC[OI_Year],L$1,tbl_DCFC[OI_Month],IF(RIGHT(L$2,3)="YTD","&lt;="&amp;LEFT(L$2,2)*1,L$2),tbl_DCFC[BU_Key],$A12)</f>
        <v>0</v>
      </c>
      <c r="M12" s="697">
        <f>IFERROR(1/M$3,1)*SUMIFS(tbl_DCFC[C Montant € HT],tbl_DCFC[OI_Year],M$1,tbl_DCFC[OI_Month],IF(RIGHT(M$2,3)="YTD","&lt;="&amp;LEFT(M$2,2)*1,M$2),tbl_DCFC[BU_Key],$A12)</f>
        <v>0</v>
      </c>
      <c r="N12" s="697">
        <f>IFERROR(1/N$3,1)*SUMIFS(tbl_DCFC[C Montant € HT],tbl_DCFC[OI_Year],N$1,tbl_DCFC[OI_Month],IF(RIGHT(N$2,3)="YTD","&lt;="&amp;LEFT(N$2,2)*1,N$2),tbl_DCFC[BU_Key],$A12)</f>
        <v>0</v>
      </c>
      <c r="O12" s="697">
        <f>IFERROR(1/O$3,1)*SUMIFS(tbl_DCFC[C Montant € HT],tbl_DCFC[OI_Year],O$1,tbl_DCFC[OI_Month],IF(RIGHT(O$2,3)="YTD","&lt;="&amp;LEFT(O$2,2)*1,O$2),tbl_DCFC[BU_Key],$A12)</f>
        <v>0</v>
      </c>
      <c r="P12" s="697">
        <f>IFERROR(1/P$3,1)*SUMIFS(tbl_DCFC[C Montant € HT],tbl_DCFC[OI_Year],P$1,tbl_DCFC[OI_Month],IF(RIGHT(P$2,3)="YTD","&lt;="&amp;LEFT(P$2,2)*1,P$2),tbl_DCFC[BU_Key],$A12)</f>
        <v>0</v>
      </c>
      <c r="Q12" s="697">
        <f>IFERROR(1/Q$3,1)*SUMIFS(tbl_DCFC[C Montant € HT],tbl_DCFC[OI_Year],Q$1,tbl_DCFC[OI_Month],IF(RIGHT(Q$2,3)="YTD","&lt;="&amp;LEFT(Q$2,2)*1,Q$2),tbl_DCFC[BU_Key],$A12)</f>
        <v>0</v>
      </c>
      <c r="R12" s="697">
        <f>IFERROR(1/R$3,1)*SUMIFS(tbl_DCFC[C Montant € HT],tbl_DCFC[OI_Year],R$1,tbl_DCFC[OI_Month],IF(RIGHT(R$2,3)="YTD","&lt;="&amp;LEFT(R$2,2)*1,R$2),tbl_DCFC[BU_Key],$A12)</f>
        <v>0</v>
      </c>
      <c r="S12" s="697">
        <f>IFERROR(1/S$3,1)*SUMIFS(tbl_DCFC[C Montant € HT],tbl_DCFC[OI_Year],S$1,tbl_DCFC[OI_Month],IF(RIGHT(S$2,3)="YTD","&lt;="&amp;LEFT(S$2,2)*1,S$2),tbl_DCFC[BU_Key],$A12)</f>
        <v>0</v>
      </c>
      <c r="T12" s="697">
        <f>IFERROR(1/T$3,1)*SUMIFS(tbl_DCFC[C Montant € HT],tbl_DCFC[OI_Year],T$1,tbl_DCFC[OI_Month],IF(RIGHT(T$2,3)="YTD","&lt;="&amp;LEFT(T$2,2)*1,T$2),tbl_DCFC[BU_Key],$A12)</f>
        <v>0</v>
      </c>
      <c r="U12" s="437"/>
      <c r="V12" s="697">
        <f t="shared" ref="V12" si="10">G12</f>
        <v>0</v>
      </c>
      <c r="W12" s="697">
        <f t="shared" si="6"/>
        <v>0</v>
      </c>
      <c r="X12" s="697">
        <f t="shared" si="6"/>
        <v>0</v>
      </c>
      <c r="Y12" s="697">
        <f t="shared" si="6"/>
        <v>0</v>
      </c>
      <c r="Z12" s="697">
        <f t="shared" si="6"/>
        <v>0</v>
      </c>
      <c r="AA12" s="697">
        <f t="shared" si="6"/>
        <v>0</v>
      </c>
      <c r="AB12" s="697">
        <f t="shared" si="6"/>
        <v>0</v>
      </c>
      <c r="AC12" s="697">
        <f t="shared" si="6"/>
        <v>0</v>
      </c>
      <c r="AD12" s="697">
        <f t="shared" si="6"/>
        <v>0</v>
      </c>
      <c r="AE12" s="697"/>
      <c r="AF12" s="697">
        <f ca="1">IFERROR(1/AF$3,1)*SUMIFS(tbl_DCFC[C Montant € HT],tbl_DCFC[OI_Year],AF$1,tbl_DCFC[OI_Month],IF(RIGHT(AF$2,3)="YTD","&lt;="&amp;LEFT(AF$2,2)*1,AF$2),tbl_DCFC[BU_Key],$A12)</f>
        <v>0</v>
      </c>
      <c r="AG12" s="697">
        <f t="shared" ca="1" si="8"/>
        <v>0</v>
      </c>
      <c r="AH12" s="716">
        <f t="shared" ca="1" si="9"/>
        <v>0</v>
      </c>
      <c r="AI12" s="437"/>
      <c r="AJ12" s="697"/>
      <c r="AK12" s="711">
        <v>0</v>
      </c>
    </row>
    <row r="13" spans="1:37" s="686" customFormat="1" x14ac:dyDescent="0.3">
      <c r="B13" s="731"/>
      <c r="C13" s="687"/>
      <c r="D13" s="437"/>
      <c r="E13" s="698"/>
      <c r="F13" s="698"/>
      <c r="G13" s="699"/>
      <c r="H13" s="437"/>
      <c r="I13" s="699"/>
      <c r="J13" s="699"/>
      <c r="K13" s="699"/>
      <c r="L13" s="699"/>
      <c r="M13" s="699"/>
      <c r="N13" s="698"/>
      <c r="O13" s="698"/>
      <c r="P13" s="698"/>
      <c r="Q13" s="698"/>
      <c r="R13" s="698"/>
      <c r="S13" s="698"/>
      <c r="T13" s="698"/>
      <c r="U13" s="437"/>
      <c r="V13" s="700"/>
      <c r="W13" s="698"/>
      <c r="X13" s="698"/>
      <c r="Y13" s="698"/>
      <c r="Z13" s="698"/>
      <c r="AA13" s="698"/>
      <c r="AB13" s="698"/>
      <c r="AC13" s="698"/>
      <c r="AD13" s="688"/>
      <c r="AE13" s="688"/>
      <c r="AF13" s="689"/>
      <c r="AG13" s="690"/>
      <c r="AI13" s="437"/>
      <c r="AJ13" s="689"/>
      <c r="AK13" s="691"/>
    </row>
    <row r="14" spans="1:37" s="686" customFormat="1" hidden="1" outlineLevel="1" x14ac:dyDescent="0.3">
      <c r="B14" s="854" t="s">
        <v>784</v>
      </c>
      <c r="C14" s="687"/>
      <c r="D14" s="437"/>
      <c r="E14" s="698"/>
      <c r="F14" s="698"/>
      <c r="G14" s="699"/>
      <c r="H14" s="437"/>
      <c r="I14" s="699"/>
      <c r="J14" s="699"/>
      <c r="K14" s="699"/>
      <c r="L14" s="699"/>
      <c r="M14" s="699"/>
      <c r="N14" s="698"/>
      <c r="O14" s="698"/>
      <c r="P14" s="698"/>
      <c r="Q14" s="698"/>
      <c r="R14" s="698"/>
      <c r="S14" s="698"/>
      <c r="T14" s="698"/>
      <c r="U14" s="437"/>
      <c r="V14" s="700"/>
      <c r="W14" s="698"/>
      <c r="X14" s="698"/>
      <c r="Y14" s="698"/>
      <c r="Z14" s="698"/>
      <c r="AA14" s="698"/>
      <c r="AB14" s="698"/>
      <c r="AC14" s="698"/>
      <c r="AD14" s="688"/>
      <c r="AE14" s="688"/>
      <c r="AF14" s="689"/>
      <c r="AG14" s="690"/>
      <c r="AI14" s="437"/>
      <c r="AJ14" s="689"/>
      <c r="AK14" s="691"/>
    </row>
    <row r="15" spans="1:37" hidden="1" outlineLevel="1" x14ac:dyDescent="0.3">
      <c r="A15" s="55" t="s">
        <v>585</v>
      </c>
      <c r="B15" s="725" t="s">
        <v>580</v>
      </c>
      <c r="C15" s="850" t="s">
        <v>653</v>
      </c>
      <c r="D15" s="437"/>
      <c r="E15" s="697">
        <f t="shared" ref="E15:E24" si="11">$AJ15/E$3</f>
        <v>422.91666666666669</v>
      </c>
      <c r="F15" s="697">
        <f ca="1">IFERROR(1/F$3,1)*SUMIFS(Data!$S$3:$S$305,Data!$O$3:$O$305,F$1,Data!$P$3:$P$305,IF(RIGHT(F$2,3)="YTD","&lt;="&amp;LEFT(F$2,2)*1,F$2),Data!$K$3:$K$305,$B15)</f>
        <v>0</v>
      </c>
      <c r="G15" s="697">
        <f>AK15/12</f>
        <v>30833.333333333332</v>
      </c>
      <c r="H15" s="437"/>
      <c r="I15" s="697">
        <f>IFERROR(1/I$3,1)*SUMIFS(Data!$S$3:$S$305,Data!$O$3:$O$305,I$1,Data!$P$3:$P$305,IF(RIGHT(I$2,3)="YTD","&lt;="&amp;LEFT(I$2,2)*1,I$2),Data!$K$3:$K$305,$B15)</f>
        <v>0</v>
      </c>
      <c r="J15" s="697">
        <f>IFERROR(1/J$3,1)*SUMIFS(Data!$S$3:$S$305,Data!$O$3:$O$305,J$1,Data!$P$3:$P$305,IF(RIGHT(J$2,3)="YTD","&lt;="&amp;LEFT(J$2,2)*1,J$2),Data!$K$3:$K$305,$B15)</f>
        <v>0</v>
      </c>
      <c r="K15" s="697">
        <f>IFERROR(1/K$3,1)*SUMIFS(Data!$S$3:$S$305,Data!$O$3:$O$305,K$1,Data!$P$3:$P$305,IF(RIGHT(K$2,3)="YTD","&lt;="&amp;LEFT(K$2,2)*1,K$2),Data!$K$3:$K$305,$B15)</f>
        <v>0</v>
      </c>
      <c r="L15" s="697">
        <f>IFERROR(1/L$3,1)*SUMIFS(Data!$S$3:$S$305,Data!$O$3:$O$305,L$1,Data!$P$3:$P$305,IF(RIGHT(L$2,3)="YTD","&lt;="&amp;LEFT(L$2,2)*1,L$2),Data!$K$3:$K$305,$B15)</f>
        <v>0</v>
      </c>
      <c r="M15" s="697">
        <f>IFERROR(1/M$3,1)*SUMIFS(Data!$S$3:$S$305,Data!$O$3:$O$305,M$1,Data!$P$3:$P$305,IF(RIGHT(M$2,3)="YTD","&lt;="&amp;LEFT(M$2,2)*1,M$2),Data!$K$3:$K$305,$B15)</f>
        <v>0</v>
      </c>
      <c r="N15" s="697">
        <f>SUMIFS(Data!$S$3:$S$305,Data!$O$3:$O$305,N$1,Data!$P$3:$P$305,N$2,Data!$K$3:$K$305,$B15)</f>
        <v>0</v>
      </c>
      <c r="O15" s="697">
        <f>SUMIFS(Data!$S$3:$S$305,Data!$O$3:$O$305,O$1,Data!$P$3:$P$305,O$2,Data!$K$3:$K$305,$B15)</f>
        <v>0</v>
      </c>
      <c r="P15" s="697">
        <f>SUMIFS(Data!$S$3:$S$305,Data!$O$3:$O$305,P$1,Data!$P$3:$P$305,P$2,Data!$K$3:$K$305,$B15)</f>
        <v>0</v>
      </c>
      <c r="Q15" s="697">
        <f>SUMIFS(Data!$S$3:$S$305,Data!$O$3:$O$305,Q$1,Data!$P$3:$P$305,Q$2,Data!$K$3:$K$305,$B15)</f>
        <v>0</v>
      </c>
      <c r="R15" s="697">
        <f>SUMIFS(Data!$S$3:$S$305,Data!$O$3:$O$305,R$1,Data!$P$3:$P$305,R$2,Data!$K$3:$K$305,$B15)</f>
        <v>0</v>
      </c>
      <c r="S15" s="710">
        <f>SUMIFS(Data!$S$3:$S$305,Data!$O$3:$O$305,S$1,Data!$P$3:$P$305,S$2,Data!$K$3:$K$305,$B15)</f>
        <v>0</v>
      </c>
      <c r="T15" s="710">
        <f>SUMIFS(Data!$S$3:$S$305,Data!$O$3:$O$305,T$1,Data!$P$3:$P$305,T$2,Data!$K$3:$K$305,$B15)</f>
        <v>0</v>
      </c>
      <c r="U15" s="437"/>
      <c r="V15" s="697">
        <f>G15</f>
        <v>30833.333333333332</v>
      </c>
      <c r="W15" s="697">
        <f>$G15</f>
        <v>30833.333333333332</v>
      </c>
      <c r="X15" s="697">
        <f t="shared" ref="X15:AD15" si="12">$G15</f>
        <v>30833.333333333332</v>
      </c>
      <c r="Y15" s="697">
        <f t="shared" si="12"/>
        <v>30833.333333333332</v>
      </c>
      <c r="Z15" s="697">
        <f t="shared" si="12"/>
        <v>30833.333333333332</v>
      </c>
      <c r="AA15" s="697">
        <f t="shared" si="12"/>
        <v>30833.333333333332</v>
      </c>
      <c r="AB15" s="697">
        <f t="shared" si="12"/>
        <v>30833.333333333332</v>
      </c>
      <c r="AC15" s="697">
        <f t="shared" si="12"/>
        <v>30833.333333333332</v>
      </c>
      <c r="AD15" s="697">
        <f t="shared" si="12"/>
        <v>30833.333333333332</v>
      </c>
      <c r="AE15" s="697"/>
      <c r="AF15" s="697">
        <f ca="1">IFERROR(1/AF$3,1)*SUMIFS(Data!$S$3:$S$305,Data!$O$3:$O$305,AF$1,Data!$P$3:$P$305,IF(RIGHT(AF$2,3)="YTD","&lt;="&amp;LEFT(AF$2,2)*1,AF$2),Data!$K$3:$K$305,$B15)</f>
        <v>0</v>
      </c>
      <c r="AG15" s="697">
        <f t="shared" ref="AG15:AG24" ca="1" si="13">AK15/12*LEFT(AG$2,2)*1</f>
        <v>92500</v>
      </c>
      <c r="AH15" s="716">
        <f t="shared" ref="AH15:AH24" ca="1" si="14">AF15-AG15</f>
        <v>-92500</v>
      </c>
      <c r="AI15" s="437"/>
      <c r="AJ15" s="697">
        <v>5075</v>
      </c>
      <c r="AK15" s="697">
        <v>370000</v>
      </c>
    </row>
    <row r="16" spans="1:37" hidden="1" outlineLevel="1" x14ac:dyDescent="0.3">
      <c r="A16" s="437" t="s">
        <v>586</v>
      </c>
      <c r="B16" s="725" t="s">
        <v>582</v>
      </c>
      <c r="C16" s="850" t="s">
        <v>653</v>
      </c>
      <c r="D16" s="437"/>
      <c r="E16" s="697">
        <f t="shared" si="11"/>
        <v>957.5</v>
      </c>
      <c r="F16" s="697">
        <f ca="1">IFERROR(1/F$3,1)*SUMIFS(Data!$S$3:$S$305,Data!$O$3:$O$305,F$1,Data!$P$3:$P$305,IF(RIGHT(F$2,3)="YTD","&lt;="&amp;LEFT(F$2,2)*1,F$2),Data!$K$3:$K$305,$B16)</f>
        <v>0</v>
      </c>
      <c r="G16" s="697">
        <f>AK16/12</f>
        <v>0</v>
      </c>
      <c r="H16" s="437"/>
      <c r="I16" s="697">
        <f>IFERROR(1/I$3,1)*SUMIFS(Data!$S$3:$S$305,Data!$O$3:$O$305,I$1,Data!$P$3:$P$305,IF(RIGHT(I$2,3)="YTD","&lt;="&amp;LEFT(I$2,2)*1,I$2),Data!$K$3:$K$305,$B16)</f>
        <v>0</v>
      </c>
      <c r="J16" s="697">
        <f>IFERROR(1/J$3,1)*SUMIFS(Data!$S$3:$S$305,Data!$O$3:$O$305,J$1,Data!$P$3:$P$305,IF(RIGHT(J$2,3)="YTD","&lt;="&amp;LEFT(J$2,2)*1,J$2),Data!$K$3:$K$305,$B16)</f>
        <v>0</v>
      </c>
      <c r="K16" s="697">
        <f>IFERROR(1/K$3,1)*SUMIFS(Data!$S$3:$S$305,Data!$O$3:$O$305,K$1,Data!$P$3:$P$305,IF(RIGHT(K$2,3)="YTD","&lt;="&amp;LEFT(K$2,2)*1,K$2),Data!$K$3:$K$305,$B16)</f>
        <v>0</v>
      </c>
      <c r="L16" s="697">
        <f>IFERROR(1/L$3,1)*SUMIFS(Data!$S$3:$S$305,Data!$O$3:$O$305,L$1,Data!$P$3:$P$305,IF(RIGHT(L$2,3)="YTD","&lt;="&amp;LEFT(L$2,2)*1,L$2),Data!$K$3:$K$305,$B16)</f>
        <v>0</v>
      </c>
      <c r="M16" s="697">
        <f>IFERROR(1/M$3,1)*SUMIFS(Data!$S$3:$S$305,Data!$O$3:$O$305,M$1,Data!$P$3:$P$305,IF(RIGHT(M$2,3)="YTD","&lt;="&amp;LEFT(M$2,2)*1,M$2),Data!$K$3:$K$305,$B16)</f>
        <v>0</v>
      </c>
      <c r="N16" s="697">
        <f>SUMIFS(Data!$S$3:$S$305,Data!$O$3:$O$305,N$1,Data!$P$3:$P$305,N$2,Data!$K$3:$K$305,$B16)</f>
        <v>0</v>
      </c>
      <c r="O16" s="697">
        <f>SUMIFS(Data!$S$3:$S$305,Data!$O$3:$O$305,O$1,Data!$P$3:$P$305,O$2,Data!$K$3:$K$305,$B16)</f>
        <v>0</v>
      </c>
      <c r="P16" s="697">
        <f>SUMIFS(Data!$S$3:$S$305,Data!$O$3:$O$305,P$1,Data!$P$3:$P$305,P$2,Data!$K$3:$K$305,$B16)</f>
        <v>0</v>
      </c>
      <c r="Q16" s="697">
        <f>SUMIFS(Data!$S$3:$S$305,Data!$O$3:$O$305,Q$1,Data!$P$3:$P$305,Q$2,Data!$K$3:$K$305,$B16)</f>
        <v>0</v>
      </c>
      <c r="R16" s="697">
        <f>SUMIFS(Data!$S$3:$S$305,Data!$O$3:$O$305,R$1,Data!$P$3:$P$305,R$2,Data!$K$3:$K$305,$B16)</f>
        <v>0</v>
      </c>
      <c r="S16" s="710">
        <f>SUMIFS(Data!$S$3:$S$305,Data!$O$3:$O$305,S$1,Data!$P$3:$P$305,S$2,Data!$K$3:$K$305,$B16)</f>
        <v>0</v>
      </c>
      <c r="T16" s="710">
        <f>SUMIFS(Data!$S$3:$S$305,Data!$O$3:$O$305,T$1,Data!$P$3:$P$305,T$2,Data!$K$3:$K$305,$B16)</f>
        <v>0</v>
      </c>
      <c r="U16" s="437"/>
      <c r="V16" s="697">
        <f>G16</f>
        <v>0</v>
      </c>
      <c r="W16" s="697">
        <f t="shared" ref="W16:AD25" si="15">$G16</f>
        <v>0</v>
      </c>
      <c r="X16" s="697">
        <f t="shared" si="15"/>
        <v>0</v>
      </c>
      <c r="Y16" s="697">
        <f t="shared" si="15"/>
        <v>0</v>
      </c>
      <c r="Z16" s="697">
        <f t="shared" si="15"/>
        <v>0</v>
      </c>
      <c r="AA16" s="697">
        <f t="shared" si="15"/>
        <v>0</v>
      </c>
      <c r="AB16" s="697">
        <f t="shared" si="15"/>
        <v>0</v>
      </c>
      <c r="AC16" s="697">
        <f t="shared" si="15"/>
        <v>0</v>
      </c>
      <c r="AD16" s="697">
        <f t="shared" si="15"/>
        <v>0</v>
      </c>
      <c r="AE16" s="697"/>
      <c r="AF16" s="697">
        <f ca="1">IFERROR(1/AF$3,1)*SUMIFS(Data!$S$3:$S$305,Data!$O$3:$O$305,AF$1,Data!$P$3:$P$305,IF(RIGHT(AF$2,3)="YTD","&lt;="&amp;LEFT(AF$2,2)*1,AF$2),Data!$K$3:$K$305,$B16)</f>
        <v>0</v>
      </c>
      <c r="AG16" s="697">
        <f t="shared" ca="1" si="13"/>
        <v>0</v>
      </c>
      <c r="AH16" s="716">
        <f t="shared" ca="1" si="14"/>
        <v>0</v>
      </c>
      <c r="AI16" s="437"/>
      <c r="AJ16" s="697">
        <v>11490</v>
      </c>
      <c r="AK16" s="697">
        <v>0</v>
      </c>
    </row>
    <row r="17" spans="1:37" hidden="1" outlineLevel="1" x14ac:dyDescent="0.3">
      <c r="B17" s="725" t="s">
        <v>579</v>
      </c>
      <c r="C17" s="850" t="s">
        <v>653</v>
      </c>
      <c r="D17" s="437"/>
      <c r="E17" s="697">
        <f t="shared" si="11"/>
        <v>44543.333333333336</v>
      </c>
      <c r="F17" s="697">
        <f ca="1">IFERROR(1/F$3,1)*SUMIFS(Data!$S$3:$S$305,Data!$O$3:$O$305,F$1,Data!$P$3:$P$305,IF(RIGHT(F$2,3)="YTD","&lt;="&amp;LEFT(F$2,2)*1,F$2),Data!$K$3:$K$305,$B17)</f>
        <v>0</v>
      </c>
      <c r="G17" s="697">
        <f t="shared" ref="G17:G21" si="16">AK17/12</f>
        <v>0</v>
      </c>
      <c r="H17" s="437"/>
      <c r="I17" s="697">
        <f>IFERROR(1/I$3,1)*SUMIFS(Data!$S$3:$S$305,Data!$O$3:$O$305,I$1,Data!$P$3:$P$305,IF(RIGHT(I$2,3)="YTD","&lt;="&amp;LEFT(I$2,2)*1,I$2),Data!$K$3:$K$305,$B17)</f>
        <v>0</v>
      </c>
      <c r="J17" s="697">
        <f>IFERROR(1/J$3,1)*SUMIFS(Data!$S$3:$S$305,Data!$O$3:$O$305,J$1,Data!$P$3:$P$305,IF(RIGHT(J$2,3)="YTD","&lt;="&amp;LEFT(J$2,2)*1,J$2),Data!$K$3:$K$305,$B17)</f>
        <v>0</v>
      </c>
      <c r="K17" s="697">
        <f>IFERROR(1/K$3,1)*SUMIFS(Data!$S$3:$S$305,Data!$O$3:$O$305,K$1,Data!$P$3:$P$305,IF(RIGHT(K$2,3)="YTD","&lt;="&amp;LEFT(K$2,2)*1,K$2),Data!$K$3:$K$305,$B17)</f>
        <v>0</v>
      </c>
      <c r="L17" s="697">
        <f>IFERROR(1/L$3,1)*SUMIFS(Data!$S$3:$S$305,Data!$O$3:$O$305,L$1,Data!$P$3:$P$305,IF(RIGHT(L$2,3)="YTD","&lt;="&amp;LEFT(L$2,2)*1,L$2),Data!$K$3:$K$305,$B17)</f>
        <v>0</v>
      </c>
      <c r="M17" s="697">
        <f>IFERROR(1/M$3,1)*SUMIFS(Data!$S$3:$S$305,Data!$O$3:$O$305,M$1,Data!$P$3:$P$305,IF(RIGHT(M$2,3)="YTD","&lt;="&amp;LEFT(M$2,2)*1,M$2),Data!$K$3:$K$305,$B17)</f>
        <v>0</v>
      </c>
      <c r="N17" s="697">
        <f>SUMIFS(Data!$S$3:$S$305,Data!$O$3:$O$305,N$1,Data!$P$3:$P$305,N$2,Data!$K$3:$K$305,$B17)</f>
        <v>0</v>
      </c>
      <c r="O17" s="697">
        <f>SUMIFS(Data!$S$3:$S$305,Data!$O$3:$O$305,O$1,Data!$P$3:$P$305,O$2,Data!$K$3:$K$305,$B17)</f>
        <v>0</v>
      </c>
      <c r="P17" s="697">
        <f>SUMIFS(Data!$S$3:$S$305,Data!$O$3:$O$305,P$1,Data!$P$3:$P$305,P$2,Data!$K$3:$K$305,$B17)</f>
        <v>0</v>
      </c>
      <c r="Q17" s="697">
        <f>SUMIFS(Data!$S$3:$S$305,Data!$O$3:$O$305,Q$1,Data!$P$3:$P$305,Q$2,Data!$K$3:$K$305,$B17)</f>
        <v>0</v>
      </c>
      <c r="R17" s="697">
        <f>SUMIFS(Data!$S$3:$S$305,Data!$O$3:$O$305,R$1,Data!$P$3:$P$305,R$2,Data!$K$3:$K$305,$B17)</f>
        <v>0</v>
      </c>
      <c r="S17" s="710">
        <f>SUMIFS(Data!$S$3:$S$305,Data!$O$3:$O$305,S$1,Data!$P$3:$P$305,S$2,Data!$K$3:$K$305,$B17)</f>
        <v>0</v>
      </c>
      <c r="T17" s="710">
        <f>SUMIFS(Data!$S$3:$S$305,Data!$O$3:$O$305,T$1,Data!$P$3:$P$305,T$2,Data!$K$3:$K$305,$B17)</f>
        <v>2750</v>
      </c>
      <c r="U17" s="437"/>
      <c r="V17" s="697">
        <f>G17</f>
        <v>0</v>
      </c>
      <c r="W17" s="697">
        <f t="shared" si="15"/>
        <v>0</v>
      </c>
      <c r="X17" s="697">
        <f t="shared" si="15"/>
        <v>0</v>
      </c>
      <c r="Y17" s="697">
        <f t="shared" si="15"/>
        <v>0</v>
      </c>
      <c r="Z17" s="697">
        <f t="shared" si="15"/>
        <v>0</v>
      </c>
      <c r="AA17" s="697">
        <f t="shared" si="15"/>
        <v>0</v>
      </c>
      <c r="AB17" s="697">
        <f t="shared" si="15"/>
        <v>0</v>
      </c>
      <c r="AC17" s="697">
        <f t="shared" si="15"/>
        <v>0</v>
      </c>
      <c r="AD17" s="697">
        <f t="shared" si="15"/>
        <v>0</v>
      </c>
      <c r="AE17" s="697"/>
      <c r="AF17" s="697">
        <f ca="1">IFERROR(1/AF$3,1)*SUMIFS(Data!$S$3:$S$305,Data!$O$3:$O$305,AF$1,Data!$P$3:$P$305,IF(RIGHT(AF$2,3)="YTD","&lt;="&amp;LEFT(AF$2,2)*1,AF$2),Data!$K$3:$K$305,$B17)</f>
        <v>0</v>
      </c>
      <c r="AG17" s="697">
        <f t="shared" ca="1" si="13"/>
        <v>0</v>
      </c>
      <c r="AH17" s="716">
        <f t="shared" ca="1" si="14"/>
        <v>0</v>
      </c>
      <c r="AI17" s="437"/>
      <c r="AJ17" s="697">
        <v>534520</v>
      </c>
      <c r="AK17" s="697">
        <v>0</v>
      </c>
    </row>
    <row r="18" spans="1:37" hidden="1" outlineLevel="1" x14ac:dyDescent="0.3">
      <c r="A18" s="437" t="s">
        <v>587</v>
      </c>
      <c r="B18" s="725" t="s">
        <v>581</v>
      </c>
      <c r="C18" s="850" t="s">
        <v>653</v>
      </c>
      <c r="D18" s="437"/>
      <c r="E18" s="697">
        <f t="shared" si="11"/>
        <v>1117.5</v>
      </c>
      <c r="F18" s="697">
        <f ca="1">IFERROR(1/F$3,1)*SUMIFS(Data!$S$3:$S$305,Data!$O$3:$O$305,F$1,Data!$P$3:$P$305,IF(RIGHT(F$2,3)="YTD","&lt;="&amp;LEFT(F$2,2)*1,F$2),Data!$K$3:$K$305,$B18)</f>
        <v>0</v>
      </c>
      <c r="G18" s="697">
        <f t="shared" si="16"/>
        <v>0</v>
      </c>
      <c r="H18" s="437"/>
      <c r="I18" s="697">
        <f>IFERROR(1/I$3,1)*SUMIFS(Data!$S$3:$S$305,Data!$O$3:$O$305,I$1,Data!$P$3:$P$305,IF(RIGHT(I$2,3)="YTD","&lt;="&amp;LEFT(I$2,2)*1,I$2),Data!$K$3:$K$305,$B18)</f>
        <v>0</v>
      </c>
      <c r="J18" s="697">
        <f>IFERROR(1/J$3,1)*SUMIFS(Data!$S$3:$S$305,Data!$O$3:$O$305,J$1,Data!$P$3:$P$305,IF(RIGHT(J$2,3)="YTD","&lt;="&amp;LEFT(J$2,2)*1,J$2),Data!$K$3:$K$305,$B18)</f>
        <v>0</v>
      </c>
      <c r="K18" s="697">
        <f>IFERROR(1/K$3,1)*SUMIFS(Data!$S$3:$S$305,Data!$O$3:$O$305,K$1,Data!$P$3:$P$305,IF(RIGHT(K$2,3)="YTD","&lt;="&amp;LEFT(K$2,2)*1,K$2),Data!$K$3:$K$305,$B18)</f>
        <v>0</v>
      </c>
      <c r="L18" s="697">
        <f>IFERROR(1/L$3,1)*SUMIFS(Data!$S$3:$S$305,Data!$O$3:$O$305,L$1,Data!$P$3:$P$305,IF(RIGHT(L$2,3)="YTD","&lt;="&amp;LEFT(L$2,2)*1,L$2),Data!$K$3:$K$305,$B18)</f>
        <v>0</v>
      </c>
      <c r="M18" s="697">
        <f>IFERROR(1/M$3,1)*SUMIFS(Data!$S$3:$S$305,Data!$O$3:$O$305,M$1,Data!$P$3:$P$305,IF(RIGHT(M$2,3)="YTD","&lt;="&amp;LEFT(M$2,2)*1,M$2),Data!$K$3:$K$305,$B18)</f>
        <v>0</v>
      </c>
      <c r="N18" s="697">
        <f>SUMIFS(Data!$S$3:$S$305,Data!$O$3:$O$305,N$1,Data!$P$3:$P$305,N$2,Data!$K$3:$K$305,$B18)</f>
        <v>0</v>
      </c>
      <c r="O18" s="697">
        <f>SUMIFS(Data!$S$3:$S$305,Data!$O$3:$O$305,O$1,Data!$P$3:$P$305,O$2,Data!$K$3:$K$305,$B18)</f>
        <v>0</v>
      </c>
      <c r="P18" s="697">
        <f>SUMIFS(Data!$S$3:$S$305,Data!$O$3:$O$305,P$1,Data!$P$3:$P$305,P$2,Data!$K$3:$K$305,$B18)</f>
        <v>0</v>
      </c>
      <c r="Q18" s="697">
        <f>SUMIFS(Data!$S$3:$S$305,Data!$O$3:$O$305,Q$1,Data!$P$3:$P$305,Q$2,Data!$K$3:$K$305,$B18)</f>
        <v>0</v>
      </c>
      <c r="R18" s="697">
        <f>SUMIFS(Data!$S$3:$S$305,Data!$O$3:$O$305,R$1,Data!$P$3:$P$305,R$2,Data!$K$3:$K$305,$B18)</f>
        <v>0</v>
      </c>
      <c r="S18" s="710">
        <f>SUMIFS(Data!$S$3:$S$305,Data!$O$3:$O$305,S$1,Data!$P$3:$P$305,S$2,Data!$K$3:$K$305,$B18)</f>
        <v>0</v>
      </c>
      <c r="T18" s="710">
        <f>SUMIFS(Data!$S$3:$S$305,Data!$O$3:$O$305,T$1,Data!$P$3:$P$305,T$2,Data!$K$3:$K$305,$B18)</f>
        <v>0</v>
      </c>
      <c r="U18" s="437"/>
      <c r="V18" s="697">
        <f>G18</f>
        <v>0</v>
      </c>
      <c r="W18" s="697">
        <f t="shared" si="15"/>
        <v>0</v>
      </c>
      <c r="X18" s="697">
        <f t="shared" si="15"/>
        <v>0</v>
      </c>
      <c r="Y18" s="697">
        <f t="shared" si="15"/>
        <v>0</v>
      </c>
      <c r="Z18" s="697">
        <f t="shared" si="15"/>
        <v>0</v>
      </c>
      <c r="AA18" s="697">
        <f t="shared" si="15"/>
        <v>0</v>
      </c>
      <c r="AB18" s="697">
        <f t="shared" si="15"/>
        <v>0</v>
      </c>
      <c r="AC18" s="697">
        <f t="shared" si="15"/>
        <v>0</v>
      </c>
      <c r="AD18" s="697">
        <f t="shared" si="15"/>
        <v>0</v>
      </c>
      <c r="AE18" s="697"/>
      <c r="AF18" s="697">
        <f ca="1">IFERROR(1/AF$3,1)*SUMIFS(Data!$S$3:$S$305,Data!$O$3:$O$305,AF$1,Data!$P$3:$P$305,IF(RIGHT(AF$2,3)="YTD","&lt;="&amp;LEFT(AF$2,2)*1,AF$2),Data!$K$3:$K$305,$B18)</f>
        <v>0</v>
      </c>
      <c r="AG18" s="697">
        <f t="shared" ca="1" si="13"/>
        <v>0</v>
      </c>
      <c r="AH18" s="716">
        <f t="shared" ca="1" si="14"/>
        <v>0</v>
      </c>
      <c r="AI18" s="437"/>
      <c r="AJ18" s="697">
        <v>13410</v>
      </c>
      <c r="AK18" s="697">
        <v>0</v>
      </c>
    </row>
    <row r="19" spans="1:37" hidden="1" outlineLevel="1" x14ac:dyDescent="0.3">
      <c r="A19" s="437" t="s">
        <v>588</v>
      </c>
      <c r="B19" s="725" t="s">
        <v>518</v>
      </c>
      <c r="C19" s="850" t="s">
        <v>653</v>
      </c>
      <c r="D19" s="437"/>
      <c r="E19" s="697">
        <f t="shared" si="11"/>
        <v>8626.25</v>
      </c>
      <c r="F19" s="697">
        <f ca="1">IFERROR(1/F$3,1)*SUMIFS(Data!$S$3:$S$305,Data!$O$3:$O$305,F$1,Data!$P$3:$P$305,IF(RIGHT(F$2,3)="YTD","&lt;="&amp;LEFT(F$2,2)*1,F$2),Data!$K$3:$K$305,$B19)</f>
        <v>0</v>
      </c>
      <c r="G19" s="697">
        <f t="shared" si="16"/>
        <v>0</v>
      </c>
      <c r="H19" s="437"/>
      <c r="I19" s="697">
        <f>IFERROR(1/I$3,1)*SUMIFS(Data!$S$3:$S$305,Data!$O$3:$O$305,I$1,Data!$P$3:$P$305,IF(RIGHT(I$2,3)="YTD","&lt;="&amp;LEFT(I$2,2)*1,I$2),Data!$K$3:$K$305,$B19)</f>
        <v>0</v>
      </c>
      <c r="J19" s="697">
        <f>IFERROR(1/J$3,1)*SUMIFS(Data!$S$3:$S$305,Data!$O$3:$O$305,J$1,Data!$P$3:$P$305,IF(RIGHT(J$2,3)="YTD","&lt;="&amp;LEFT(J$2,2)*1,J$2),Data!$K$3:$K$305,$B19)</f>
        <v>0</v>
      </c>
      <c r="K19" s="697">
        <f>IFERROR(1/K$3,1)*SUMIFS(Data!$S$3:$S$305,Data!$O$3:$O$305,K$1,Data!$P$3:$P$305,IF(RIGHT(K$2,3)="YTD","&lt;="&amp;LEFT(K$2,2)*1,K$2),Data!$K$3:$K$305,$B19)</f>
        <v>0</v>
      </c>
      <c r="L19" s="697">
        <f>IFERROR(1/L$3,1)*SUMIFS(Data!$S$3:$S$305,Data!$O$3:$O$305,L$1,Data!$P$3:$P$305,IF(RIGHT(L$2,3)="YTD","&lt;="&amp;LEFT(L$2,2)*1,L$2),Data!$K$3:$K$305,$B19)</f>
        <v>0</v>
      </c>
      <c r="M19" s="697">
        <f>IFERROR(1/M$3,1)*SUMIFS(Data!$S$3:$S$305,Data!$O$3:$O$305,M$1,Data!$P$3:$P$305,IF(RIGHT(M$2,3)="YTD","&lt;="&amp;LEFT(M$2,2)*1,M$2),Data!$K$3:$K$305,$B19)</f>
        <v>0</v>
      </c>
      <c r="N19" s="697">
        <f>SUMIFS(Data!$S$3:$S$305,Data!$O$3:$O$305,N$1,Data!$P$3:$P$305,N$2,Data!$K$3:$K$305,$B19)</f>
        <v>0</v>
      </c>
      <c r="O19" s="697">
        <f>SUMIFS(Data!$S$3:$S$305,Data!$O$3:$O$305,O$1,Data!$P$3:$P$305,O$2,Data!$K$3:$K$305,$B19)</f>
        <v>0</v>
      </c>
      <c r="P19" s="697">
        <f>SUMIFS(Data!$S$3:$S$305,Data!$O$3:$O$305,P$1,Data!$P$3:$P$305,P$2,Data!$K$3:$K$305,$B19)</f>
        <v>0</v>
      </c>
      <c r="Q19" s="697">
        <f>SUMIFS(Data!$S$3:$S$305,Data!$O$3:$O$305,Q$1,Data!$P$3:$P$305,Q$2,Data!$K$3:$K$305,$B19)</f>
        <v>0</v>
      </c>
      <c r="R19" s="697">
        <f>SUMIFS(Data!$S$3:$S$305,Data!$O$3:$O$305,R$1,Data!$P$3:$P$305,R$2,Data!$K$3:$K$305,$B19)</f>
        <v>0</v>
      </c>
      <c r="S19" s="710">
        <f>SUMIFS(Data!$S$3:$S$305,Data!$O$3:$O$305,S$1,Data!$P$3:$P$305,S$2,Data!$K$3:$K$305,$B19)</f>
        <v>0</v>
      </c>
      <c r="T19" s="710">
        <f>SUMIFS(Data!$S$3:$S$305,Data!$O$3:$O$305,T$1,Data!$P$3:$P$305,T$2,Data!$K$3:$K$305,$B19)</f>
        <v>0</v>
      </c>
      <c r="U19" s="437"/>
      <c r="V19" s="697">
        <f t="shared" ref="V19:V21" si="17">G19</f>
        <v>0</v>
      </c>
      <c r="W19" s="697">
        <f t="shared" si="15"/>
        <v>0</v>
      </c>
      <c r="X19" s="697">
        <f t="shared" si="15"/>
        <v>0</v>
      </c>
      <c r="Y19" s="697">
        <f t="shared" si="15"/>
        <v>0</v>
      </c>
      <c r="Z19" s="697">
        <f t="shared" si="15"/>
        <v>0</v>
      </c>
      <c r="AA19" s="697">
        <f t="shared" si="15"/>
        <v>0</v>
      </c>
      <c r="AB19" s="697">
        <f t="shared" si="15"/>
        <v>0</v>
      </c>
      <c r="AC19" s="697">
        <f t="shared" si="15"/>
        <v>0</v>
      </c>
      <c r="AD19" s="697">
        <f t="shared" si="15"/>
        <v>0</v>
      </c>
      <c r="AE19" s="697"/>
      <c r="AF19" s="697">
        <f ca="1">IFERROR(1/AF$3,1)*SUMIFS(Data!$S$3:$S$305,Data!$O$3:$O$305,AF$1,Data!$P$3:$P$305,IF(RIGHT(AF$2,3)="YTD","&lt;="&amp;LEFT(AF$2,2)*1,AF$2),Data!$K$3:$K$305,$B19)</f>
        <v>0</v>
      </c>
      <c r="AG19" s="697">
        <f t="shared" ca="1" si="13"/>
        <v>0</v>
      </c>
      <c r="AH19" s="716">
        <f t="shared" ca="1" si="14"/>
        <v>0</v>
      </c>
      <c r="AI19" s="437"/>
      <c r="AJ19" s="697">
        <v>103515</v>
      </c>
      <c r="AK19" s="711">
        <v>0</v>
      </c>
    </row>
    <row r="20" spans="1:37" hidden="1" outlineLevel="1" x14ac:dyDescent="0.3">
      <c r="A20" s="55" t="s">
        <v>594</v>
      </c>
      <c r="B20" s="725" t="s">
        <v>569</v>
      </c>
      <c r="C20" s="850" t="s">
        <v>653</v>
      </c>
      <c r="D20" s="437"/>
      <c r="E20" s="697">
        <f t="shared" si="11"/>
        <v>9451.5833333333339</v>
      </c>
      <c r="F20" s="697">
        <f ca="1">IFERROR(1/F$3,1)*SUMIFS(Data!$S$3:$S$305,Data!$O$3:$O$305,F$1,Data!$P$3:$P$305,IF(RIGHT(F$2,3)="YTD","&lt;="&amp;LEFT(F$2,2)*1,F$2),Data!$K$3:$K$305,$B20)</f>
        <v>0</v>
      </c>
      <c r="G20" s="697">
        <f t="shared" si="16"/>
        <v>20833.333333333332</v>
      </c>
      <c r="H20" s="437"/>
      <c r="I20" s="697">
        <f>IFERROR(1/I$3,1)*SUMIFS(Data!$S$3:$S$305,Data!$O$3:$O$305,I$1,Data!$P$3:$P$305,IF(RIGHT(I$2,3)="YTD","&lt;="&amp;LEFT(I$2,2)*1,I$2),Data!$K$3:$K$305,$B20)</f>
        <v>0</v>
      </c>
      <c r="J20" s="697">
        <f>IFERROR(1/J$3,1)*SUMIFS(Data!$S$3:$S$305,Data!$O$3:$O$305,J$1,Data!$P$3:$P$305,IF(RIGHT(J$2,3)="YTD","&lt;="&amp;LEFT(J$2,2)*1,J$2),Data!$K$3:$K$305,$B20)</f>
        <v>0</v>
      </c>
      <c r="K20" s="697">
        <f>IFERROR(1/K$3,1)*SUMIFS(Data!$S$3:$S$305,Data!$O$3:$O$305,K$1,Data!$P$3:$P$305,IF(RIGHT(K$2,3)="YTD","&lt;="&amp;LEFT(K$2,2)*1,K$2),Data!$K$3:$K$305,$B20)</f>
        <v>0</v>
      </c>
      <c r="L20" s="697">
        <f>IFERROR(1/L$3,1)*SUMIFS(Data!$S$3:$S$305,Data!$O$3:$O$305,L$1,Data!$P$3:$P$305,IF(RIGHT(L$2,3)="YTD","&lt;="&amp;LEFT(L$2,2)*1,L$2),Data!$K$3:$K$305,$B20)</f>
        <v>0</v>
      </c>
      <c r="M20" s="697">
        <f>IFERROR(1/M$3,1)*SUMIFS(Data!$S$3:$S$305,Data!$O$3:$O$305,M$1,Data!$P$3:$P$305,IF(RIGHT(M$2,3)="YTD","&lt;="&amp;LEFT(M$2,2)*1,M$2),Data!$K$3:$K$305,$B20)</f>
        <v>0</v>
      </c>
      <c r="N20" s="697">
        <f>SUMIFS(Data!$S$3:$S$305,Data!$O$3:$O$305,N$1,Data!$P$3:$P$305,N$2,Data!$K$3:$K$305,$B20)</f>
        <v>0</v>
      </c>
      <c r="O20" s="697">
        <f>SUMIFS(Data!$S$3:$S$305,Data!$O$3:$O$305,O$1,Data!$P$3:$P$305,O$2,Data!$K$3:$K$305,$B20)</f>
        <v>0</v>
      </c>
      <c r="P20" s="697">
        <f>SUMIFS(Data!$S$3:$S$305,Data!$O$3:$O$305,P$1,Data!$P$3:$P$305,P$2,Data!$K$3:$K$305,$B20)</f>
        <v>0</v>
      </c>
      <c r="Q20" s="697">
        <f>SUMIFS(Data!$S$3:$S$305,Data!$O$3:$O$305,Q$1,Data!$P$3:$P$305,Q$2,Data!$K$3:$K$305,$B20)</f>
        <v>0</v>
      </c>
      <c r="R20" s="697">
        <f>SUMIFS(Data!$S$3:$S$305,Data!$O$3:$O$305,R$1,Data!$P$3:$P$305,R$2,Data!$K$3:$K$305,$B20)</f>
        <v>0</v>
      </c>
      <c r="S20" s="710">
        <f>SUMIFS(Data!$S$3:$S$305,Data!$O$3:$O$305,S$1,Data!$P$3:$P$305,S$2,Data!$K$3:$K$305,$B20)</f>
        <v>3180</v>
      </c>
      <c r="T20" s="710">
        <f>SUMIFS(Data!$S$3:$S$305,Data!$O$3:$O$305,T$1,Data!$P$3:$P$305,T$2,Data!$K$3:$K$305,$B20)</f>
        <v>3460</v>
      </c>
      <c r="U20" s="437"/>
      <c r="V20" s="697">
        <f>G20</f>
        <v>20833.333333333332</v>
      </c>
      <c r="W20" s="697">
        <f t="shared" si="15"/>
        <v>20833.333333333332</v>
      </c>
      <c r="X20" s="697">
        <f t="shared" si="15"/>
        <v>20833.333333333332</v>
      </c>
      <c r="Y20" s="697">
        <f t="shared" si="15"/>
        <v>20833.333333333332</v>
      </c>
      <c r="Z20" s="697">
        <f t="shared" si="15"/>
        <v>20833.333333333332</v>
      </c>
      <c r="AA20" s="697">
        <f t="shared" si="15"/>
        <v>20833.333333333332</v>
      </c>
      <c r="AB20" s="697">
        <f t="shared" si="15"/>
        <v>20833.333333333332</v>
      </c>
      <c r="AC20" s="697">
        <f t="shared" si="15"/>
        <v>20833.333333333332</v>
      </c>
      <c r="AD20" s="697">
        <f t="shared" si="15"/>
        <v>20833.333333333332</v>
      </c>
      <c r="AE20" s="697"/>
      <c r="AF20" s="697">
        <f ca="1">IFERROR(1/AF$3,1)*SUMIFS(Data!$S$3:$S$305,Data!$O$3:$O$305,AF$1,Data!$P$3:$P$305,IF(RIGHT(AF$2,3)="YTD","&lt;="&amp;LEFT(AF$2,2)*1,AF$2),Data!$K$3:$K$305,$B20)</f>
        <v>0</v>
      </c>
      <c r="AG20" s="697">
        <f t="shared" ca="1" si="13"/>
        <v>62500</v>
      </c>
      <c r="AH20" s="716">
        <f t="shared" ca="1" si="14"/>
        <v>-62500</v>
      </c>
      <c r="AI20" s="437"/>
      <c r="AJ20" s="697">
        <v>113419</v>
      </c>
      <c r="AK20" s="711">
        <v>250000</v>
      </c>
    </row>
    <row r="21" spans="1:37" hidden="1" outlineLevel="1" x14ac:dyDescent="0.3">
      <c r="A21" s="55" t="s">
        <v>589</v>
      </c>
      <c r="B21" s="725" t="s">
        <v>583</v>
      </c>
      <c r="C21" s="850" t="s">
        <v>653</v>
      </c>
      <c r="D21" s="437"/>
      <c r="E21" s="697">
        <f t="shared" si="11"/>
        <v>5542.75</v>
      </c>
      <c r="F21" s="697">
        <f ca="1">IFERROR(1/F$3,1)*SUMIFS(Data!$S$3:$S$305,Data!$O$3:$O$305,F$1,Data!$P$3:$P$305,IF(RIGHT(F$2,3)="YTD","&lt;="&amp;LEFT(F$2,2)*1,F$2),Data!$K$3:$K$305,$B21)</f>
        <v>0</v>
      </c>
      <c r="G21" s="697">
        <f t="shared" si="16"/>
        <v>3750</v>
      </c>
      <c r="H21" s="437"/>
      <c r="I21" s="697">
        <f>IFERROR(1/I$3,1)*SUMIFS(Data!$S$3:$S$305,Data!$O$3:$O$305,I$1,Data!$P$3:$P$305,IF(RIGHT(I$2,3)="YTD","&lt;="&amp;LEFT(I$2,2)*1,I$2),Data!$K$3:$K$305,$B21)</f>
        <v>0</v>
      </c>
      <c r="J21" s="697">
        <f>IFERROR(1/J$3,1)*SUMIFS(Data!$S$3:$S$305,Data!$O$3:$O$305,J$1,Data!$P$3:$P$305,IF(RIGHT(J$2,3)="YTD","&lt;="&amp;LEFT(J$2,2)*1,J$2),Data!$K$3:$K$305,$B21)</f>
        <v>0</v>
      </c>
      <c r="K21" s="697">
        <f>IFERROR(1/K$3,1)*SUMIFS(Data!$S$3:$S$305,Data!$O$3:$O$305,K$1,Data!$P$3:$P$305,IF(RIGHT(K$2,3)="YTD","&lt;="&amp;LEFT(K$2,2)*1,K$2),Data!$K$3:$K$305,$B21)</f>
        <v>0</v>
      </c>
      <c r="L21" s="697">
        <f>IFERROR(1/L$3,1)*SUMIFS(Data!$S$3:$S$305,Data!$O$3:$O$305,L$1,Data!$P$3:$P$305,IF(RIGHT(L$2,3)="YTD","&lt;="&amp;LEFT(L$2,2)*1,L$2),Data!$K$3:$K$305,$B21)</f>
        <v>0</v>
      </c>
      <c r="M21" s="697">
        <f>IFERROR(1/M$3,1)*SUMIFS(Data!$S$3:$S$305,Data!$O$3:$O$305,M$1,Data!$P$3:$P$305,IF(RIGHT(M$2,3)="YTD","&lt;="&amp;LEFT(M$2,2)*1,M$2),Data!$K$3:$K$305,$B21)</f>
        <v>0</v>
      </c>
      <c r="N21" s="697">
        <f>SUMIFS(Data!$S$3:$S$305,Data!$O$3:$O$305,N$1,Data!$P$3:$P$305,N$2,Data!$K$3:$K$305,$B21)</f>
        <v>0</v>
      </c>
      <c r="O21" s="697">
        <f>SUMIFS(Data!$S$3:$S$305,Data!$O$3:$O$305,O$1,Data!$P$3:$P$305,O$2,Data!$K$3:$K$305,$B21)</f>
        <v>0</v>
      </c>
      <c r="P21" s="697">
        <f>SUMIFS(Data!$S$3:$S$305,Data!$O$3:$O$305,P$1,Data!$P$3:$P$305,P$2,Data!$K$3:$K$305,$B21)</f>
        <v>0</v>
      </c>
      <c r="Q21" s="697">
        <f>SUMIFS(Data!$S$3:$S$305,Data!$O$3:$O$305,Q$1,Data!$P$3:$P$305,Q$2,Data!$K$3:$K$305,$B21)</f>
        <v>0</v>
      </c>
      <c r="R21" s="697">
        <f>SUMIFS(Data!$S$3:$S$305,Data!$O$3:$O$305,R$1,Data!$P$3:$P$305,R$2,Data!$K$3:$K$305,$B21)</f>
        <v>0</v>
      </c>
      <c r="S21" s="710">
        <f>SUMIFS(Data!$S$3:$S$305,Data!$O$3:$O$305,S$1,Data!$P$3:$P$305,S$2,Data!$K$3:$K$305,$B21)</f>
        <v>0</v>
      </c>
      <c r="T21" s="710">
        <f>SUMIFS(Data!$S$3:$S$305,Data!$O$3:$O$305,T$1,Data!$P$3:$P$305,T$2,Data!$K$3:$K$305,$B21)</f>
        <v>0</v>
      </c>
      <c r="U21" s="437"/>
      <c r="V21" s="697">
        <f t="shared" si="17"/>
        <v>3750</v>
      </c>
      <c r="W21" s="697">
        <f t="shared" si="15"/>
        <v>3750</v>
      </c>
      <c r="X21" s="697">
        <f t="shared" si="15"/>
        <v>3750</v>
      </c>
      <c r="Y21" s="697">
        <f t="shared" si="15"/>
        <v>3750</v>
      </c>
      <c r="Z21" s="697">
        <f t="shared" si="15"/>
        <v>3750</v>
      </c>
      <c r="AA21" s="697">
        <f t="shared" si="15"/>
        <v>3750</v>
      </c>
      <c r="AB21" s="697">
        <f t="shared" si="15"/>
        <v>3750</v>
      </c>
      <c r="AC21" s="697">
        <f t="shared" si="15"/>
        <v>3750</v>
      </c>
      <c r="AD21" s="697">
        <f t="shared" si="15"/>
        <v>3750</v>
      </c>
      <c r="AE21" s="697"/>
      <c r="AF21" s="697">
        <f ca="1">IFERROR(1/AF$3,1)*SUMIFS(Data!$S$3:$S$305,Data!$O$3:$O$305,AF$1,Data!$P$3:$P$305,IF(RIGHT(AF$2,3)="YTD","&lt;="&amp;LEFT(AF$2,2)*1,AF$2),Data!$K$3:$K$305,$B21)</f>
        <v>0</v>
      </c>
      <c r="AG21" s="697">
        <f t="shared" ca="1" si="13"/>
        <v>11250</v>
      </c>
      <c r="AH21" s="716">
        <f t="shared" ca="1" si="14"/>
        <v>-11250</v>
      </c>
      <c r="AI21" s="437"/>
      <c r="AJ21" s="697">
        <v>66513</v>
      </c>
      <c r="AK21" s="711">
        <v>45000</v>
      </c>
    </row>
    <row r="22" spans="1:37" hidden="1" outlineLevel="1" x14ac:dyDescent="0.3">
      <c r="A22" s="55" t="s">
        <v>590</v>
      </c>
      <c r="B22" s="725" t="s">
        <v>574</v>
      </c>
      <c r="C22" s="850" t="s">
        <v>653</v>
      </c>
      <c r="D22" s="437"/>
      <c r="E22" s="697">
        <f t="shared" si="11"/>
        <v>304.16666666666669</v>
      </c>
      <c r="F22" s="697">
        <f ca="1">IFERROR(1/F$3,1)*SUMIFS(Data!$S$3:$S$305,Data!$O$3:$O$305,F$1,Data!$P$3:$P$305,IF(RIGHT(F$2,3)="YTD","&lt;="&amp;LEFT(F$2,2)*1,F$2),Data!$K$3:$K$305,$B22)</f>
        <v>2645.2166666666662</v>
      </c>
      <c r="G22" s="697">
        <f t="shared" ref="G22:G24" si="18">AK22/12</f>
        <v>20833.333333333332</v>
      </c>
      <c r="H22" s="437"/>
      <c r="I22" s="697">
        <f>IFERROR(1/I$3,1)*SUMIFS(Data!$S$3:$S$305,Data!$O$3:$O$305,I$1,Data!$P$3:$P$305,IF(RIGHT(I$2,3)="YTD","&lt;="&amp;LEFT(I$2,2)*1,I$2),Data!$K$3:$K$305,$B22)</f>
        <v>0</v>
      </c>
      <c r="J22" s="697">
        <f>IFERROR(1/J$3,1)*SUMIFS(Data!$S$3:$S$305,Data!$O$3:$O$305,J$1,Data!$P$3:$P$305,IF(RIGHT(J$2,3)="YTD","&lt;="&amp;LEFT(J$2,2)*1,J$2),Data!$K$3:$K$305,$B22)</f>
        <v>6900</v>
      </c>
      <c r="K22" s="697">
        <f>IFERROR(1/K$3,1)*SUMIFS(Data!$S$3:$S$305,Data!$O$3:$O$305,K$1,Data!$P$3:$P$305,IF(RIGHT(K$2,3)="YTD","&lt;="&amp;LEFT(K$2,2)*1,K$2),Data!$K$3:$K$305,$B22)</f>
        <v>1035.6500000000001</v>
      </c>
      <c r="L22" s="697">
        <f>IFERROR(1/L$3,1)*SUMIFS(Data!$S$3:$S$305,Data!$O$3:$O$305,L$1,Data!$P$3:$P$305,IF(RIGHT(L$2,3)="YTD","&lt;="&amp;LEFT(L$2,2)*1,L$2),Data!$K$3:$K$305,$B22)</f>
        <v>1200</v>
      </c>
      <c r="M22" s="697">
        <f>IFERROR(1/M$3,1)*SUMIFS(Data!$S$3:$S$305,Data!$O$3:$O$305,M$1,Data!$P$3:$P$305,IF(RIGHT(M$2,3)="YTD","&lt;="&amp;LEFT(M$2,2)*1,M$2),Data!$K$3:$K$305,$B22)</f>
        <v>0</v>
      </c>
      <c r="N22" s="697">
        <f>SUMIFS(Data!$S$3:$S$305,Data!$O$3:$O$305,N$1,Data!$P$3:$P$305,N$2,Data!$K$3:$K$305,$B22)</f>
        <v>1945</v>
      </c>
      <c r="O22" s="697">
        <f>SUMIFS(Data!$S$3:$S$305,Data!$O$3:$O$305,O$1,Data!$P$3:$P$305,O$2,Data!$K$3:$K$305,$B22)</f>
        <v>0</v>
      </c>
      <c r="P22" s="697">
        <f>SUMIFS(Data!$S$3:$S$305,Data!$O$3:$O$305,P$1,Data!$P$3:$P$305,P$2,Data!$K$3:$K$305,$B22)</f>
        <v>0</v>
      </c>
      <c r="Q22" s="697">
        <f>SUMIFS(Data!$S$3:$S$305,Data!$O$3:$O$305,Q$1,Data!$P$3:$P$305,Q$2,Data!$K$3:$K$305,$B22)</f>
        <v>0</v>
      </c>
      <c r="R22" s="697">
        <f>SUMIFS(Data!$S$3:$S$305,Data!$O$3:$O$305,R$1,Data!$P$3:$P$305,R$2,Data!$K$3:$K$305,$B22)</f>
        <v>853</v>
      </c>
      <c r="S22" s="710">
        <f>SUMIFS(Data!$S$3:$S$305,Data!$O$3:$O$305,S$1,Data!$P$3:$P$305,S$2,Data!$K$3:$K$305,$B22)</f>
        <v>3732</v>
      </c>
      <c r="T22" s="710">
        <f>SUMIFS(Data!$S$3:$S$305,Data!$O$3:$O$305,T$1,Data!$P$3:$P$305,T$2,Data!$K$3:$K$305,$B22)</f>
        <v>5877</v>
      </c>
      <c r="U22" s="437"/>
      <c r="V22" s="697">
        <f t="shared" ref="V22:V24" si="19">G22</f>
        <v>20833.333333333332</v>
      </c>
      <c r="W22" s="697">
        <f t="shared" si="15"/>
        <v>20833.333333333332</v>
      </c>
      <c r="X22" s="697">
        <f t="shared" si="15"/>
        <v>20833.333333333332</v>
      </c>
      <c r="Y22" s="697">
        <f t="shared" si="15"/>
        <v>20833.333333333332</v>
      </c>
      <c r="Z22" s="697">
        <f t="shared" si="15"/>
        <v>20833.333333333332</v>
      </c>
      <c r="AA22" s="697">
        <f t="shared" si="15"/>
        <v>20833.333333333332</v>
      </c>
      <c r="AB22" s="697">
        <f t="shared" si="15"/>
        <v>20833.333333333332</v>
      </c>
      <c r="AC22" s="697">
        <f t="shared" si="15"/>
        <v>20833.333333333332</v>
      </c>
      <c r="AD22" s="697">
        <f t="shared" si="15"/>
        <v>20833.333333333332</v>
      </c>
      <c r="AE22" s="697"/>
      <c r="AF22" s="697">
        <f ca="1">IFERROR(1/AF$3,1)*SUMIFS(Data!$S$3:$S$305,Data!$O$3:$O$305,AF$1,Data!$P$3:$P$305,IF(RIGHT(AF$2,3)="YTD","&lt;="&amp;LEFT(AF$2,2)*1,AF$2),Data!$K$3:$K$305,$B22)</f>
        <v>7935.65</v>
      </c>
      <c r="AG22" s="697">
        <f t="shared" ca="1" si="13"/>
        <v>62500</v>
      </c>
      <c r="AH22" s="716">
        <f t="shared" ca="1" si="14"/>
        <v>-54564.35</v>
      </c>
      <c r="AI22" s="437"/>
      <c r="AJ22" s="697">
        <v>3650</v>
      </c>
      <c r="AK22" s="697">
        <v>250000</v>
      </c>
    </row>
    <row r="23" spans="1:37" hidden="1" outlineLevel="1" x14ac:dyDescent="0.3">
      <c r="A23" s="437" t="s">
        <v>591</v>
      </c>
      <c r="B23" s="725" t="s">
        <v>592</v>
      </c>
      <c r="C23" s="696" t="s">
        <v>653</v>
      </c>
      <c r="E23" s="697">
        <f t="shared" si="11"/>
        <v>70966</v>
      </c>
      <c r="F23" s="697">
        <f ca="1">IFERROR(1/F$3,1)*SUMIFS(Data!$S$3:$S$305,Data!$O$3:$O$305,F$1,Data!$P$3:$P$305,IF(RIGHT(F$2,3)="YTD","&lt;="&amp;LEFT(F$2,2)*1,F$2),Data!$K$3:$K$305,$B23)</f>
        <v>0</v>
      </c>
      <c r="G23" s="697">
        <f>AK23/12</f>
        <v>0</v>
      </c>
      <c r="I23" s="697">
        <f>IFERROR(1/I$3,1)*SUMIFS(Data!$S$3:$S$305,Data!$O$3:$O$305,I$1,Data!$P$3:$P$305,IF(RIGHT(I$2,3)="YTD","&lt;="&amp;LEFT(I$2,2)*1,I$2),Data!$K$3:$K$305,$B23)</f>
        <v>0</v>
      </c>
      <c r="J23" s="697">
        <f>IFERROR(1/J$3,1)*SUMIFS(Data!$S$3:$S$305,Data!$O$3:$O$305,J$1,Data!$P$3:$P$305,IF(RIGHT(J$2,3)="YTD","&lt;="&amp;LEFT(J$2,2)*1,J$2),Data!$K$3:$K$305,$B23)</f>
        <v>0</v>
      </c>
      <c r="K23" s="697">
        <f>IFERROR(1/K$3,1)*SUMIFS(Data!$S$3:$S$305,Data!$O$3:$O$305,K$1,Data!$P$3:$P$305,IF(RIGHT(K$2,3)="YTD","&lt;="&amp;LEFT(K$2,2)*1,K$2),Data!$K$3:$K$305,$B23)</f>
        <v>0</v>
      </c>
      <c r="L23" s="697">
        <f>IFERROR(1/L$3,1)*SUMIFS(Data!$S$3:$S$305,Data!$O$3:$O$305,L$1,Data!$P$3:$P$305,IF(RIGHT(L$2,3)="YTD","&lt;="&amp;LEFT(L$2,2)*1,L$2),Data!$K$3:$K$305,$B23)</f>
        <v>0</v>
      </c>
      <c r="M23" s="697">
        <f>IFERROR(1/M$3,1)*SUMIFS(Data!$S$3:$S$305,Data!$O$3:$O$305,M$1,Data!$P$3:$P$305,IF(RIGHT(M$2,3)="YTD","&lt;="&amp;LEFT(M$2,2)*1,M$2),Data!$K$3:$K$305,$B23)</f>
        <v>0</v>
      </c>
      <c r="N23" s="697">
        <f>SUMIFS(Data!$S$3:$S$305,Data!$O$3:$O$305,N$1,Data!$P$3:$P$305,N$2,Data!$K$3:$K$305,$B23)</f>
        <v>0</v>
      </c>
      <c r="O23" s="697">
        <f>SUMIFS(Data!$S$3:$S$305,Data!$O$3:$O$305,O$1,Data!$P$3:$P$305,O$2,Data!$K$3:$K$305,$B23)</f>
        <v>0</v>
      </c>
      <c r="P23" s="697">
        <f>SUMIFS(Data!$S$3:$S$305,Data!$O$3:$O$305,P$1,Data!$P$3:$P$305,P$2,Data!$K$3:$K$305,$B23)</f>
        <v>0</v>
      </c>
      <c r="Q23" s="697">
        <f>SUMIFS(Data!$S$3:$S$305,Data!$O$3:$O$305,Q$1,Data!$P$3:$P$305,Q$2,Data!$K$3:$K$305,$B23)</f>
        <v>3236</v>
      </c>
      <c r="R23" s="697">
        <f>SUMIFS(Data!$S$3:$S$305,Data!$O$3:$O$305,R$1,Data!$P$3:$P$305,R$2,Data!$K$3:$K$305,$B23)</f>
        <v>0</v>
      </c>
      <c r="S23" s="710">
        <f>SUMIFS(Data!$S$3:$S$305,Data!$O$3:$O$305,S$1,Data!$P$3:$P$305,S$2,Data!$K$3:$K$305,$B23)</f>
        <v>0</v>
      </c>
      <c r="T23" s="710">
        <f>SUMIFS(Data!$S$3:$S$305,Data!$O$3:$O$305,T$1,Data!$P$3:$P$305,T$2,Data!$K$3:$K$305,$B23)</f>
        <v>4425</v>
      </c>
      <c r="V23" s="697">
        <f>G23</f>
        <v>0</v>
      </c>
      <c r="W23" s="697">
        <f t="shared" si="15"/>
        <v>0</v>
      </c>
      <c r="X23" s="697">
        <f t="shared" si="15"/>
        <v>0</v>
      </c>
      <c r="Y23" s="697">
        <f t="shared" si="15"/>
        <v>0</v>
      </c>
      <c r="Z23" s="697">
        <f t="shared" si="15"/>
        <v>0</v>
      </c>
      <c r="AA23" s="697">
        <f t="shared" si="15"/>
        <v>0</v>
      </c>
      <c r="AB23" s="697">
        <f t="shared" si="15"/>
        <v>0</v>
      </c>
      <c r="AC23" s="697">
        <f t="shared" si="15"/>
        <v>0</v>
      </c>
      <c r="AD23" s="697">
        <f t="shared" si="15"/>
        <v>0</v>
      </c>
      <c r="AE23" s="697"/>
      <c r="AF23" s="697">
        <f ca="1">IFERROR(1/AF$3,1)*SUMIFS(Data!$S$3:$S$305,Data!$O$3:$O$305,AF$1,Data!$P$3:$P$305,IF(RIGHT(AF$2,3)="YTD","&lt;="&amp;LEFT(AF$2,2)*1,AF$2),Data!$K$3:$K$305,$B23)</f>
        <v>0</v>
      </c>
      <c r="AG23" s="697">
        <f t="shared" ca="1" si="13"/>
        <v>0</v>
      </c>
      <c r="AH23" s="716">
        <f t="shared" ca="1" si="14"/>
        <v>0</v>
      </c>
      <c r="AJ23" s="697">
        <v>851592</v>
      </c>
      <c r="AK23" s="697">
        <v>0</v>
      </c>
    </row>
    <row r="24" spans="1:37" hidden="1" outlineLevel="1" x14ac:dyDescent="0.3">
      <c r="B24" s="725" t="s">
        <v>584</v>
      </c>
      <c r="C24" s="696" t="s">
        <v>653</v>
      </c>
      <c r="E24" s="697">
        <f t="shared" si="11"/>
        <v>228467.83333333334</v>
      </c>
      <c r="F24" s="697">
        <f ca="1">IFERROR(1/F$3,1)*SUMIFS(Data!$S$3:$S$305,Data!$O$3:$O$305,F$1,Data!$P$3:$P$305,IF(RIGHT(F$2,3)="YTD","&lt;="&amp;LEFT(F$2,2)*1,F$2),Data!$K$3:$K$305,$B24)</f>
        <v>0</v>
      </c>
      <c r="G24" s="697">
        <f t="shared" si="18"/>
        <v>0</v>
      </c>
      <c r="I24" s="697">
        <f>IFERROR(1/I$3,1)*SUMIFS(Data!$S$3:$S$305,Data!$O$3:$O$305,I$1,Data!$P$3:$P$305,IF(RIGHT(I$2,3)="YTD","&lt;="&amp;LEFT(I$2,2)*1,I$2),Data!$K$3:$K$305,$B24)</f>
        <v>0</v>
      </c>
      <c r="J24" s="697">
        <f>IFERROR(1/J$3,1)*SUMIFS(Data!$S$3:$S$305,Data!$O$3:$O$305,J$1,Data!$P$3:$P$305,IF(RIGHT(J$2,3)="YTD","&lt;="&amp;LEFT(J$2,2)*1,J$2),Data!$K$3:$K$305,$B24)</f>
        <v>0</v>
      </c>
      <c r="K24" s="697">
        <f>IFERROR(1/K$3,1)*SUMIFS(Data!$S$3:$S$305,Data!$O$3:$O$305,K$1,Data!$P$3:$P$305,IF(RIGHT(K$2,3)="YTD","&lt;="&amp;LEFT(K$2,2)*1,K$2),Data!$K$3:$K$305,$B24)</f>
        <v>0</v>
      </c>
      <c r="L24" s="697">
        <f>IFERROR(1/L$3,1)*SUMIFS(Data!$S$3:$S$305,Data!$O$3:$O$305,L$1,Data!$P$3:$P$305,IF(RIGHT(L$2,3)="YTD","&lt;="&amp;LEFT(L$2,2)*1,L$2),Data!$K$3:$K$305,$B24)</f>
        <v>0</v>
      </c>
      <c r="M24" s="697">
        <f>IFERROR(1/M$3,1)*SUMIFS(Data!$S$3:$S$305,Data!$O$3:$O$305,M$1,Data!$P$3:$P$305,IF(RIGHT(M$2,3)="YTD","&lt;="&amp;LEFT(M$2,2)*1,M$2),Data!$K$3:$K$305,$B24)</f>
        <v>0</v>
      </c>
      <c r="N24" s="697">
        <f>SUMIFS(Data!$S$3:$S$305,Data!$O$3:$O$305,N$1,Data!$P$3:$P$305,N$2,Data!$K$3:$K$305,$B24)</f>
        <v>0</v>
      </c>
      <c r="O24" s="697">
        <f>SUMIFS(Data!$S$3:$S$305,Data!$O$3:$O$305,O$1,Data!$P$3:$P$305,O$2,Data!$K$3:$K$305,$B24)</f>
        <v>0</v>
      </c>
      <c r="P24" s="697">
        <f>SUMIFS(Data!$S$3:$S$305,Data!$O$3:$O$305,P$1,Data!$P$3:$P$305,P$2,Data!$K$3:$K$305,$B24)</f>
        <v>0</v>
      </c>
      <c r="Q24" s="697">
        <f>SUMIFS(Data!$S$3:$S$305,Data!$O$3:$O$305,Q$1,Data!$P$3:$P$305,Q$2,Data!$K$3:$K$305,$B24)</f>
        <v>0</v>
      </c>
      <c r="R24" s="697">
        <f>SUMIFS(Data!$S$3:$S$305,Data!$O$3:$O$305,R$1,Data!$P$3:$P$305,R$2,Data!$K$3:$K$305,$B24)</f>
        <v>0</v>
      </c>
      <c r="S24" s="710">
        <f>SUMIFS(Data!$S$3:$S$305,Data!$O$3:$O$305,S$1,Data!$P$3:$P$305,S$2,Data!$K$3:$K$305,$B24)</f>
        <v>0</v>
      </c>
      <c r="T24" s="710">
        <f>SUMIFS(Data!$S$3:$S$305,Data!$O$3:$O$305,T$1,Data!$P$3:$P$305,T$2,Data!$K$3:$K$305,$B24)</f>
        <v>0</v>
      </c>
      <c r="V24" s="697">
        <f t="shared" si="19"/>
        <v>0</v>
      </c>
      <c r="W24" s="697">
        <f t="shared" si="15"/>
        <v>0</v>
      </c>
      <c r="X24" s="697">
        <f t="shared" si="15"/>
        <v>0</v>
      </c>
      <c r="Y24" s="697">
        <f t="shared" si="15"/>
        <v>0</v>
      </c>
      <c r="Z24" s="697">
        <f t="shared" si="15"/>
        <v>0</v>
      </c>
      <c r="AA24" s="697">
        <f t="shared" si="15"/>
        <v>0</v>
      </c>
      <c r="AB24" s="697">
        <f t="shared" si="15"/>
        <v>0</v>
      </c>
      <c r="AC24" s="697">
        <f t="shared" si="15"/>
        <v>0</v>
      </c>
      <c r="AD24" s="697">
        <f t="shared" si="15"/>
        <v>0</v>
      </c>
      <c r="AE24" s="697"/>
      <c r="AF24" s="697">
        <f ca="1">IFERROR(1/AF$3,1)*SUMIFS(Data!$S$3:$S$305,Data!$O$3:$O$305,AF$1,Data!$P$3:$P$305,IF(RIGHT(AF$2,3)="YTD","&lt;="&amp;LEFT(AF$2,2)*1,AF$2),Data!$K$3:$K$305,$B24)</f>
        <v>0</v>
      </c>
      <c r="AG24" s="697">
        <f t="shared" ca="1" si="13"/>
        <v>0</v>
      </c>
      <c r="AH24" s="716">
        <f t="shared" ca="1" si="14"/>
        <v>0</v>
      </c>
      <c r="AJ24" s="697">
        <v>2741614</v>
      </c>
      <c r="AK24" s="697">
        <v>0</v>
      </c>
    </row>
    <row r="25" spans="1:37" s="391" customFormat="1" hidden="1" outlineLevel="1" x14ac:dyDescent="0.3">
      <c r="B25" s="724" t="s">
        <v>601</v>
      </c>
      <c r="C25" s="666"/>
      <c r="D25"/>
      <c r="E25" s="711"/>
      <c r="F25" s="711"/>
      <c r="G25" s="711"/>
      <c r="H25"/>
      <c r="I25" s="712">
        <f>SUM(I15:I24)</f>
        <v>0</v>
      </c>
      <c r="J25" s="712">
        <f t="shared" ref="J25:M25" si="20">SUM(J15:J24)</f>
        <v>6900</v>
      </c>
      <c r="K25" s="712">
        <f t="shared" si="20"/>
        <v>1035.6500000000001</v>
      </c>
      <c r="L25" s="712">
        <f>SUM(L15:L24)</f>
        <v>1200</v>
      </c>
      <c r="M25" s="712">
        <f t="shared" si="20"/>
        <v>0</v>
      </c>
      <c r="N25" s="712">
        <f>SUM(N15:N24)</f>
        <v>1945</v>
      </c>
      <c r="O25" s="712">
        <f t="shared" ref="O25:Y25" si="21">SUM(O15:O24)</f>
        <v>0</v>
      </c>
      <c r="P25" s="712">
        <f t="shared" si="21"/>
        <v>0</v>
      </c>
      <c r="Q25" s="712">
        <f t="shared" si="21"/>
        <v>3236</v>
      </c>
      <c r="R25" s="712">
        <f t="shared" si="21"/>
        <v>853</v>
      </c>
      <c r="S25" s="712">
        <f t="shared" si="21"/>
        <v>6912</v>
      </c>
      <c r="T25" s="712">
        <f t="shared" si="21"/>
        <v>16512</v>
      </c>
      <c r="U25" s="712"/>
      <c r="V25" s="712">
        <f t="shared" si="21"/>
        <v>76250</v>
      </c>
      <c r="W25" s="712">
        <f t="shared" si="21"/>
        <v>76250</v>
      </c>
      <c r="X25" s="712">
        <f t="shared" si="21"/>
        <v>76250</v>
      </c>
      <c r="Y25" s="712">
        <f t="shared" si="21"/>
        <v>76250</v>
      </c>
      <c r="Z25" s="711"/>
      <c r="AA25" s="711"/>
      <c r="AB25" s="711"/>
      <c r="AC25" s="697">
        <f t="shared" si="15"/>
        <v>0</v>
      </c>
      <c r="AD25" s="697">
        <f t="shared" si="15"/>
        <v>0</v>
      </c>
      <c r="AE25" s="711"/>
      <c r="AF25" s="697">
        <f ca="1">SUM(AF15:AF24)</f>
        <v>7935.65</v>
      </c>
      <c r="AG25" s="697">
        <f t="shared" ref="AG25" ca="1" si="22">SUM(AG15:AG24)</f>
        <v>228750</v>
      </c>
      <c r="AH25" s="716">
        <f ca="1">SUM(AH15:AH24)</f>
        <v>-220814.35</v>
      </c>
      <c r="AI25"/>
      <c r="AJ25" s="711">
        <f>SUM(AJ15:AJ24)</f>
        <v>4444798</v>
      </c>
      <c r="AK25" s="711">
        <f>SUM(AK15:AK24)</f>
        <v>915000</v>
      </c>
    </row>
    <row r="26" spans="1:37" hidden="1" outlineLevel="1" x14ac:dyDescent="0.3">
      <c r="B26" s="726" t="s">
        <v>593</v>
      </c>
      <c r="C26" s="726" t="s">
        <v>653</v>
      </c>
      <c r="E26" s="713">
        <f ca="1">AJ26/12*LEFT($F$2,2)</f>
        <v>685403.5</v>
      </c>
      <c r="F26" s="713">
        <f ca="1">SUM(I26:T26)/LEFT($F$2,2)</f>
        <v>576857.16991060704</v>
      </c>
      <c r="G26" s="713">
        <f>AJ26/12</f>
        <v>228467.83333333334</v>
      </c>
      <c r="I26" s="714">
        <f>Reporting!C65</f>
        <v>340509.94999999995</v>
      </c>
      <c r="J26" s="714">
        <f>Reporting!D65</f>
        <v>85704.559731821166</v>
      </c>
      <c r="K26" s="714">
        <f>Reporting!E65</f>
        <v>533231</v>
      </c>
      <c r="L26" s="714">
        <f>Reporting!F65</f>
        <v>771126</v>
      </c>
      <c r="M26" s="714">
        <f>Reporting!G65</f>
        <v>0</v>
      </c>
      <c r="N26" s="714">
        <f>Reporting!H65</f>
        <v>0</v>
      </c>
      <c r="O26" s="714">
        <f>Reporting!I65</f>
        <v>0</v>
      </c>
      <c r="P26" s="714">
        <f>Reporting!J65</f>
        <v>0</v>
      </c>
      <c r="Q26" s="714">
        <f>Reporting!K65</f>
        <v>0</v>
      </c>
      <c r="R26" s="714">
        <f>Reporting!L65</f>
        <v>0</v>
      </c>
      <c r="S26" s="714">
        <f>Reporting!M65</f>
        <v>0</v>
      </c>
      <c r="T26" s="714">
        <f>Reporting!N65</f>
        <v>0</v>
      </c>
      <c r="V26" s="713">
        <f>G27</f>
        <v>0</v>
      </c>
      <c r="W26" s="713">
        <f>$G$26</f>
        <v>228467.83333333334</v>
      </c>
      <c r="X26" s="713">
        <f t="shared" ref="X26:AD26" si="23">$G$26</f>
        <v>228467.83333333334</v>
      </c>
      <c r="Y26" s="713">
        <f t="shared" si="23"/>
        <v>228467.83333333334</v>
      </c>
      <c r="Z26" s="713">
        <f t="shared" si="23"/>
        <v>228467.83333333334</v>
      </c>
      <c r="AA26" s="713">
        <f t="shared" si="23"/>
        <v>228467.83333333334</v>
      </c>
      <c r="AB26" s="713">
        <f t="shared" si="23"/>
        <v>228467.83333333334</v>
      </c>
      <c r="AC26" s="713">
        <f t="shared" si="23"/>
        <v>228467.83333333334</v>
      </c>
      <c r="AD26" s="713">
        <f t="shared" si="23"/>
        <v>228467.83333333334</v>
      </c>
      <c r="AE26" s="713"/>
      <c r="AF26" s="713">
        <f>SUM(I26:T26)</f>
        <v>1730571.5097318213</v>
      </c>
      <c r="AG26" s="713">
        <f ca="1">AK26/12*$C$5</f>
        <v>2210000</v>
      </c>
      <c r="AH26" s="717">
        <f ca="1">AF26-AG26</f>
        <v>-479428.49026817875</v>
      </c>
      <c r="AJ26" s="713">
        <v>2741614</v>
      </c>
      <c r="AK26" s="736">
        <v>6630000</v>
      </c>
    </row>
    <row r="27" spans="1:37" s="391" customFormat="1" hidden="1" outlineLevel="1" x14ac:dyDescent="0.3">
      <c r="B27" s="724"/>
      <c r="C27" s="724" t="s">
        <v>653</v>
      </c>
      <c r="D27"/>
      <c r="E27" s="711"/>
      <c r="F27" s="711"/>
      <c r="G27" s="711"/>
      <c r="H27"/>
      <c r="I27" s="712">
        <f>I25+I26</f>
        <v>340509.94999999995</v>
      </c>
      <c r="J27" s="712">
        <f t="shared" ref="J27:K27" si="24">J25+J26</f>
        <v>92604.559731821166</v>
      </c>
      <c r="K27" s="712">
        <f t="shared" si="24"/>
        <v>534266.65</v>
      </c>
      <c r="L27" s="712">
        <f>L25+L26</f>
        <v>772326</v>
      </c>
      <c r="M27" s="712">
        <f>M25+M26</f>
        <v>0</v>
      </c>
      <c r="N27" s="712">
        <f>N25+N26</f>
        <v>1945</v>
      </c>
      <c r="O27" s="712">
        <f t="shared" ref="O27:Y27" si="25">O25+O26</f>
        <v>0</v>
      </c>
      <c r="P27" s="712">
        <f t="shared" si="25"/>
        <v>0</v>
      </c>
      <c r="Q27" s="712">
        <f t="shared" si="25"/>
        <v>3236</v>
      </c>
      <c r="R27" s="712">
        <f t="shared" si="25"/>
        <v>853</v>
      </c>
      <c r="S27" s="712">
        <f t="shared" si="25"/>
        <v>6912</v>
      </c>
      <c r="T27" s="712">
        <f t="shared" si="25"/>
        <v>16512</v>
      </c>
      <c r="U27" s="712"/>
      <c r="V27" s="712">
        <f t="shared" si="25"/>
        <v>76250</v>
      </c>
      <c r="W27" s="712">
        <f t="shared" si="25"/>
        <v>304717.83333333337</v>
      </c>
      <c r="X27" s="712">
        <f t="shared" si="25"/>
        <v>304717.83333333337</v>
      </c>
      <c r="Y27" s="712">
        <f t="shared" si="25"/>
        <v>304717.83333333337</v>
      </c>
      <c r="Z27" s="715"/>
      <c r="AA27" s="715"/>
      <c r="AB27" s="715"/>
      <c r="AC27" s="715"/>
      <c r="AD27" s="715"/>
      <c r="AE27" s="715"/>
      <c r="AF27" s="711">
        <f>SUM(I27:K27)</f>
        <v>967381.15973182116</v>
      </c>
      <c r="AG27" s="711"/>
      <c r="AH27" s="715"/>
      <c r="AI27"/>
      <c r="AJ27" s="711">
        <f>SUM(M27:O27)</f>
        <v>1945</v>
      </c>
      <c r="AK27" s="715"/>
    </row>
    <row r="28" spans="1:37" s="391" customFormat="1" collapsed="1" x14ac:dyDescent="0.3">
      <c r="B28" s="724"/>
      <c r="C28" s="724"/>
      <c r="D28" s="437"/>
      <c r="E28" s="711"/>
      <c r="F28" s="711"/>
      <c r="G28" s="711"/>
      <c r="H28" s="437"/>
      <c r="I28" s="712"/>
      <c r="J28" s="712"/>
      <c r="K28" s="712"/>
      <c r="L28" s="712"/>
      <c r="M28" s="712"/>
      <c r="N28" s="712"/>
      <c r="O28" s="712"/>
      <c r="P28" s="712"/>
      <c r="Q28" s="712"/>
      <c r="R28" s="712"/>
      <c r="S28" s="712"/>
      <c r="T28" s="712"/>
      <c r="U28" s="437"/>
      <c r="V28" s="715"/>
      <c r="W28" s="715"/>
      <c r="X28" s="715"/>
      <c r="Y28" s="715"/>
      <c r="Z28" s="715"/>
      <c r="AA28" s="715"/>
      <c r="AB28" s="715"/>
      <c r="AC28" s="715"/>
      <c r="AD28" s="715"/>
      <c r="AE28" s="715"/>
      <c r="AF28" s="711"/>
      <c r="AG28" s="711"/>
      <c r="AH28" s="715"/>
      <c r="AI28" s="437"/>
      <c r="AJ28" s="711"/>
      <c r="AK28" s="715"/>
    </row>
    <row r="29" spans="1:37" x14ac:dyDescent="0.3">
      <c r="B29" s="725"/>
      <c r="E29" s="705"/>
      <c r="F29" s="705"/>
      <c r="G29" s="706"/>
      <c r="I29" s="706"/>
      <c r="J29" s="706"/>
      <c r="K29" s="706"/>
      <c r="L29" s="706"/>
      <c r="M29" s="706"/>
      <c r="N29" s="706"/>
      <c r="O29" s="706"/>
      <c r="P29" s="706"/>
      <c r="Q29" s="706"/>
      <c r="R29" s="706"/>
      <c r="S29" s="706"/>
      <c r="T29" s="706"/>
      <c r="V29" s="706"/>
      <c r="W29" s="718"/>
      <c r="X29" s="718"/>
      <c r="Y29" s="718"/>
      <c r="Z29" s="718"/>
      <c r="AA29" s="718"/>
      <c r="AB29" s="718"/>
      <c r="AC29" s="718"/>
      <c r="AD29" s="718"/>
      <c r="AE29" s="697"/>
      <c r="AF29" s="718"/>
      <c r="AG29" s="718"/>
      <c r="AH29" s="719"/>
      <c r="AJ29" s="718"/>
      <c r="AK29" s="718"/>
    </row>
    <row r="30" spans="1:37" s="55" customFormat="1" x14ac:dyDescent="0.3">
      <c r="C30" s="666"/>
      <c r="D30"/>
      <c r="E30" s="707" t="s">
        <v>550</v>
      </c>
      <c r="F30" s="729" t="s">
        <v>551</v>
      </c>
      <c r="G30" s="708" t="s">
        <v>788</v>
      </c>
      <c r="H30"/>
      <c r="I30" s="729" t="s">
        <v>552</v>
      </c>
      <c r="J30" s="729" t="s">
        <v>556</v>
      </c>
      <c r="K30" s="729" t="s">
        <v>557</v>
      </c>
      <c r="L30" s="729" t="s">
        <v>595</v>
      </c>
      <c r="M30" s="729" t="s">
        <v>596</v>
      </c>
      <c r="N30" s="729" t="s">
        <v>597</v>
      </c>
      <c r="O30" s="729" t="s">
        <v>598</v>
      </c>
      <c r="P30" s="729" t="s">
        <v>599</v>
      </c>
      <c r="Q30" s="729" t="s">
        <v>600</v>
      </c>
      <c r="R30" s="729" t="s">
        <v>561</v>
      </c>
      <c r="S30" s="729" t="s">
        <v>562</v>
      </c>
      <c r="T30" s="729" t="s">
        <v>563</v>
      </c>
      <c r="U30"/>
      <c r="V30" s="709" t="s">
        <v>553</v>
      </c>
      <c r="W30" s="720" t="s">
        <v>558</v>
      </c>
      <c r="X30" s="720" t="s">
        <v>559</v>
      </c>
      <c r="Y30" s="720" t="s">
        <v>554</v>
      </c>
      <c r="Z30" s="720" t="s">
        <v>555</v>
      </c>
      <c r="AA30" s="720" t="s">
        <v>560</v>
      </c>
      <c r="AB30" s="720" t="s">
        <v>561</v>
      </c>
      <c r="AC30" s="720" t="s">
        <v>562</v>
      </c>
      <c r="AD30" s="720" t="s">
        <v>563</v>
      </c>
      <c r="AE30" s="711"/>
      <c r="AF30" s="729" t="str">
        <f ca="1">AF$2&amp;" "&amp;AF$1</f>
        <v>3 YTD 2021</v>
      </c>
      <c r="AG30" s="730" t="str">
        <f ca="1">AG$2&amp;" "&amp;AG$1</f>
        <v>3 YTD 2022</v>
      </c>
      <c r="AH30" s="694" t="str">
        <f ca="1">AH$2&amp;" "&amp;AH$1</f>
        <v>3 YTD 2021</v>
      </c>
      <c r="AI30"/>
      <c r="AJ30" s="661" t="str">
        <f>AJ$2&amp;" "&amp;AJ$1</f>
        <v>12 YTD 2020</v>
      </c>
      <c r="AK30" s="730" t="str">
        <f>AK$2&amp;" "&amp;AK$1</f>
        <v>12 YTD 2022</v>
      </c>
    </row>
    <row r="31" spans="1:37" s="357" customFormat="1" x14ac:dyDescent="0.3">
      <c r="B31" s="727"/>
      <c r="C31" s="663"/>
      <c r="D31"/>
      <c r="E31" s="707" t="s">
        <v>245</v>
      </c>
      <c r="F31" s="729" t="s">
        <v>245</v>
      </c>
      <c r="G31" s="708" t="s">
        <v>115</v>
      </c>
      <c r="H31"/>
      <c r="I31" s="729" t="s">
        <v>245</v>
      </c>
      <c r="J31" s="729" t="s">
        <v>245</v>
      </c>
      <c r="K31" s="729" t="s">
        <v>245</v>
      </c>
      <c r="L31" s="729" t="s">
        <v>245</v>
      </c>
      <c r="M31" s="729" t="s">
        <v>245</v>
      </c>
      <c r="N31" s="729" t="s">
        <v>245</v>
      </c>
      <c r="O31" s="729" t="s">
        <v>245</v>
      </c>
      <c r="P31" s="729" t="s">
        <v>245</v>
      </c>
      <c r="Q31" s="729" t="s">
        <v>245</v>
      </c>
      <c r="R31" s="729" t="s">
        <v>245</v>
      </c>
      <c r="S31" s="729" t="s">
        <v>245</v>
      </c>
      <c r="T31" s="729" t="s">
        <v>245</v>
      </c>
      <c r="U31"/>
      <c r="V31" s="709" t="s">
        <v>564</v>
      </c>
      <c r="W31" s="720" t="s">
        <v>564</v>
      </c>
      <c r="X31" s="720" t="s">
        <v>564</v>
      </c>
      <c r="Y31" s="720" t="s">
        <v>564</v>
      </c>
      <c r="Z31" s="720" t="s">
        <v>564</v>
      </c>
      <c r="AA31" s="720" t="s">
        <v>564</v>
      </c>
      <c r="AB31" s="720" t="s">
        <v>564</v>
      </c>
      <c r="AC31" s="720" t="s">
        <v>564</v>
      </c>
      <c r="AD31" s="720" t="s">
        <v>564</v>
      </c>
      <c r="AE31" s="711"/>
      <c r="AF31" s="729" t="s">
        <v>654</v>
      </c>
      <c r="AG31" s="730" t="s">
        <v>655</v>
      </c>
      <c r="AH31" s="695" t="s">
        <v>652</v>
      </c>
      <c r="AI31"/>
      <c r="AJ31" s="661" t="s">
        <v>654</v>
      </c>
      <c r="AK31" s="730" t="s">
        <v>655</v>
      </c>
    </row>
    <row r="32" spans="1:37" s="686" customFormat="1" x14ac:dyDescent="0.3">
      <c r="B32" s="854" t="s">
        <v>787</v>
      </c>
      <c r="C32" s="687"/>
      <c r="D32" s="437"/>
      <c r="E32" s="698"/>
      <c r="F32" s="698"/>
      <c r="G32" s="699"/>
      <c r="H32" s="437"/>
      <c r="I32" s="699"/>
      <c r="J32" s="699"/>
      <c r="K32" s="699"/>
      <c r="L32" s="699"/>
      <c r="M32" s="699"/>
      <c r="N32" s="698"/>
      <c r="O32" s="698"/>
      <c r="P32" s="698"/>
      <c r="Q32" s="698"/>
      <c r="R32" s="698"/>
      <c r="S32" s="698"/>
      <c r="T32" s="698"/>
      <c r="U32" s="437"/>
      <c r="V32" s="700"/>
      <c r="W32" s="698"/>
      <c r="X32" s="698"/>
      <c r="Y32" s="698"/>
      <c r="Z32" s="698"/>
      <c r="AA32" s="698"/>
      <c r="AB32" s="698"/>
      <c r="AC32" s="698"/>
      <c r="AD32" s="688"/>
      <c r="AE32" s="688"/>
      <c r="AF32" s="689"/>
      <c r="AG32" s="690"/>
      <c r="AI32" s="437"/>
      <c r="AJ32" s="689"/>
      <c r="AK32" s="691"/>
    </row>
    <row r="33" spans="1:37" x14ac:dyDescent="0.3">
      <c r="A33" s="55" t="s">
        <v>171</v>
      </c>
      <c r="B33" s="725" t="s">
        <v>779</v>
      </c>
      <c r="C33" s="850" t="s">
        <v>653</v>
      </c>
      <c r="D33" s="437"/>
      <c r="E33" s="697">
        <f>$AJ33/E$3</f>
        <v>57441.666666666664</v>
      </c>
      <c r="F33" s="697">
        <f ca="1">IFERROR(1/F$3,1)*SUMIFS(Data!$AD$3:$AD$305,Data!$Y$3:$Y$305,F$1,Data!$Z$3:$Z$305,IF(RIGHT(F$2,3)="YTD","&lt;="&amp;LEFT(F$2,2)*1,F$2),Data!$K$3:$K$305,$B33)</f>
        <v>0</v>
      </c>
      <c r="G33" s="697">
        <f>AK33/12</f>
        <v>0</v>
      </c>
      <c r="H33" s="719"/>
      <c r="I33" s="710">
        <f>IFERROR(1/I$3,1)*SUMIFS(tbl_DCFC[F Montant HT],tbl_DCFC[Revenue_Year],I$1,tbl_DCFC[Revenue_Month],IF(RIGHT(I$2,3)="YTD","&lt;="&amp;LEFT(I$2,2)*1,I$2),tbl_DCFC[BU_Key],$A33)</f>
        <v>0</v>
      </c>
      <c r="J33" s="710">
        <f>IFERROR(1/J$3,1)*SUMIFS(tbl_DCFC[F Montant HT],tbl_DCFC[Revenue_Year],J$1,tbl_DCFC[Revenue_Month],IF(RIGHT(J$2,3)="YTD","&lt;="&amp;LEFT(J$2,2)*1,J$2),tbl_DCFC[BU_Key],$A33)</f>
        <v>0</v>
      </c>
      <c r="K33" s="710">
        <f>IFERROR(1/K$3,1)*SUMIFS(tbl_DCFC[F Montant HT],tbl_DCFC[Revenue_Year],K$1,tbl_DCFC[Revenue_Month],IF(RIGHT(K$2,3)="YTD","&lt;="&amp;LEFT(K$2,2)*1,K$2),tbl_DCFC[BU_Key],$A33)</f>
        <v>0</v>
      </c>
      <c r="L33" s="710">
        <f>IFERROR(1/L$3,1)*SUMIFS(tbl_DCFC[F Montant HT],tbl_DCFC[Revenue_Year],L$1,tbl_DCFC[Revenue_Month],IF(RIGHT(L$2,3)="YTD","&lt;="&amp;LEFT(L$2,2)*1,L$2),tbl_DCFC[BU_Key],$A33)</f>
        <v>0</v>
      </c>
      <c r="M33" s="710">
        <f>IFERROR(1/M$3,1)*SUMIFS(tbl_DCFC[F Montant HT],tbl_DCFC[Revenue_Year],M$1,tbl_DCFC[Revenue_Month],IF(RIGHT(M$2,3)="YTD","&lt;="&amp;LEFT(M$2,2)*1,M$2),tbl_DCFC[BU_Key],$A33)</f>
        <v>0</v>
      </c>
      <c r="N33" s="710">
        <f>IFERROR(1/N$3,1)*SUMIFS(tbl_DCFC[F Montant HT],tbl_DCFC[Revenue_Year],N$1,tbl_DCFC[Revenue_Month],IF(RIGHT(N$2,3)="YTD","&lt;="&amp;LEFT(N$2,2)*1,N$2),tbl_DCFC[BU_Key],$A33)</f>
        <v>0</v>
      </c>
      <c r="O33" s="710">
        <f>IFERROR(1/O$3,1)*SUMIFS(tbl_DCFC[F Montant HT],tbl_DCFC[Revenue_Year],O$1,tbl_DCFC[Revenue_Month],IF(RIGHT(O$2,3)="YTD","&lt;="&amp;LEFT(O$2,2)*1,O$2),tbl_DCFC[BU_Key],$A33)</f>
        <v>0</v>
      </c>
      <c r="P33" s="710">
        <f>IFERROR(1/P$3,1)*SUMIFS(tbl_DCFC[F Montant HT],tbl_DCFC[Revenue_Year],P$1,tbl_DCFC[Revenue_Month],IF(RIGHT(P$2,3)="YTD","&lt;="&amp;LEFT(P$2,2)*1,P$2),tbl_DCFC[BU_Key],$A33)</f>
        <v>0</v>
      </c>
      <c r="Q33" s="710">
        <f>IFERROR(1/Q$3,1)*SUMIFS(tbl_DCFC[F Montant HT],tbl_DCFC[Revenue_Year],Q$1,tbl_DCFC[Revenue_Month],IF(RIGHT(Q$2,3)="YTD","&lt;="&amp;LEFT(Q$2,2)*1,Q$2),tbl_DCFC[BU_Key],$A33)</f>
        <v>0</v>
      </c>
      <c r="R33" s="710">
        <f>IFERROR(1/R$3,1)*SUMIFS(tbl_DCFC[F Montant HT],tbl_DCFC[Revenue_Year],R$1,tbl_DCFC[Revenue_Month],IF(RIGHT(R$2,3)="YTD","&lt;="&amp;LEFT(R$2,2)*1,R$2),tbl_DCFC[BU_Key],$A33)</f>
        <v>0</v>
      </c>
      <c r="S33" s="710">
        <f>IFERROR(1/S$3,1)*SUMIFS(tbl_DCFC[F Montant HT],tbl_DCFC[Revenue_Year],S$1,tbl_DCFC[Revenue_Month],IF(RIGHT(S$2,3)="YTD","&lt;="&amp;LEFT(S$2,2)*1,S$2),tbl_DCFC[BU_Key],$A33)</f>
        <v>0</v>
      </c>
      <c r="T33" s="710">
        <f>IFERROR(1/T$3,1)*SUMIFS(tbl_DCFC[F Montant HT],tbl_DCFC[Revenue_Year],T$1,tbl_DCFC[Revenue_Month],IF(RIGHT(T$2,3)="YTD","&lt;="&amp;LEFT(T$2,2)*1,T$2),tbl_DCFC[BU_Key],$A33)</f>
        <v>0</v>
      </c>
      <c r="U33" s="437"/>
      <c r="V33" s="697">
        <f>G33</f>
        <v>0</v>
      </c>
      <c r="W33" s="697">
        <f>$G33</f>
        <v>0</v>
      </c>
      <c r="X33" s="697">
        <f t="shared" ref="X33:AD33" si="26">$G33</f>
        <v>0</v>
      </c>
      <c r="Y33" s="697">
        <f t="shared" si="26"/>
        <v>0</v>
      </c>
      <c r="Z33" s="697">
        <f t="shared" si="26"/>
        <v>0</v>
      </c>
      <c r="AA33" s="697">
        <f t="shared" si="26"/>
        <v>0</v>
      </c>
      <c r="AB33" s="697">
        <f t="shared" si="26"/>
        <v>0</v>
      </c>
      <c r="AC33" s="697">
        <f t="shared" si="26"/>
        <v>0</v>
      </c>
      <c r="AD33" s="697">
        <f t="shared" si="26"/>
        <v>0</v>
      </c>
      <c r="AE33" s="697"/>
      <c r="AF33" s="710">
        <f ca="1">IFERROR(1/AF$3,1)*SUMIFS(tbl_DCFC[F Montant HT],tbl_DCFC[Revenue_Year],AF$1,tbl_DCFC[Revenue_Month],IF(RIGHT(AF$2,3)="YTD","&lt;="&amp;LEFT(AF$2,2)*1,AF$2),tbl_DCFC[BU_Key],$A33)</f>
        <v>0</v>
      </c>
      <c r="AG33" s="697">
        <f t="shared" ref="AG33" ca="1" si="27">AK33/12*$C$5</f>
        <v>0</v>
      </c>
      <c r="AH33" s="716">
        <f t="shared" ref="AH33" ca="1" si="28">AF33-AG33</f>
        <v>0</v>
      </c>
      <c r="AI33" s="437"/>
      <c r="AJ33" s="697">
        <v>689300</v>
      </c>
      <c r="AK33" s="697">
        <v>0</v>
      </c>
    </row>
    <row r="34" spans="1:37" x14ac:dyDescent="0.3">
      <c r="A34" s="437" t="s">
        <v>777</v>
      </c>
      <c r="B34" s="725" t="s">
        <v>780</v>
      </c>
      <c r="C34" s="850" t="s">
        <v>653</v>
      </c>
      <c r="D34" s="437"/>
      <c r="E34" s="697">
        <f t="shared" ref="E34:E36" si="29">$AJ34/E$3</f>
        <v>0</v>
      </c>
      <c r="F34" s="697">
        <f ca="1">IFERROR(1/F$3,1)*SUMIFS(Data!$S$3:$S$305,Data!$O$3:$O$305,F$1,Data!$P$3:$P$305,IF(RIGHT(F$2,3)="YTD","&lt;="&amp;LEFT(F$2,2)*1,F$2),Data!$K$3:$K$305,$B34)</f>
        <v>0</v>
      </c>
      <c r="G34" s="697">
        <f t="shared" ref="G34" si="30">AK34/12</f>
        <v>0</v>
      </c>
      <c r="H34" s="437"/>
      <c r="I34" s="697">
        <f>IFERROR(1/I$3,1)*SUMIFS(tbl_DCFC[F Montant HT],tbl_DCFC[Revenue_Year],I$1,tbl_DCFC[Revenue_Month],IF(RIGHT(I$2,3)="YTD","&lt;="&amp;LEFT(I$2,2)*1,I$2),tbl_DCFC[BU_Key],$A34)</f>
        <v>0</v>
      </c>
      <c r="J34" s="697">
        <f>IFERROR(1/J$3,1)*SUMIFS(tbl_DCFC[F Montant HT],tbl_DCFC[Revenue_Year],J$1,tbl_DCFC[Revenue_Month],IF(RIGHT(J$2,3)="YTD","&lt;="&amp;LEFT(J$2,2)*1,J$2),tbl_DCFC[BU_Key],$A34)</f>
        <v>0</v>
      </c>
      <c r="K34" s="697">
        <f>IFERROR(1/K$3,1)*SUMIFS(tbl_DCFC[F Montant HT],tbl_DCFC[Revenue_Year],K$1,tbl_DCFC[Revenue_Month],IF(RIGHT(K$2,3)="YTD","&lt;="&amp;LEFT(K$2,2)*1,K$2),tbl_DCFC[BU_Key],$A34)</f>
        <v>0</v>
      </c>
      <c r="L34" s="697">
        <f>IFERROR(1/L$3,1)*SUMIFS(tbl_DCFC[F Montant HT],tbl_DCFC[Revenue_Year],L$1,tbl_DCFC[Revenue_Month],IF(RIGHT(L$2,3)="YTD","&lt;="&amp;LEFT(L$2,2)*1,L$2),tbl_DCFC[BU_Key],$A34)</f>
        <v>0</v>
      </c>
      <c r="M34" s="697">
        <f>IFERROR(1/M$3,1)*SUMIFS(tbl_DCFC[F Montant HT],tbl_DCFC[Revenue_Year],M$1,tbl_DCFC[Revenue_Month],IF(RIGHT(M$2,3)="YTD","&lt;="&amp;LEFT(M$2,2)*1,M$2),tbl_DCFC[BU_Key],$A34)</f>
        <v>0</v>
      </c>
      <c r="N34" s="697">
        <f>IFERROR(1/N$3,1)*SUMIFS(tbl_DCFC[F Montant HT],tbl_DCFC[Revenue_Year],N$1,tbl_DCFC[Revenue_Month],IF(RIGHT(N$2,3)="YTD","&lt;="&amp;LEFT(N$2,2)*1,N$2),tbl_DCFC[BU_Key],$A34)</f>
        <v>0</v>
      </c>
      <c r="O34" s="697">
        <f>IFERROR(1/O$3,1)*SUMIFS(tbl_DCFC[F Montant HT],tbl_DCFC[Revenue_Year],O$1,tbl_DCFC[Revenue_Month],IF(RIGHT(O$2,3)="YTD","&lt;="&amp;LEFT(O$2,2)*1,O$2),tbl_DCFC[BU_Key],$A34)</f>
        <v>0</v>
      </c>
      <c r="P34" s="697">
        <f>IFERROR(1/P$3,1)*SUMIFS(tbl_DCFC[F Montant HT],tbl_DCFC[Revenue_Year],P$1,tbl_DCFC[Revenue_Month],IF(RIGHT(P$2,3)="YTD","&lt;="&amp;LEFT(P$2,2)*1,P$2),tbl_DCFC[BU_Key],$A34)</f>
        <v>0</v>
      </c>
      <c r="Q34" s="697">
        <f>IFERROR(1/Q$3,1)*SUMIFS(tbl_DCFC[F Montant HT],tbl_DCFC[Revenue_Year],Q$1,tbl_DCFC[Revenue_Month],IF(RIGHT(Q$2,3)="YTD","&lt;="&amp;LEFT(Q$2,2)*1,Q$2),tbl_DCFC[BU_Key],$A34)</f>
        <v>0</v>
      </c>
      <c r="R34" s="697">
        <f>IFERROR(1/R$3,1)*SUMIFS(tbl_DCFC[F Montant HT],tbl_DCFC[Revenue_Year],R$1,tbl_DCFC[Revenue_Month],IF(RIGHT(R$2,3)="YTD","&lt;="&amp;LEFT(R$2,2)*1,R$2),tbl_DCFC[BU_Key],$A34)</f>
        <v>0</v>
      </c>
      <c r="S34" s="697">
        <f>IFERROR(1/S$3,1)*SUMIFS(tbl_DCFC[F Montant HT],tbl_DCFC[Revenue_Year],S$1,tbl_DCFC[Revenue_Month],IF(RIGHT(S$2,3)="YTD","&lt;="&amp;LEFT(S$2,2)*1,S$2),tbl_DCFC[BU_Key],$A34)</f>
        <v>0</v>
      </c>
      <c r="T34" s="697">
        <f>IFERROR(1/T$3,1)*SUMIFS(tbl_DCFC[F Montant HT],tbl_DCFC[Revenue_Year],T$1,tbl_DCFC[Revenue_Month],IF(RIGHT(T$2,3)="YTD","&lt;="&amp;LEFT(T$2,2)*1,T$2),tbl_DCFC[BU_Key],$A34)</f>
        <v>0</v>
      </c>
      <c r="U34" s="437"/>
      <c r="V34" s="697">
        <f t="shared" ref="V34" si="31">G34</f>
        <v>0</v>
      </c>
      <c r="W34" s="697">
        <f t="shared" ref="W34:AD36" si="32">$G34</f>
        <v>0</v>
      </c>
      <c r="X34" s="697">
        <f t="shared" si="32"/>
        <v>0</v>
      </c>
      <c r="Y34" s="697">
        <f t="shared" si="32"/>
        <v>0</v>
      </c>
      <c r="Z34" s="697">
        <f t="shared" si="32"/>
        <v>0</v>
      </c>
      <c r="AA34" s="697">
        <f t="shared" si="32"/>
        <v>0</v>
      </c>
      <c r="AB34" s="697">
        <f t="shared" si="32"/>
        <v>0</v>
      </c>
      <c r="AC34" s="697">
        <f t="shared" si="32"/>
        <v>0</v>
      </c>
      <c r="AD34" s="697">
        <f t="shared" si="32"/>
        <v>0</v>
      </c>
      <c r="AE34" s="697"/>
      <c r="AF34" s="697">
        <f ca="1">IFERROR(1/AF$3,1)*SUMIFS(tbl_DCFC[F Montant HT],tbl_DCFC[Revenue_Year],AF$1,tbl_DCFC[Revenue_Month],IF(RIGHT(AF$2,3)="YTD","&lt;="&amp;LEFT(AF$2,2)*1,AF$2),tbl_DCFC[BU_Key],$A34)</f>
        <v>0</v>
      </c>
      <c r="AG34" s="697">
        <f t="shared" ref="AG34:AG36" ca="1" si="33">AK34/12*LEFT(AG$2,2)*1</f>
        <v>0</v>
      </c>
      <c r="AH34" s="716">
        <f t="shared" ref="AH34:AH36" ca="1" si="34">AF34-AG34</f>
        <v>0</v>
      </c>
      <c r="AI34" s="437"/>
      <c r="AJ34" s="697"/>
      <c r="AK34" s="697">
        <v>0</v>
      </c>
    </row>
    <row r="35" spans="1:37" x14ac:dyDescent="0.3">
      <c r="A35" s="55" t="s">
        <v>778</v>
      </c>
      <c r="B35" s="725" t="s">
        <v>781</v>
      </c>
      <c r="C35" s="850" t="s">
        <v>653</v>
      </c>
      <c r="D35" s="437"/>
      <c r="E35" s="697">
        <f t="shared" si="29"/>
        <v>0</v>
      </c>
      <c r="F35" s="697">
        <f ca="1">IFERROR(1/F$3,1)*SUMIFS(Data!$S$3:$S$305,Data!$O$3:$O$305,F$1,Data!$P$3:$P$305,IF(RIGHT(F$2,3)="YTD","&lt;="&amp;LEFT(F$2,2)*1,F$2),Data!$K$3:$K$305,$B35)</f>
        <v>0</v>
      </c>
      <c r="G35" s="697">
        <f>AK35/12</f>
        <v>58333.333333333336</v>
      </c>
      <c r="H35" s="437"/>
      <c r="I35" s="697">
        <f>IFERROR(1/I$3,1)*SUMIFS(tbl_DCFC[F Montant HT],tbl_DCFC[Revenue_Year],I$1,tbl_DCFC[Revenue_Month],IF(RIGHT(I$2,3)="YTD","&lt;="&amp;LEFT(I$2,2)*1,I$2),tbl_DCFC[BU_Key],$A35)</f>
        <v>0</v>
      </c>
      <c r="J35" s="697">
        <f>IFERROR(1/J$3,1)*SUMIFS(tbl_DCFC[F Montant HT],tbl_DCFC[Revenue_Year],J$1,tbl_DCFC[Revenue_Month],IF(RIGHT(J$2,3)="YTD","&lt;="&amp;LEFT(J$2,2)*1,J$2),tbl_DCFC[BU_Key],$A35)</f>
        <v>0</v>
      </c>
      <c r="K35" s="697">
        <f>IFERROR(1/K$3,1)*SUMIFS(tbl_DCFC[F Montant HT],tbl_DCFC[Revenue_Year],K$1,tbl_DCFC[Revenue_Month],IF(RIGHT(K$2,3)="YTD","&lt;="&amp;LEFT(K$2,2)*1,K$2),tbl_DCFC[BU_Key],$A35)</f>
        <v>0</v>
      </c>
      <c r="L35" s="697">
        <f>IFERROR(1/L$3,1)*SUMIFS(tbl_DCFC[F Montant HT],tbl_DCFC[Revenue_Year],L$1,tbl_DCFC[Revenue_Month],IF(RIGHT(L$2,3)="YTD","&lt;="&amp;LEFT(L$2,2)*1,L$2),tbl_DCFC[BU_Key],$A35)</f>
        <v>0</v>
      </c>
      <c r="M35" s="697">
        <f>IFERROR(1/M$3,1)*SUMIFS(tbl_DCFC[F Montant HT],tbl_DCFC[Revenue_Year],M$1,tbl_DCFC[Revenue_Month],IF(RIGHT(M$2,3)="YTD","&lt;="&amp;LEFT(M$2,2)*1,M$2),tbl_DCFC[BU_Key],$A35)</f>
        <v>0</v>
      </c>
      <c r="N35" s="697">
        <f>IFERROR(1/N$3,1)*SUMIFS(tbl_DCFC[F Montant HT],tbl_DCFC[Revenue_Year],N$1,tbl_DCFC[Revenue_Month],IF(RIGHT(N$2,3)="YTD","&lt;="&amp;LEFT(N$2,2)*1,N$2),tbl_DCFC[BU_Key],$A35)</f>
        <v>0</v>
      </c>
      <c r="O35" s="697">
        <f>IFERROR(1/O$3,1)*SUMIFS(tbl_DCFC[F Montant HT],tbl_DCFC[Revenue_Year],O$1,tbl_DCFC[Revenue_Month],IF(RIGHT(O$2,3)="YTD","&lt;="&amp;LEFT(O$2,2)*1,O$2),tbl_DCFC[BU_Key],$A35)</f>
        <v>0</v>
      </c>
      <c r="P35" s="697">
        <f>IFERROR(1/P$3,1)*SUMIFS(tbl_DCFC[F Montant HT],tbl_DCFC[Revenue_Year],P$1,tbl_DCFC[Revenue_Month],IF(RIGHT(P$2,3)="YTD","&lt;="&amp;LEFT(P$2,2)*1,P$2),tbl_DCFC[BU_Key],$A35)</f>
        <v>0</v>
      </c>
      <c r="Q35" s="697">
        <f>IFERROR(1/Q$3,1)*SUMIFS(tbl_DCFC[F Montant HT],tbl_DCFC[Revenue_Year],Q$1,tbl_DCFC[Revenue_Month],IF(RIGHT(Q$2,3)="YTD","&lt;="&amp;LEFT(Q$2,2)*1,Q$2),tbl_DCFC[BU_Key],$A35)</f>
        <v>0</v>
      </c>
      <c r="R35" s="697">
        <f>IFERROR(1/R$3,1)*SUMIFS(tbl_DCFC[F Montant HT],tbl_DCFC[Revenue_Year],R$1,tbl_DCFC[Revenue_Month],IF(RIGHT(R$2,3)="YTD","&lt;="&amp;LEFT(R$2,2)*1,R$2),tbl_DCFC[BU_Key],$A35)</f>
        <v>0</v>
      </c>
      <c r="S35" s="697">
        <f>IFERROR(1/S$3,1)*SUMIFS(tbl_DCFC[F Montant HT],tbl_DCFC[Revenue_Year],S$1,tbl_DCFC[Revenue_Month],IF(RIGHT(S$2,3)="YTD","&lt;="&amp;LEFT(S$2,2)*1,S$2),tbl_DCFC[BU_Key],$A35)</f>
        <v>0</v>
      </c>
      <c r="T35" s="697">
        <f>IFERROR(1/T$3,1)*SUMIFS(tbl_DCFC[F Montant HT],tbl_DCFC[Revenue_Year],T$1,tbl_DCFC[Revenue_Month],IF(RIGHT(T$2,3)="YTD","&lt;="&amp;LEFT(T$2,2)*1,T$2),tbl_DCFC[BU_Key],$A35)</f>
        <v>0</v>
      </c>
      <c r="U35" s="437"/>
      <c r="V35" s="697">
        <f>G35</f>
        <v>58333.333333333336</v>
      </c>
      <c r="W35" s="697">
        <f>$G35</f>
        <v>58333.333333333336</v>
      </c>
      <c r="X35" s="697">
        <f t="shared" ref="X35:AD35" si="35">$G35</f>
        <v>58333.333333333336</v>
      </c>
      <c r="Y35" s="697">
        <f t="shared" si="35"/>
        <v>58333.333333333336</v>
      </c>
      <c r="Z35" s="697">
        <f t="shared" si="35"/>
        <v>58333.333333333336</v>
      </c>
      <c r="AA35" s="697">
        <f t="shared" si="35"/>
        <v>58333.333333333336</v>
      </c>
      <c r="AB35" s="697">
        <f t="shared" si="35"/>
        <v>58333.333333333336</v>
      </c>
      <c r="AC35" s="697">
        <f t="shared" si="35"/>
        <v>58333.333333333336</v>
      </c>
      <c r="AD35" s="697">
        <f t="shared" si="35"/>
        <v>58333.333333333336</v>
      </c>
      <c r="AE35" s="697"/>
      <c r="AF35" s="697">
        <f ca="1">IFERROR(1/AF$3,1)*SUMIFS(tbl_DCFC[F Montant HT],tbl_DCFC[Revenue_Year],AF$1,tbl_DCFC[Revenue_Month],IF(RIGHT(AF$2,3)="YTD","&lt;="&amp;LEFT(AF$2,2)*1,AF$2),tbl_DCFC[BU_Key],$A35)</f>
        <v>0</v>
      </c>
      <c r="AG35" s="697">
        <f t="shared" ca="1" si="33"/>
        <v>175000</v>
      </c>
      <c r="AH35" s="716">
        <f t="shared" ca="1" si="34"/>
        <v>-175000</v>
      </c>
      <c r="AI35" s="437"/>
      <c r="AJ35" s="697"/>
      <c r="AK35" s="697">
        <v>700000</v>
      </c>
    </row>
    <row r="36" spans="1:37" s="686" customFormat="1" x14ac:dyDescent="0.3">
      <c r="A36" s="686" t="s">
        <v>785</v>
      </c>
      <c r="B36" s="725" t="s">
        <v>786</v>
      </c>
      <c r="C36" s="687"/>
      <c r="D36" s="437"/>
      <c r="E36" s="697">
        <f t="shared" si="29"/>
        <v>0</v>
      </c>
      <c r="F36" s="697">
        <f ca="1">IFERROR(1/F$3,1)*SUMIFS(Data!$S$3:$S$305,Data!$O$3:$O$305,F$1,Data!$P$3:$P$305,IF(RIGHT(F$2,3)="YTD","&lt;="&amp;LEFT(F$2,2)*1,F$2),Data!$K$3:$K$305,$B36)</f>
        <v>0</v>
      </c>
      <c r="G36" s="697">
        <f>AK36/12</f>
        <v>0</v>
      </c>
      <c r="H36" s="437"/>
      <c r="I36" s="697">
        <f>IFERROR(1/I$3,1)*SUMIFS(tbl_DCFC[F Montant HT],tbl_DCFC[Revenue_Year],I$1,tbl_DCFC[Revenue_Month],IF(RIGHT(I$2,3)="YTD","&lt;="&amp;LEFT(I$2,2)*1,I$2),tbl_DCFC[BU_Key],$A36)</f>
        <v>0</v>
      </c>
      <c r="J36" s="697">
        <f>IFERROR(1/J$3,1)*SUMIFS(tbl_DCFC[F Montant HT],tbl_DCFC[Revenue_Year],J$1,tbl_DCFC[Revenue_Month],IF(RIGHT(J$2,3)="YTD","&lt;="&amp;LEFT(J$2,2)*1,J$2),tbl_DCFC[BU_Key],$A36)</f>
        <v>0</v>
      </c>
      <c r="K36" s="697">
        <f>IFERROR(1/K$3,1)*SUMIFS(tbl_DCFC[F Montant HT],tbl_DCFC[Revenue_Year],K$1,tbl_DCFC[Revenue_Month],IF(RIGHT(K$2,3)="YTD","&lt;="&amp;LEFT(K$2,2)*1,K$2),tbl_DCFC[BU_Key],$A36)</f>
        <v>0</v>
      </c>
      <c r="L36" s="697">
        <f>IFERROR(1/L$3,1)*SUMIFS(tbl_DCFC[F Montant HT],tbl_DCFC[Revenue_Year],L$1,tbl_DCFC[Revenue_Month],IF(RIGHT(L$2,3)="YTD","&lt;="&amp;LEFT(L$2,2)*1,L$2),tbl_DCFC[BU_Key],$A36)</f>
        <v>0</v>
      </c>
      <c r="M36" s="697">
        <f>IFERROR(1/M$3,1)*SUMIFS(tbl_DCFC[F Montant HT],tbl_DCFC[Revenue_Year],M$1,tbl_DCFC[Revenue_Month],IF(RIGHT(M$2,3)="YTD","&lt;="&amp;LEFT(M$2,2)*1,M$2),tbl_DCFC[BU_Key],$A36)</f>
        <v>0</v>
      </c>
      <c r="N36" s="697">
        <f>IFERROR(1/N$3,1)*SUMIFS(tbl_DCFC[F Montant HT],tbl_DCFC[Revenue_Year],N$1,tbl_DCFC[Revenue_Month],IF(RIGHT(N$2,3)="YTD","&lt;="&amp;LEFT(N$2,2)*1,N$2),tbl_DCFC[BU_Key],$A36)</f>
        <v>0</v>
      </c>
      <c r="O36" s="697">
        <f>IFERROR(1/O$3,1)*SUMIFS(tbl_DCFC[F Montant HT],tbl_DCFC[Revenue_Year],O$1,tbl_DCFC[Revenue_Month],IF(RIGHT(O$2,3)="YTD","&lt;="&amp;LEFT(O$2,2)*1,O$2),tbl_DCFC[BU_Key],$A36)</f>
        <v>0</v>
      </c>
      <c r="P36" s="697">
        <f>IFERROR(1/P$3,1)*SUMIFS(tbl_DCFC[F Montant HT],tbl_DCFC[Revenue_Year],P$1,tbl_DCFC[Revenue_Month],IF(RIGHT(P$2,3)="YTD","&lt;="&amp;LEFT(P$2,2)*1,P$2),tbl_DCFC[BU_Key],$A36)</f>
        <v>0</v>
      </c>
      <c r="Q36" s="697">
        <f>IFERROR(1/Q$3,1)*SUMIFS(tbl_DCFC[F Montant HT],tbl_DCFC[Revenue_Year],Q$1,tbl_DCFC[Revenue_Month],IF(RIGHT(Q$2,3)="YTD","&lt;="&amp;LEFT(Q$2,2)*1,Q$2),tbl_DCFC[BU_Key],$A36)</f>
        <v>0</v>
      </c>
      <c r="R36" s="697">
        <f>IFERROR(1/R$3,1)*SUMIFS(tbl_DCFC[F Montant HT],tbl_DCFC[Revenue_Year],R$1,tbl_DCFC[Revenue_Month],IF(RIGHT(R$2,3)="YTD","&lt;="&amp;LEFT(R$2,2)*1,R$2),tbl_DCFC[BU_Key],$A36)</f>
        <v>0</v>
      </c>
      <c r="S36" s="710">
        <f>IFERROR(1/S$3,1)*SUMIFS(tbl_DCFC[F Montant HT],tbl_DCFC[Revenue_Year],S$1,tbl_DCFC[Revenue_Month],IF(RIGHT(S$2,3)="YTD","&lt;="&amp;LEFT(S$2,2)*1,S$2),tbl_DCFC[BU_Key],$A36)</f>
        <v>0</v>
      </c>
      <c r="T36" s="710">
        <f>IFERROR(1/T$3,1)*SUMIFS(tbl_DCFC[F Montant HT],tbl_DCFC[Revenue_Year],T$1,tbl_DCFC[Revenue_Month],IF(RIGHT(T$2,3)="YTD","&lt;="&amp;LEFT(T$2,2)*1,T$2),tbl_DCFC[BU_Key],$A36)</f>
        <v>0</v>
      </c>
      <c r="U36" s="437"/>
      <c r="V36" s="697">
        <f t="shared" ref="V36" si="36">G36</f>
        <v>0</v>
      </c>
      <c r="W36" s="697">
        <f t="shared" si="32"/>
        <v>0</v>
      </c>
      <c r="X36" s="697">
        <f t="shared" si="32"/>
        <v>0</v>
      </c>
      <c r="Y36" s="697">
        <f t="shared" si="32"/>
        <v>0</v>
      </c>
      <c r="Z36" s="697">
        <f t="shared" si="32"/>
        <v>0</v>
      </c>
      <c r="AA36" s="697">
        <f t="shared" si="32"/>
        <v>0</v>
      </c>
      <c r="AB36" s="697">
        <f t="shared" si="32"/>
        <v>0</v>
      </c>
      <c r="AC36" s="697">
        <f t="shared" si="32"/>
        <v>0</v>
      </c>
      <c r="AD36" s="697">
        <f t="shared" si="32"/>
        <v>0</v>
      </c>
      <c r="AE36" s="697"/>
      <c r="AF36" s="710">
        <f ca="1">IFERROR(1/AF$3,1)*SUMIFS(tbl_DCFC[F Montant HT],tbl_DCFC[Revenue_Year],AF$1,tbl_DCFC[Revenue_Month],IF(RIGHT(AF$2,3)="YTD","&lt;="&amp;LEFT(AF$2,2)*1,AF$2),tbl_DCFC[BU_Key],$A36)</f>
        <v>0</v>
      </c>
      <c r="AG36" s="697">
        <f t="shared" ca="1" si="33"/>
        <v>0</v>
      </c>
      <c r="AH36" s="716">
        <f t="shared" ca="1" si="34"/>
        <v>0</v>
      </c>
      <c r="AI36" s="437"/>
      <c r="AJ36" s="697"/>
      <c r="AK36" s="711">
        <v>0</v>
      </c>
    </row>
    <row r="37" spans="1:37" s="686" customFormat="1" x14ac:dyDescent="0.3">
      <c r="B37" s="731"/>
      <c r="C37" s="687"/>
      <c r="D37" s="437"/>
      <c r="E37" s="698"/>
      <c r="F37" s="698"/>
      <c r="G37" s="699"/>
      <c r="H37" s="437"/>
      <c r="I37" s="699"/>
      <c r="J37" s="699"/>
      <c r="K37" s="699"/>
      <c r="L37" s="699"/>
      <c r="M37" s="699"/>
      <c r="N37" s="698"/>
      <c r="O37" s="698"/>
      <c r="P37" s="698"/>
      <c r="Q37" s="698"/>
      <c r="R37" s="698"/>
      <c r="S37" s="698"/>
      <c r="T37" s="698"/>
      <c r="U37" s="437"/>
      <c r="V37" s="700"/>
      <c r="W37" s="698"/>
      <c r="X37" s="698"/>
      <c r="Y37" s="698"/>
      <c r="Z37" s="698"/>
      <c r="AA37" s="698"/>
      <c r="AB37" s="698"/>
      <c r="AC37" s="698"/>
      <c r="AD37" s="688"/>
      <c r="AE37" s="688"/>
      <c r="AF37" s="689"/>
      <c r="AG37" s="690"/>
      <c r="AI37" s="437"/>
      <c r="AJ37" s="689"/>
      <c r="AK37" s="691"/>
    </row>
    <row r="38" spans="1:37" s="685" customFormat="1" hidden="1" outlineLevel="1" x14ac:dyDescent="0.3">
      <c r="B38" s="731" t="s">
        <v>139</v>
      </c>
      <c r="C38" s="666"/>
      <c r="D38"/>
      <c r="E38" s="701"/>
      <c r="F38" s="701"/>
      <c r="G38" s="701"/>
      <c r="H38"/>
      <c r="I38" s="701"/>
      <c r="J38" s="701"/>
      <c r="K38" s="701"/>
      <c r="L38" s="701"/>
      <c r="M38" s="701"/>
      <c r="N38" s="701"/>
      <c r="O38" s="701"/>
      <c r="P38" s="701"/>
      <c r="Q38" s="701"/>
      <c r="R38" s="701"/>
      <c r="S38" s="701"/>
      <c r="T38" s="701"/>
      <c r="U38"/>
      <c r="V38" s="701"/>
      <c r="W38" s="711"/>
      <c r="X38" s="711"/>
      <c r="Y38" s="711"/>
      <c r="Z38" s="711"/>
      <c r="AA38" s="711"/>
      <c r="AB38" s="711"/>
      <c r="AC38" s="711"/>
      <c r="AD38" s="711"/>
      <c r="AE38" s="711"/>
      <c r="AF38" s="711"/>
      <c r="AG38" s="711"/>
      <c r="AH38" s="715"/>
      <c r="AI38"/>
      <c r="AJ38" s="711"/>
      <c r="AK38" s="711"/>
    </row>
    <row r="39" spans="1:37" hidden="1" outlineLevel="1" x14ac:dyDescent="0.3">
      <c r="A39" s="55" t="s">
        <v>585</v>
      </c>
      <c r="B39" s="723" t="s">
        <v>580</v>
      </c>
      <c r="C39" s="666" t="s">
        <v>653</v>
      </c>
      <c r="E39" s="697">
        <f>$AJ39/E$3</f>
        <v>57441.666666666664</v>
      </c>
      <c r="F39" s="697">
        <f ca="1">IFERROR(1/F$3,1)*SUMIFS(Data!$AD$3:$AD$305,Data!$Y$3:$Y$305,F$1,Data!$Z$3:$Z$305,IF(RIGHT(F$2,3)="YTD","&lt;="&amp;LEFT(F$2,2)*1,F$2),Data!$K$3:$K$305,$B39)</f>
        <v>0</v>
      </c>
      <c r="G39" s="697">
        <f>AK39/12</f>
        <v>30833.333333333332</v>
      </c>
      <c r="H39" s="719"/>
      <c r="I39" s="710">
        <f>IFERROR(1/I$3,1)*SUMIFS(Data!$AD$3:$AD$305,Data!$Y$3:$Y$305,I$1,Data!$Z$3:$Z$305,IF(RIGHT(I$2,3)="YTD","&lt;="&amp;LEFT(I$2,2)*1,I$2),Data!$K$3:$K$305,$B39)</f>
        <v>0</v>
      </c>
      <c r="J39" s="710">
        <f>IFERROR(1/J$3,1)*SUMIFS(Data!$AD$3:$AD$305,Data!$Y$3:$Y$305,J$1,Data!$Z$3:$Z$305,IF(RIGHT(J$2,3)="YTD","&lt;="&amp;LEFT(J$2,2)*1,J$2),Data!$K$3:$K$305,$B39)</f>
        <v>0</v>
      </c>
      <c r="K39" s="710">
        <f>IFERROR(1/K$3,1)*SUMIFS(Data!$AD$3:$AD$305,Data!$Y$3:$Y$305,K$1,Data!$Z$3:$Z$305,IF(RIGHT(K$2,3)="YTD","&lt;="&amp;LEFT(K$2,2)*1,K$2),Data!$K$3:$K$305,$B39)</f>
        <v>0</v>
      </c>
      <c r="L39" s="710">
        <f>IFERROR(1/L$3,1)*SUMIFS(Data!$AD$3:$AD$305,Data!$Y$3:$Y$305,L$1,Data!$Z$3:$Z$305,IF(RIGHT(L$2,3)="YTD","&lt;="&amp;LEFT(L$2,2)*1,L$2),Data!$K$3:$K$305,$B39)</f>
        <v>0</v>
      </c>
      <c r="M39" s="710">
        <f>IFERROR(1/M$3,1)*SUMIFS(Data!$AD$3:$AD$305,Data!$Y$3:$Y$305,M$1,Data!$Z$3:$Z$305,IF(RIGHT(M$2,3)="YTD","&lt;="&amp;LEFT(M$2,2)*1,M$2),Data!$K$3:$K$305,$B39)</f>
        <v>0</v>
      </c>
      <c r="N39" s="710">
        <f>IFERROR(1/N$3,1)*SUMIFS(Data!$AD$3:$AD$305,Data!$Y$3:$Y$305,N$1,Data!$Z$3:$Z$305,IF(RIGHT(N$2,3)="YTD","&lt;="&amp;LEFT(N$2,2)*1,N$2),Data!$K$3:$K$305,$B39)</f>
        <v>0</v>
      </c>
      <c r="O39" s="710">
        <f>IFERROR(1/O$3,1)*SUMIFS(Data!$AD$3:$AD$305,Data!$Y$3:$Y$305,O$1,Data!$Z$3:$Z$305,IF(RIGHT(O$2,3)="YTD","&lt;="&amp;LEFT(O$2,2)*1,O$2),Data!$K$3:$K$305,$B39)</f>
        <v>0</v>
      </c>
      <c r="P39" s="710">
        <f>IFERROR(1/P$3,1)*SUMIFS(Data!$AD$3:$AD$305,Data!$Y$3:$Y$305,P$1,Data!$Z$3:$Z$305,IF(RIGHT(P$2,3)="YTD","&lt;="&amp;LEFT(P$2,2)*1,P$2),Data!$K$3:$K$305,$B39)</f>
        <v>0</v>
      </c>
      <c r="Q39" s="710">
        <f>IFERROR(1/Q$3,1)*SUMIFS(Data!$AD$3:$AD$305,Data!$Y$3:$Y$305,Q$1,Data!$Z$3:$Z$305,IF(RIGHT(Q$2,3)="YTD","&lt;="&amp;LEFT(Q$2,2)*1,Q$2),Data!$K$3:$K$305,$B39)</f>
        <v>0</v>
      </c>
      <c r="R39" s="710">
        <f>IFERROR(1/R$3,1)*SUMIFS(Data!$AD$3:$AD$305,Data!$Y$3:$Y$305,R$1,Data!$Z$3:$Z$305,IF(RIGHT(R$2,3)="YTD","&lt;="&amp;LEFT(R$2,2)*1,R$2),Data!$K$3:$K$305,$B39)</f>
        <v>0</v>
      </c>
      <c r="S39" s="710">
        <f>IFERROR(1/S$3,1)*SUMIFS(Data!$AD$3:$AD$305,Data!$Y$3:$Y$305,S$1,Data!$Z$3:$Z$305,IF(RIGHT(S$2,3)="YTD","&lt;="&amp;LEFT(S$2,2)*1,S$2),Data!$K$3:$K$305,$B39)</f>
        <v>0</v>
      </c>
      <c r="T39" s="710">
        <f>IFERROR(1/T$3,1)*SUMIFS(Data!$AD$3:$AD$305,Data!$Y$3:$Y$305,T$1,Data!$Z$3:$Z$305,IF(RIGHT(T$2,3)="YTD","&lt;="&amp;LEFT(T$2,2)*1,T$2),Data!$K$3:$K$305,$B39)</f>
        <v>0</v>
      </c>
      <c r="V39" s="697">
        <f>G39</f>
        <v>30833.333333333332</v>
      </c>
      <c r="W39" s="697">
        <f>$G39</f>
        <v>30833.333333333332</v>
      </c>
      <c r="X39" s="697">
        <f t="shared" ref="X39:AD39" si="37">$G39</f>
        <v>30833.333333333332</v>
      </c>
      <c r="Y39" s="697">
        <f t="shared" si="37"/>
        <v>30833.333333333332</v>
      </c>
      <c r="Z39" s="697">
        <f t="shared" si="37"/>
        <v>30833.333333333332</v>
      </c>
      <c r="AA39" s="697">
        <f t="shared" si="37"/>
        <v>30833.333333333332</v>
      </c>
      <c r="AB39" s="697">
        <f t="shared" si="37"/>
        <v>30833.333333333332</v>
      </c>
      <c r="AC39" s="697">
        <f t="shared" si="37"/>
        <v>30833.333333333332</v>
      </c>
      <c r="AD39" s="697">
        <f t="shared" si="37"/>
        <v>30833.333333333332</v>
      </c>
      <c r="AE39" s="697"/>
      <c r="AF39" s="697">
        <f ca="1">IFERROR(1/AF$3,1)*SUMIFS(Data!$AD$3:$AD$305,Data!$Y$3:$Y$305,AF$1,Data!$Z$3:$Z$305,IF(RIGHT(AF$2,3)="YTD","&lt;="&amp;LEFT(AF$2,2)*1,AF$2),Data!$K$3:$K$305,$B15)</f>
        <v>0</v>
      </c>
      <c r="AG39" s="697">
        <f t="shared" ref="AG39:AG48" ca="1" si="38">AK39/12*$C$5</f>
        <v>123333.33333333333</v>
      </c>
      <c r="AH39" s="716">
        <f t="shared" ref="AH39:AH48" ca="1" si="39">AF39-AG39</f>
        <v>-123333.33333333333</v>
      </c>
      <c r="AJ39" s="697">
        <v>689300</v>
      </c>
      <c r="AK39" s="711">
        <v>370000</v>
      </c>
    </row>
    <row r="40" spans="1:37" hidden="1" outlineLevel="1" x14ac:dyDescent="0.3">
      <c r="A40" s="437" t="s">
        <v>586</v>
      </c>
      <c r="B40" s="723" t="s">
        <v>582</v>
      </c>
      <c r="C40" s="666" t="s">
        <v>653</v>
      </c>
      <c r="E40" s="697">
        <f t="shared" ref="E40:E50" si="40">$AJ40/E$3</f>
        <v>1674.6666666666667</v>
      </c>
      <c r="F40" s="697">
        <f ca="1">IFERROR(1/F$3,1)*SUMIFS(Data!$AD$3:$AD$305,Data!$Y$3:$Y$305,F$1,Data!$Z$3:$Z$305,IF(RIGHT(F$2,3)="YTD","&lt;="&amp;LEFT(F$2,2)*1,F$2),Data!$K$3:$K$305,$B40)</f>
        <v>0</v>
      </c>
      <c r="G40" s="697">
        <f t="shared" ref="G40:G50" si="41">AK40/12</f>
        <v>0</v>
      </c>
      <c r="H40" s="719"/>
      <c r="I40" s="710">
        <f>IFERROR(1/I$3,1)*SUMIFS(Data!$AD$3:$AD$305,Data!$Y$3:$Y$305,I$1,Data!$Z$3:$Z$305,IF(RIGHT(I$2,3)="YTD","&lt;="&amp;LEFT(I$2,2)*1,I$2),Data!$K$3:$K$305,$B40)</f>
        <v>0</v>
      </c>
      <c r="J40" s="710">
        <f>IFERROR(1/J$3,1)*SUMIFS(Data!$AD$3:$AD$305,Data!$Y$3:$Y$305,J$1,Data!$Z$3:$Z$305,IF(RIGHT(J$2,3)="YTD","&lt;="&amp;LEFT(J$2,2)*1,J$2),Data!$K$3:$K$305,$B40)</f>
        <v>0</v>
      </c>
      <c r="K40" s="710">
        <f>IFERROR(1/K$3,1)*SUMIFS(Data!$AD$3:$AD$305,Data!$Y$3:$Y$305,K$1,Data!$Z$3:$Z$305,IF(RIGHT(K$2,3)="YTD","&lt;="&amp;LEFT(K$2,2)*1,K$2),Data!$K$3:$K$305,$B40)</f>
        <v>0</v>
      </c>
      <c r="L40" s="710">
        <f>IFERROR(1/L$3,1)*SUMIFS(Data!$AD$3:$AD$305,Data!$Y$3:$Y$305,L$1,Data!$Z$3:$Z$305,IF(RIGHT(L$2,3)="YTD","&lt;="&amp;LEFT(L$2,2)*1,L$2),Data!$K$3:$K$305,$B40)</f>
        <v>0</v>
      </c>
      <c r="M40" s="710">
        <f>IFERROR(1/M$3,1)*SUMIFS(Data!$AD$3:$AD$305,Data!$Y$3:$Y$305,M$1,Data!$Z$3:$Z$305,IF(RIGHT(M$2,3)="YTD","&lt;="&amp;LEFT(M$2,2)*1,M$2),Data!$K$3:$K$305,$B40)</f>
        <v>0</v>
      </c>
      <c r="N40" s="710">
        <f>IFERROR(1/N$3,1)*SUMIFS(Data!$AD$3:$AD$305,Data!$Y$3:$Y$305,N$1,Data!$Z$3:$Z$305,IF(RIGHT(N$2,3)="YTD","&lt;="&amp;LEFT(N$2,2)*1,N$2),Data!$K$3:$K$305,$B40)</f>
        <v>0</v>
      </c>
      <c r="O40" s="710">
        <f>IFERROR(1/O$3,1)*SUMIFS(Data!$AD$3:$AD$305,Data!$Y$3:$Y$305,O$1,Data!$Z$3:$Z$305,IF(RIGHT(O$2,3)="YTD","&lt;="&amp;LEFT(O$2,2)*1,O$2),Data!$K$3:$K$305,$B40)</f>
        <v>0</v>
      </c>
      <c r="P40" s="710">
        <f>IFERROR(1/P$3,1)*SUMIFS(Data!$AD$3:$AD$305,Data!$Y$3:$Y$305,P$1,Data!$Z$3:$Z$305,IF(RIGHT(P$2,3)="YTD","&lt;="&amp;LEFT(P$2,2)*1,P$2),Data!$K$3:$K$305,$B40)</f>
        <v>0</v>
      </c>
      <c r="Q40" s="710">
        <f>IFERROR(1/Q$3,1)*SUMIFS(Data!$AD$3:$AD$305,Data!$Y$3:$Y$305,Q$1,Data!$Z$3:$Z$305,IF(RIGHT(Q$2,3)="YTD","&lt;="&amp;LEFT(Q$2,2)*1,Q$2),Data!$K$3:$K$305,$B40)</f>
        <v>0</v>
      </c>
      <c r="R40" s="710">
        <f>IFERROR(1/R$3,1)*SUMIFS(Data!$AD$3:$AD$305,Data!$Y$3:$Y$305,R$1,Data!$Z$3:$Z$305,IF(RIGHT(R$2,3)="YTD","&lt;="&amp;LEFT(R$2,2)*1,R$2),Data!$K$3:$K$305,$B40)</f>
        <v>0</v>
      </c>
      <c r="S40" s="710">
        <f>IFERROR(1/S$3,1)*SUMIFS(Data!$AD$3:$AD$305,Data!$Y$3:$Y$305,S$1,Data!$Z$3:$Z$305,IF(RIGHT(S$2,3)="YTD","&lt;="&amp;LEFT(S$2,2)*1,S$2),Data!$K$3:$K$305,$B40)</f>
        <v>0</v>
      </c>
      <c r="T40" s="710">
        <f>IFERROR(1/T$3,1)*SUMIFS(Data!$AD$3:$AD$305,Data!$Y$3:$Y$305,T$1,Data!$Z$3:$Z$305,IF(RIGHT(T$2,3)="YTD","&lt;="&amp;LEFT(T$2,2)*1,T$2),Data!$K$3:$K$305,$B40)</f>
        <v>0</v>
      </c>
      <c r="V40" s="697">
        <f t="shared" ref="V40:V48" si="42">G40</f>
        <v>0</v>
      </c>
      <c r="W40" s="697">
        <f t="shared" ref="W40:AD48" si="43">$G40</f>
        <v>0</v>
      </c>
      <c r="X40" s="697">
        <f t="shared" si="43"/>
        <v>0</v>
      </c>
      <c r="Y40" s="697">
        <f t="shared" si="43"/>
        <v>0</v>
      </c>
      <c r="Z40" s="697">
        <f t="shared" si="43"/>
        <v>0</v>
      </c>
      <c r="AA40" s="697">
        <f t="shared" si="43"/>
        <v>0</v>
      </c>
      <c r="AB40" s="697">
        <f t="shared" si="43"/>
        <v>0</v>
      </c>
      <c r="AC40" s="697">
        <f t="shared" si="43"/>
        <v>0</v>
      </c>
      <c r="AD40" s="697">
        <f t="shared" si="43"/>
        <v>0</v>
      </c>
      <c r="AE40" s="697"/>
      <c r="AF40" s="697">
        <f ca="1">IFERROR(1/AF$3,1)*SUMIFS(Data!$AD$3:$AD$305,Data!$Y$3:$Y$305,AF$1,Data!$Z$3:$Z$305,IF(RIGHT(AF$2,3)="YTD","&lt;="&amp;LEFT(AF$2,2)*1,AF$2),Data!$K$3:$K$305,$B16)</f>
        <v>0</v>
      </c>
      <c r="AG40" s="697">
        <f t="shared" ca="1" si="38"/>
        <v>0</v>
      </c>
      <c r="AH40" s="716">
        <f t="shared" ca="1" si="39"/>
        <v>0</v>
      </c>
      <c r="AJ40" s="697">
        <v>20096</v>
      </c>
      <c r="AK40" s="697">
        <v>0</v>
      </c>
    </row>
    <row r="41" spans="1:37" hidden="1" outlineLevel="1" x14ac:dyDescent="0.3">
      <c r="B41" s="723" t="s">
        <v>579</v>
      </c>
      <c r="C41" s="666" t="s">
        <v>653</v>
      </c>
      <c r="E41" s="697">
        <f t="shared" si="40"/>
        <v>422.91666666666669</v>
      </c>
      <c r="F41" s="697">
        <f ca="1">IFERROR(1/F$3,1)*SUMIFS(Data!$AD$3:$AD$305,Data!$Y$3:$Y$305,F$1,Data!$Z$3:$Z$305,IF(RIGHT(F$2,3)="YTD","&lt;="&amp;LEFT(F$2,2)*1,F$2),Data!$K$3:$K$305,$B41)</f>
        <v>0</v>
      </c>
      <c r="G41" s="697">
        <f t="shared" si="41"/>
        <v>0</v>
      </c>
      <c r="H41" s="719"/>
      <c r="I41" s="710">
        <f>IFERROR(1/I$3,1)*SUMIFS(Data!$AD$3:$AD$305,Data!$Y$3:$Y$305,I$1,Data!$Z$3:$Z$305,IF(RIGHT(I$2,3)="YTD","&lt;="&amp;LEFT(I$2,2)*1,I$2),Data!$K$3:$K$305,$B41)</f>
        <v>0</v>
      </c>
      <c r="J41" s="710">
        <f>IFERROR(1/J$3,1)*SUMIFS(Data!$AD$3:$AD$305,Data!$Y$3:$Y$305,J$1,Data!$Z$3:$Z$305,IF(RIGHT(J$2,3)="YTD","&lt;="&amp;LEFT(J$2,2)*1,J$2),Data!$K$3:$K$305,$B41)</f>
        <v>0</v>
      </c>
      <c r="K41" s="710">
        <f>IFERROR(1/K$3,1)*SUMIFS(Data!$AD$3:$AD$305,Data!$Y$3:$Y$305,K$1,Data!$Z$3:$Z$305,IF(RIGHT(K$2,3)="YTD","&lt;="&amp;LEFT(K$2,2)*1,K$2),Data!$K$3:$K$305,$B41)</f>
        <v>0</v>
      </c>
      <c r="L41" s="710">
        <f>IFERROR(1/L$3,1)*SUMIFS(Data!$AD$3:$AD$305,Data!$Y$3:$Y$305,L$1,Data!$Z$3:$Z$305,IF(RIGHT(L$2,3)="YTD","&lt;="&amp;LEFT(L$2,2)*1,L$2),Data!$K$3:$K$305,$B41)</f>
        <v>0</v>
      </c>
      <c r="M41" s="710">
        <f>IFERROR(1/M$3,1)*SUMIFS(Data!$AD$3:$AD$305,Data!$Y$3:$Y$305,M$1,Data!$Z$3:$Z$305,IF(RIGHT(M$2,3)="YTD","&lt;="&amp;LEFT(M$2,2)*1,M$2),Data!$K$3:$K$305,$B41)</f>
        <v>0</v>
      </c>
      <c r="N41" s="710">
        <f>IFERROR(1/N$3,1)*SUMIFS(Data!$AD$3:$AD$305,Data!$Y$3:$Y$305,N$1,Data!$Z$3:$Z$305,IF(RIGHT(N$2,3)="YTD","&lt;="&amp;LEFT(N$2,2)*1,N$2),Data!$K$3:$K$305,$B41)</f>
        <v>0</v>
      </c>
      <c r="O41" s="710">
        <f>IFERROR(1/O$3,1)*SUMIFS(Data!$AD$3:$AD$305,Data!$Y$3:$Y$305,O$1,Data!$Z$3:$Z$305,IF(RIGHT(O$2,3)="YTD","&lt;="&amp;LEFT(O$2,2)*1,O$2),Data!$K$3:$K$305,$B41)</f>
        <v>0</v>
      </c>
      <c r="P41" s="710">
        <f>IFERROR(1/P$3,1)*SUMIFS(Data!$AD$3:$AD$305,Data!$Y$3:$Y$305,P$1,Data!$Z$3:$Z$305,IF(RIGHT(P$2,3)="YTD","&lt;="&amp;LEFT(P$2,2)*1,P$2),Data!$K$3:$K$305,$B41)</f>
        <v>0</v>
      </c>
      <c r="Q41" s="710">
        <f>IFERROR(1/Q$3,1)*SUMIFS(Data!$AD$3:$AD$305,Data!$Y$3:$Y$305,Q$1,Data!$Z$3:$Z$305,IF(RIGHT(Q$2,3)="YTD","&lt;="&amp;LEFT(Q$2,2)*1,Q$2),Data!$K$3:$K$305,$B41)</f>
        <v>0</v>
      </c>
      <c r="R41" s="710">
        <f>IFERROR(1/R$3,1)*SUMIFS(Data!$AD$3:$AD$305,Data!$Y$3:$Y$305,R$1,Data!$Z$3:$Z$305,IF(RIGHT(R$2,3)="YTD","&lt;="&amp;LEFT(R$2,2)*1,R$2),Data!$K$3:$K$305,$B41)</f>
        <v>0</v>
      </c>
      <c r="S41" s="710">
        <f>IFERROR(1/S$3,1)*SUMIFS(Data!$AD$3:$AD$305,Data!$Y$3:$Y$305,S$1,Data!$Z$3:$Z$305,IF(RIGHT(S$2,3)="YTD","&lt;="&amp;LEFT(S$2,2)*1,S$2),Data!$K$3:$K$305,$B41)</f>
        <v>0</v>
      </c>
      <c r="T41" s="710">
        <f>IFERROR(1/T$3,1)*SUMIFS(Data!$AD$3:$AD$305,Data!$Y$3:$Y$305,T$1,Data!$Z$3:$Z$305,IF(RIGHT(T$2,3)="YTD","&lt;="&amp;LEFT(T$2,2)*1,T$2),Data!$K$3:$K$305,$B41)</f>
        <v>0</v>
      </c>
      <c r="V41" s="697">
        <f t="shared" si="42"/>
        <v>0</v>
      </c>
      <c r="W41" s="697">
        <f t="shared" si="43"/>
        <v>0</v>
      </c>
      <c r="X41" s="697">
        <f t="shared" si="43"/>
        <v>0</v>
      </c>
      <c r="Y41" s="697">
        <f t="shared" si="43"/>
        <v>0</v>
      </c>
      <c r="Z41" s="697">
        <f t="shared" si="43"/>
        <v>0</v>
      </c>
      <c r="AA41" s="697">
        <f t="shared" si="43"/>
        <v>0</v>
      </c>
      <c r="AB41" s="697">
        <f t="shared" si="43"/>
        <v>0</v>
      </c>
      <c r="AC41" s="697">
        <f t="shared" si="43"/>
        <v>0</v>
      </c>
      <c r="AD41" s="697">
        <f t="shared" si="43"/>
        <v>0</v>
      </c>
      <c r="AE41" s="697"/>
      <c r="AF41" s="697">
        <f ca="1">IFERROR(1/AF$3,1)*SUMIFS(Data!$AD$3:$AD$305,Data!$Y$3:$Y$305,AF$1,Data!$Z$3:$Z$305,IF(RIGHT(AF$2,3)="YTD","&lt;="&amp;LEFT(AF$2,2)*1,AF$2),Data!$K$3:$K$305,$B17)</f>
        <v>0</v>
      </c>
      <c r="AG41" s="697">
        <f t="shared" ca="1" si="38"/>
        <v>0</v>
      </c>
      <c r="AH41" s="716">
        <f t="shared" ca="1" si="39"/>
        <v>0</v>
      </c>
      <c r="AJ41" s="697">
        <v>5075</v>
      </c>
      <c r="AK41" s="697">
        <v>0</v>
      </c>
    </row>
    <row r="42" spans="1:37" hidden="1" outlineLevel="1" x14ac:dyDescent="0.3">
      <c r="A42" s="437" t="s">
        <v>587</v>
      </c>
      <c r="B42" s="723" t="s">
        <v>581</v>
      </c>
      <c r="C42" s="666" t="s">
        <v>653</v>
      </c>
      <c r="E42" s="697">
        <f t="shared" si="40"/>
        <v>3145.2083333333335</v>
      </c>
      <c r="F42" s="697">
        <f ca="1">IFERROR(1/F$3,1)*SUMIFS(Data!$AD$3:$AD$305,Data!$Y$3:$Y$305,F$1,Data!$Z$3:$Z$305,IF(RIGHT(F$2,3)="YTD","&lt;="&amp;LEFT(F$2,2)*1,F$2),Data!$K$3:$K$305,$B42)</f>
        <v>0</v>
      </c>
      <c r="G42" s="697">
        <f t="shared" si="41"/>
        <v>0</v>
      </c>
      <c r="H42" s="719"/>
      <c r="I42" s="710">
        <f>IFERROR(1/I$3,1)*SUMIFS(Data!$AD$3:$AD$305,Data!$Y$3:$Y$305,I$1,Data!$Z$3:$Z$305,IF(RIGHT(I$2,3)="YTD","&lt;="&amp;LEFT(I$2,2)*1,I$2),Data!$K$3:$K$305,$B42)</f>
        <v>0</v>
      </c>
      <c r="J42" s="710">
        <f>IFERROR(1/J$3,1)*SUMIFS(Data!$AD$3:$AD$305,Data!$Y$3:$Y$305,J$1,Data!$Z$3:$Z$305,IF(RIGHT(J$2,3)="YTD","&lt;="&amp;LEFT(J$2,2)*1,J$2),Data!$K$3:$K$305,$B42)</f>
        <v>0</v>
      </c>
      <c r="K42" s="710">
        <f>IFERROR(1/K$3,1)*SUMIFS(Data!$AD$3:$AD$305,Data!$Y$3:$Y$305,K$1,Data!$Z$3:$Z$305,IF(RIGHT(K$2,3)="YTD","&lt;="&amp;LEFT(K$2,2)*1,K$2),Data!$K$3:$K$305,$B42)</f>
        <v>0</v>
      </c>
      <c r="L42" s="710">
        <f>IFERROR(1/L$3,1)*SUMIFS(Data!$AD$3:$AD$305,Data!$Y$3:$Y$305,L$1,Data!$Z$3:$Z$305,IF(RIGHT(L$2,3)="YTD","&lt;="&amp;LEFT(L$2,2)*1,L$2),Data!$K$3:$K$305,$B42)</f>
        <v>0</v>
      </c>
      <c r="M42" s="710">
        <f>IFERROR(1/M$3,1)*SUMIFS(Data!$AD$3:$AD$305,Data!$Y$3:$Y$305,M$1,Data!$Z$3:$Z$305,IF(RIGHT(M$2,3)="YTD","&lt;="&amp;LEFT(M$2,2)*1,M$2),Data!$K$3:$K$305,$B42)</f>
        <v>0</v>
      </c>
      <c r="N42" s="710">
        <f>IFERROR(1/N$3,1)*SUMIFS(Data!$AD$3:$AD$305,Data!$Y$3:$Y$305,N$1,Data!$Z$3:$Z$305,IF(RIGHT(N$2,3)="YTD","&lt;="&amp;LEFT(N$2,2)*1,N$2),Data!$K$3:$K$305,$B42)</f>
        <v>0</v>
      </c>
      <c r="O42" s="710">
        <f>IFERROR(1/O$3,1)*SUMIFS(Data!$AD$3:$AD$305,Data!$Y$3:$Y$305,O$1,Data!$Z$3:$Z$305,IF(RIGHT(O$2,3)="YTD","&lt;="&amp;LEFT(O$2,2)*1,O$2),Data!$K$3:$K$305,$B42)</f>
        <v>0</v>
      </c>
      <c r="P42" s="710">
        <f>IFERROR(1/P$3,1)*SUMIFS(Data!$AD$3:$AD$305,Data!$Y$3:$Y$305,P$1,Data!$Z$3:$Z$305,IF(RIGHT(P$2,3)="YTD","&lt;="&amp;LEFT(P$2,2)*1,P$2),Data!$K$3:$K$305,$B42)</f>
        <v>0</v>
      </c>
      <c r="Q42" s="710">
        <f>IFERROR(1/Q$3,1)*SUMIFS(Data!$AD$3:$AD$305,Data!$Y$3:$Y$305,Q$1,Data!$Z$3:$Z$305,IF(RIGHT(Q$2,3)="YTD","&lt;="&amp;LEFT(Q$2,2)*1,Q$2),Data!$K$3:$K$305,$B42)</f>
        <v>0</v>
      </c>
      <c r="R42" s="710">
        <f>IFERROR(1/R$3,1)*SUMIFS(Data!$AD$3:$AD$305,Data!$Y$3:$Y$305,R$1,Data!$Z$3:$Z$305,IF(RIGHT(R$2,3)="YTD","&lt;="&amp;LEFT(R$2,2)*1,R$2),Data!$K$3:$K$305,$B42)</f>
        <v>0</v>
      </c>
      <c r="S42" s="710">
        <f>IFERROR(1/S$3,1)*SUMIFS(Data!$AD$3:$AD$305,Data!$Y$3:$Y$305,S$1,Data!$Z$3:$Z$305,IF(RIGHT(S$2,3)="YTD","&lt;="&amp;LEFT(S$2,2)*1,S$2),Data!$K$3:$K$305,$B42)</f>
        <v>0</v>
      </c>
      <c r="T42" s="710">
        <f>IFERROR(1/T$3,1)*SUMIFS(Data!$AD$3:$AD$305,Data!$Y$3:$Y$305,T$1,Data!$Z$3:$Z$305,IF(RIGHT(T$2,3)="YTD","&lt;="&amp;LEFT(T$2,2)*1,T$2),Data!$K$3:$K$305,$B42)</f>
        <v>0</v>
      </c>
      <c r="V42" s="697">
        <f t="shared" si="42"/>
        <v>0</v>
      </c>
      <c r="W42" s="697">
        <f t="shared" si="43"/>
        <v>0</v>
      </c>
      <c r="X42" s="697">
        <f t="shared" si="43"/>
        <v>0</v>
      </c>
      <c r="Y42" s="697">
        <f t="shared" si="43"/>
        <v>0</v>
      </c>
      <c r="Z42" s="697">
        <f t="shared" si="43"/>
        <v>0</v>
      </c>
      <c r="AA42" s="697">
        <f t="shared" si="43"/>
        <v>0</v>
      </c>
      <c r="AB42" s="697">
        <f t="shared" si="43"/>
        <v>0</v>
      </c>
      <c r="AC42" s="697">
        <f t="shared" si="43"/>
        <v>0</v>
      </c>
      <c r="AD42" s="697">
        <f t="shared" si="43"/>
        <v>0</v>
      </c>
      <c r="AE42" s="697"/>
      <c r="AF42" s="697">
        <f ca="1">IFERROR(1/AF$3,1)*SUMIFS(Data!$AD$3:$AD$305,Data!$Y$3:$Y$305,AF$1,Data!$Z$3:$Z$305,IF(RIGHT(AF$2,3)="YTD","&lt;="&amp;LEFT(AF$2,2)*1,AF$2),Data!$K$3:$K$305,$B18)</f>
        <v>0</v>
      </c>
      <c r="AG42" s="697">
        <f t="shared" ca="1" si="38"/>
        <v>0</v>
      </c>
      <c r="AH42" s="716">
        <f t="shared" ca="1" si="39"/>
        <v>0</v>
      </c>
      <c r="AJ42" s="697">
        <v>37742.5</v>
      </c>
      <c r="AK42" s="697">
        <v>0</v>
      </c>
    </row>
    <row r="43" spans="1:37" hidden="1" outlineLevel="1" x14ac:dyDescent="0.3">
      <c r="A43" s="437" t="s">
        <v>588</v>
      </c>
      <c r="B43" s="723" t="s">
        <v>518</v>
      </c>
      <c r="C43" s="666" t="s">
        <v>653</v>
      </c>
      <c r="E43" s="697">
        <f t="shared" si="40"/>
        <v>22610</v>
      </c>
      <c r="F43" s="697">
        <f ca="1">IFERROR(1/F$3,1)*SUMIFS(Data!$AD$3:$AD$305,Data!$Y$3:$Y$305,F$1,Data!$Z$3:$Z$305,IF(RIGHT(F$2,3)="YTD","&lt;="&amp;LEFT(F$2,2)*1,F$2),Data!$K$3:$K$305,$B43)</f>
        <v>0</v>
      </c>
      <c r="G43" s="697">
        <f t="shared" si="41"/>
        <v>0</v>
      </c>
      <c r="H43" s="719"/>
      <c r="I43" s="710">
        <f>IFERROR(1/I$3,1)*SUMIFS(Data!$AD$3:$AD$305,Data!$Y$3:$Y$305,I$1,Data!$Z$3:$Z$305,IF(RIGHT(I$2,3)="YTD","&lt;="&amp;LEFT(I$2,2)*1,I$2),Data!$K$3:$K$305,$B43)</f>
        <v>0</v>
      </c>
      <c r="J43" s="710">
        <f>IFERROR(1/J$3,1)*SUMIFS(Data!$AD$3:$AD$305,Data!$Y$3:$Y$305,J$1,Data!$Z$3:$Z$305,IF(RIGHT(J$2,3)="YTD","&lt;="&amp;LEFT(J$2,2)*1,J$2),Data!$K$3:$K$305,$B43)</f>
        <v>0</v>
      </c>
      <c r="K43" s="710">
        <f>IFERROR(1/K$3,1)*SUMIFS(Data!$AD$3:$AD$305,Data!$Y$3:$Y$305,K$1,Data!$Z$3:$Z$305,IF(RIGHT(K$2,3)="YTD","&lt;="&amp;LEFT(K$2,2)*1,K$2),Data!$K$3:$K$305,$B43)</f>
        <v>0</v>
      </c>
      <c r="L43" s="710">
        <f>IFERROR(1/L$3,1)*SUMIFS(Data!$AD$3:$AD$305,Data!$Y$3:$Y$305,L$1,Data!$Z$3:$Z$305,IF(RIGHT(L$2,3)="YTD","&lt;="&amp;LEFT(L$2,2)*1,L$2),Data!$K$3:$K$305,$B43)</f>
        <v>0</v>
      </c>
      <c r="M43" s="710">
        <f>IFERROR(1/M$3,1)*SUMIFS(Data!$AD$3:$AD$305,Data!$Y$3:$Y$305,M$1,Data!$Z$3:$Z$305,IF(RIGHT(M$2,3)="YTD","&lt;="&amp;LEFT(M$2,2)*1,M$2),Data!$K$3:$K$305,$B43)</f>
        <v>0</v>
      </c>
      <c r="N43" s="710">
        <f>IFERROR(1/N$3,1)*SUMIFS(Data!$AD$3:$AD$305,Data!$Y$3:$Y$305,N$1,Data!$Z$3:$Z$305,IF(RIGHT(N$2,3)="YTD","&lt;="&amp;LEFT(N$2,2)*1,N$2),Data!$K$3:$K$305,$B43)</f>
        <v>0</v>
      </c>
      <c r="O43" s="710">
        <f>IFERROR(1/O$3,1)*SUMIFS(Data!$AD$3:$AD$305,Data!$Y$3:$Y$305,O$1,Data!$Z$3:$Z$305,IF(RIGHT(O$2,3)="YTD","&lt;="&amp;LEFT(O$2,2)*1,O$2),Data!$K$3:$K$305,$B43)</f>
        <v>0</v>
      </c>
      <c r="P43" s="710">
        <f>IFERROR(1/P$3,1)*SUMIFS(Data!$AD$3:$AD$305,Data!$Y$3:$Y$305,P$1,Data!$Z$3:$Z$305,IF(RIGHT(P$2,3)="YTD","&lt;="&amp;LEFT(P$2,2)*1,P$2),Data!$K$3:$K$305,$B43)</f>
        <v>0</v>
      </c>
      <c r="Q43" s="710">
        <f>IFERROR(1/Q$3,1)*SUMIFS(Data!$AD$3:$AD$305,Data!$Y$3:$Y$305,Q$1,Data!$Z$3:$Z$305,IF(RIGHT(Q$2,3)="YTD","&lt;="&amp;LEFT(Q$2,2)*1,Q$2),Data!$K$3:$K$305,$B43)</f>
        <v>0</v>
      </c>
      <c r="R43" s="710">
        <f>IFERROR(1/R$3,1)*SUMIFS(Data!$AD$3:$AD$305,Data!$Y$3:$Y$305,R$1,Data!$Z$3:$Z$305,IF(RIGHT(R$2,3)="YTD","&lt;="&amp;LEFT(R$2,2)*1,R$2),Data!$K$3:$K$305,$B43)</f>
        <v>0</v>
      </c>
      <c r="S43" s="710">
        <f>IFERROR(1/S$3,1)*SUMIFS(Data!$AD$3:$AD$305,Data!$Y$3:$Y$305,S$1,Data!$Z$3:$Z$305,IF(RIGHT(S$2,3)="YTD","&lt;="&amp;LEFT(S$2,2)*1,S$2),Data!$K$3:$K$305,$B43)</f>
        <v>0</v>
      </c>
      <c r="T43" s="710">
        <f>IFERROR(1/T$3,1)*SUMIFS(Data!$AD$3:$AD$305,Data!$Y$3:$Y$305,T$1,Data!$Z$3:$Z$305,IF(RIGHT(T$2,3)="YTD","&lt;="&amp;LEFT(T$2,2)*1,T$2),Data!$K$3:$K$305,$B43)</f>
        <v>0</v>
      </c>
      <c r="V43" s="697">
        <f t="shared" ref="V43" si="44">G43</f>
        <v>0</v>
      </c>
      <c r="W43" s="697">
        <f t="shared" si="43"/>
        <v>0</v>
      </c>
      <c r="X43" s="697">
        <f t="shared" si="43"/>
        <v>0</v>
      </c>
      <c r="Y43" s="697">
        <f t="shared" si="43"/>
        <v>0</v>
      </c>
      <c r="Z43" s="697">
        <f t="shared" si="43"/>
        <v>0</v>
      </c>
      <c r="AA43" s="697">
        <f t="shared" si="43"/>
        <v>0</v>
      </c>
      <c r="AB43" s="697">
        <f t="shared" si="43"/>
        <v>0</v>
      </c>
      <c r="AC43" s="697">
        <f t="shared" si="43"/>
        <v>0</v>
      </c>
      <c r="AD43" s="697">
        <f t="shared" si="43"/>
        <v>0</v>
      </c>
      <c r="AE43" s="697"/>
      <c r="AF43" s="697">
        <f ca="1">IFERROR(1/AF$3,1)*SUMIFS(Data!$AD$3:$AD$305,Data!$Y$3:$Y$305,AF$1,Data!$Z$3:$Z$305,IF(RIGHT(AF$2,3)="YTD","&lt;="&amp;LEFT(AF$2,2)*1,AF$2),Data!$K$3:$K$305,$B19)</f>
        <v>0</v>
      </c>
      <c r="AG43" s="697">
        <f t="shared" ca="1" si="38"/>
        <v>0</v>
      </c>
      <c r="AH43" s="716">
        <f t="shared" ca="1" si="39"/>
        <v>0</v>
      </c>
      <c r="AJ43" s="697">
        <v>271320</v>
      </c>
      <c r="AK43" s="697">
        <v>0</v>
      </c>
    </row>
    <row r="44" spans="1:37" hidden="1" outlineLevel="1" x14ac:dyDescent="0.3">
      <c r="A44" s="437" t="s">
        <v>594</v>
      </c>
      <c r="B44" s="723" t="s">
        <v>569</v>
      </c>
      <c r="C44" s="666" t="s">
        <v>653</v>
      </c>
      <c r="E44" s="697">
        <f t="shared" si="40"/>
        <v>3760.8333333333335</v>
      </c>
      <c r="F44" s="697">
        <f ca="1">IFERROR(1/F$3,1)*SUMIFS(Data!$AD$3:$AD$305,Data!$Y$3:$Y$305,F$1,Data!$Z$3:$Z$305,IF(RIGHT(F$2,3)="YTD","&lt;="&amp;LEFT(F$2,2)*1,F$2),Data!$K$3:$K$305,$B44)</f>
        <v>0</v>
      </c>
      <c r="G44" s="697">
        <f t="shared" si="41"/>
        <v>20833.333333333332</v>
      </c>
      <c r="H44" s="719"/>
      <c r="I44" s="710">
        <f>IFERROR(1/I$3,1)*SUMIFS(Data!$AD$3:$AD$305,Data!$Y$3:$Y$305,I$1,Data!$Z$3:$Z$305,IF(RIGHT(I$2,3)="YTD","&lt;="&amp;LEFT(I$2,2)*1,I$2),Data!$K$3:$K$305,$B44)</f>
        <v>0</v>
      </c>
      <c r="J44" s="710">
        <f>IFERROR(1/J$3,1)*SUMIFS(Data!$AD$3:$AD$305,Data!$Y$3:$Y$305,J$1,Data!$Z$3:$Z$305,IF(RIGHT(J$2,3)="YTD","&lt;="&amp;LEFT(J$2,2)*1,J$2),Data!$K$3:$K$305,$B44)</f>
        <v>0</v>
      </c>
      <c r="K44" s="710">
        <f>IFERROR(1/K$3,1)*SUMIFS(Data!$AD$3:$AD$305,Data!$Y$3:$Y$305,K$1,Data!$Z$3:$Z$305,IF(RIGHT(K$2,3)="YTD","&lt;="&amp;LEFT(K$2,2)*1,K$2),Data!$K$3:$K$305,$B44)</f>
        <v>0</v>
      </c>
      <c r="L44" s="710">
        <f>IFERROR(1/L$3,1)*SUMIFS(Data!$AD$3:$AD$305,Data!$Y$3:$Y$305,L$1,Data!$Z$3:$Z$305,IF(RIGHT(L$2,3)="YTD","&lt;="&amp;LEFT(L$2,2)*1,L$2),Data!$K$3:$K$305,$B44)</f>
        <v>0</v>
      </c>
      <c r="M44" s="710">
        <f>IFERROR(1/M$3,1)*SUMIFS(Data!$AD$3:$AD$305,Data!$Y$3:$Y$305,M$1,Data!$Z$3:$Z$305,IF(RIGHT(M$2,3)="YTD","&lt;="&amp;LEFT(M$2,2)*1,M$2),Data!$K$3:$K$305,$B44)</f>
        <v>0</v>
      </c>
      <c r="N44" s="710">
        <f>IFERROR(1/N$3,1)*SUMIFS(Data!$AD$3:$AD$305,Data!$Y$3:$Y$305,N$1,Data!$Z$3:$Z$305,IF(RIGHT(N$2,3)="YTD","&lt;="&amp;LEFT(N$2,2)*1,N$2),Data!$K$3:$K$305,$B44)</f>
        <v>0</v>
      </c>
      <c r="O44" s="710">
        <f>IFERROR(1/O$3,1)*SUMIFS(Data!$AD$3:$AD$305,Data!$Y$3:$Y$305,O$1,Data!$Z$3:$Z$305,IF(RIGHT(O$2,3)="YTD","&lt;="&amp;LEFT(O$2,2)*1,O$2),Data!$K$3:$K$305,$B44)</f>
        <v>0</v>
      </c>
      <c r="P44" s="710">
        <f>IFERROR(1/P$3,1)*SUMIFS(Data!$AD$3:$AD$305,Data!$Y$3:$Y$305,P$1,Data!$Z$3:$Z$305,IF(RIGHT(P$2,3)="YTD","&lt;="&amp;LEFT(P$2,2)*1,P$2),Data!$K$3:$K$305,$B44)</f>
        <v>0</v>
      </c>
      <c r="Q44" s="710">
        <f>IFERROR(1/Q$3,1)*SUMIFS(Data!$AD$3:$AD$305,Data!$Y$3:$Y$305,Q$1,Data!$Z$3:$Z$305,IF(RIGHT(Q$2,3)="YTD","&lt;="&amp;LEFT(Q$2,2)*1,Q$2),Data!$K$3:$K$305,$B44)</f>
        <v>0</v>
      </c>
      <c r="R44" s="710">
        <f>IFERROR(1/R$3,1)*SUMIFS(Data!$AD$3:$AD$305,Data!$Y$3:$Y$305,R$1,Data!$Z$3:$Z$305,IF(RIGHT(R$2,3)="YTD","&lt;="&amp;LEFT(R$2,2)*1,R$2),Data!$K$3:$K$305,$B44)</f>
        <v>0</v>
      </c>
      <c r="S44" s="710">
        <f>IFERROR(1/S$3,1)*SUMIFS(Data!$AD$3:$AD$305,Data!$Y$3:$Y$305,S$1,Data!$Z$3:$Z$305,IF(RIGHT(S$2,3)="YTD","&lt;="&amp;LEFT(S$2,2)*1,S$2),Data!$K$3:$K$305,$B44)</f>
        <v>0</v>
      </c>
      <c r="T44" s="710">
        <f>IFERROR(1/T$3,1)*SUMIFS(Data!$AD$3:$AD$305,Data!$Y$3:$Y$305,T$1,Data!$Z$3:$Z$305,IF(RIGHT(T$2,3)="YTD","&lt;="&amp;LEFT(T$2,2)*1,T$2),Data!$K$3:$K$305,$B44)</f>
        <v>0</v>
      </c>
      <c r="V44" s="697">
        <f t="shared" ref="V44:V46" si="45">G44</f>
        <v>20833.333333333332</v>
      </c>
      <c r="W44" s="697">
        <f t="shared" si="43"/>
        <v>20833.333333333332</v>
      </c>
      <c r="X44" s="697">
        <f t="shared" si="43"/>
        <v>20833.333333333332</v>
      </c>
      <c r="Y44" s="697">
        <f t="shared" si="43"/>
        <v>20833.333333333332</v>
      </c>
      <c r="Z44" s="697">
        <f t="shared" si="43"/>
        <v>20833.333333333332</v>
      </c>
      <c r="AA44" s="697">
        <f t="shared" si="43"/>
        <v>20833.333333333332</v>
      </c>
      <c r="AB44" s="697">
        <f t="shared" si="43"/>
        <v>20833.333333333332</v>
      </c>
      <c r="AC44" s="697">
        <f t="shared" si="43"/>
        <v>20833.333333333332</v>
      </c>
      <c r="AD44" s="697">
        <f t="shared" si="43"/>
        <v>20833.333333333332</v>
      </c>
      <c r="AE44" s="697"/>
      <c r="AF44" s="697">
        <f ca="1">IFERROR(1/AF$3,1)*SUMIFS(Data!$AD$3:$AD$305,Data!$Y$3:$Y$305,AF$1,Data!$Z$3:$Z$305,IF(RIGHT(AF$2,3)="YTD","&lt;="&amp;LEFT(AF$2,2)*1,AF$2),Data!$K$3:$K$305,$B20)</f>
        <v>0</v>
      </c>
      <c r="AG44" s="697">
        <f t="shared" ca="1" si="38"/>
        <v>83333.333333333328</v>
      </c>
      <c r="AH44" s="716">
        <f t="shared" ca="1" si="39"/>
        <v>-83333.333333333328</v>
      </c>
      <c r="AJ44" s="697">
        <v>45130</v>
      </c>
      <c r="AK44" s="711">
        <v>250000</v>
      </c>
    </row>
    <row r="45" spans="1:37" hidden="1" outlineLevel="1" x14ac:dyDescent="0.3">
      <c r="A45" s="55" t="s">
        <v>589</v>
      </c>
      <c r="B45" s="723" t="s">
        <v>583</v>
      </c>
      <c r="C45" s="666" t="s">
        <v>653</v>
      </c>
      <c r="E45" s="697">
        <f t="shared" si="40"/>
        <v>10592.833333333334</v>
      </c>
      <c r="F45" s="697">
        <f ca="1">IFERROR(1/F$3,1)*SUMIFS(Data!$AD$3:$AD$305,Data!$Y$3:$Y$305,F$1,Data!$Z$3:$Z$305,IF(RIGHT(F$2,3)="YTD","&lt;="&amp;LEFT(F$2,2)*1,F$2),Data!$K$3:$K$305,$B45)</f>
        <v>0</v>
      </c>
      <c r="G45" s="697">
        <f t="shared" si="41"/>
        <v>3750</v>
      </c>
      <c r="H45" s="719"/>
      <c r="I45" s="710">
        <f>IFERROR(1/I$3,1)*SUMIFS(Data!$AD$3:$AD$305,Data!$Y$3:$Y$305,I$1,Data!$Z$3:$Z$305,IF(RIGHT(I$2,3)="YTD","&lt;="&amp;LEFT(I$2,2)*1,I$2),Data!$K$3:$K$305,$B45)</f>
        <v>0</v>
      </c>
      <c r="J45" s="710">
        <f>IFERROR(1/J$3,1)*SUMIFS(Data!$AD$3:$AD$305,Data!$Y$3:$Y$305,J$1,Data!$Z$3:$Z$305,IF(RIGHT(J$2,3)="YTD","&lt;="&amp;LEFT(J$2,2)*1,J$2),Data!$K$3:$K$305,$B45)</f>
        <v>0</v>
      </c>
      <c r="K45" s="710">
        <f>IFERROR(1/K$3,1)*SUMIFS(Data!$AD$3:$AD$305,Data!$Y$3:$Y$305,K$1,Data!$Z$3:$Z$305,IF(RIGHT(K$2,3)="YTD","&lt;="&amp;LEFT(K$2,2)*1,K$2),Data!$K$3:$K$305,$B45)</f>
        <v>0</v>
      </c>
      <c r="L45" s="710">
        <f>IFERROR(1/L$3,1)*SUMIFS(Data!$AD$3:$AD$305,Data!$Y$3:$Y$305,L$1,Data!$Z$3:$Z$305,IF(RIGHT(L$2,3)="YTD","&lt;="&amp;LEFT(L$2,2)*1,L$2),Data!$K$3:$K$305,$B45)</f>
        <v>0</v>
      </c>
      <c r="M45" s="710">
        <f>IFERROR(1/M$3,1)*SUMIFS(Data!$AD$3:$AD$305,Data!$Y$3:$Y$305,M$1,Data!$Z$3:$Z$305,IF(RIGHT(M$2,3)="YTD","&lt;="&amp;LEFT(M$2,2)*1,M$2),Data!$K$3:$K$305,$B45)</f>
        <v>0</v>
      </c>
      <c r="N45" s="710">
        <f>IFERROR(1/N$3,1)*SUMIFS(Data!$AD$3:$AD$305,Data!$Y$3:$Y$305,N$1,Data!$Z$3:$Z$305,IF(RIGHT(N$2,3)="YTD","&lt;="&amp;LEFT(N$2,2)*1,N$2),Data!$K$3:$K$305,$B45)</f>
        <v>0</v>
      </c>
      <c r="O45" s="710">
        <f>IFERROR(1/O$3,1)*SUMIFS(Data!$AD$3:$AD$305,Data!$Y$3:$Y$305,O$1,Data!$Z$3:$Z$305,IF(RIGHT(O$2,3)="YTD","&lt;="&amp;LEFT(O$2,2)*1,O$2),Data!$K$3:$K$305,$B45)</f>
        <v>0</v>
      </c>
      <c r="P45" s="710">
        <f>IFERROR(1/P$3,1)*SUMIFS(Data!$AD$3:$AD$305,Data!$Y$3:$Y$305,P$1,Data!$Z$3:$Z$305,IF(RIGHT(P$2,3)="YTD","&lt;="&amp;LEFT(P$2,2)*1,P$2),Data!$K$3:$K$305,$B45)</f>
        <v>0</v>
      </c>
      <c r="Q45" s="710">
        <f>IFERROR(1/Q$3,1)*SUMIFS(Data!$AD$3:$AD$305,Data!$Y$3:$Y$305,Q$1,Data!$Z$3:$Z$305,IF(RIGHT(Q$2,3)="YTD","&lt;="&amp;LEFT(Q$2,2)*1,Q$2),Data!$K$3:$K$305,$B45)</f>
        <v>0</v>
      </c>
      <c r="R45" s="710">
        <f>IFERROR(1/R$3,1)*SUMIFS(Data!$AD$3:$AD$305,Data!$Y$3:$Y$305,R$1,Data!$Z$3:$Z$305,IF(RIGHT(R$2,3)="YTD","&lt;="&amp;LEFT(R$2,2)*1,R$2),Data!$K$3:$K$305,$B45)</f>
        <v>0</v>
      </c>
      <c r="S45" s="710">
        <f>IFERROR(1/S$3,1)*SUMIFS(Data!$AD$3:$AD$305,Data!$Y$3:$Y$305,S$1,Data!$Z$3:$Z$305,IF(RIGHT(S$2,3)="YTD","&lt;="&amp;LEFT(S$2,2)*1,S$2),Data!$K$3:$K$305,$B45)</f>
        <v>0</v>
      </c>
      <c r="T45" s="710">
        <f>IFERROR(1/T$3,1)*SUMIFS(Data!$AD$3:$AD$305,Data!$Y$3:$Y$305,T$1,Data!$Z$3:$Z$305,IF(RIGHT(T$2,3)="YTD","&lt;="&amp;LEFT(T$2,2)*1,T$2),Data!$K$3:$K$305,$B45)</f>
        <v>0</v>
      </c>
      <c r="V45" s="697">
        <f t="shared" si="45"/>
        <v>3750</v>
      </c>
      <c r="W45" s="697">
        <f t="shared" si="43"/>
        <v>3750</v>
      </c>
      <c r="X45" s="697">
        <f t="shared" si="43"/>
        <v>3750</v>
      </c>
      <c r="Y45" s="697">
        <f t="shared" si="43"/>
        <v>3750</v>
      </c>
      <c r="Z45" s="697">
        <f t="shared" si="43"/>
        <v>3750</v>
      </c>
      <c r="AA45" s="697">
        <f t="shared" si="43"/>
        <v>3750</v>
      </c>
      <c r="AB45" s="697">
        <f t="shared" si="43"/>
        <v>3750</v>
      </c>
      <c r="AC45" s="697">
        <f t="shared" si="43"/>
        <v>3750</v>
      </c>
      <c r="AD45" s="697">
        <f t="shared" si="43"/>
        <v>3750</v>
      </c>
      <c r="AE45" s="697"/>
      <c r="AF45" s="697">
        <f ca="1">IFERROR(1/AF$3,1)*SUMIFS(Data!$AD$3:$AD$305,Data!$Y$3:$Y$305,AF$1,Data!$Z$3:$Z$305,IF(RIGHT(AF$2,3)="YTD","&lt;="&amp;LEFT(AF$2,2)*1,AF$2),Data!$K$3:$K$305,$B21)</f>
        <v>0</v>
      </c>
      <c r="AG45" s="697">
        <f t="shared" ca="1" si="38"/>
        <v>15000</v>
      </c>
      <c r="AH45" s="716">
        <f t="shared" ca="1" si="39"/>
        <v>-15000</v>
      </c>
      <c r="AJ45" s="697">
        <v>127114</v>
      </c>
      <c r="AK45" s="711">
        <v>45000</v>
      </c>
    </row>
    <row r="46" spans="1:37" hidden="1" outlineLevel="1" x14ac:dyDescent="0.3">
      <c r="A46" s="55" t="s">
        <v>590</v>
      </c>
      <c r="B46" s="723" t="s">
        <v>574</v>
      </c>
      <c r="C46" s="666" t="s">
        <v>653</v>
      </c>
      <c r="E46" s="697">
        <f>$AJ46/E$3</f>
        <v>10881.333333333334</v>
      </c>
      <c r="F46" s="697">
        <f ca="1">IFERROR(1/F$3,1)*SUMIFS(Data!$AD$3:$AD$305,Data!$Y$3:$Y$305,F$1,Data!$Z$3:$Z$305,IF(RIGHT(F$2,3)="YTD","&lt;="&amp;LEFT(F$2,2)*1,F$2),Data!$K$3:$K$305,$B46)</f>
        <v>0</v>
      </c>
      <c r="G46" s="697">
        <f t="shared" si="41"/>
        <v>20833.333333333332</v>
      </c>
      <c r="H46" s="719"/>
      <c r="I46" s="710">
        <f>IFERROR(1/I$3,1)*SUMIFS(Data!$AD$3:$AD$305,Data!$Y$3:$Y$305,I$1,Data!$Z$3:$Z$305,IF(RIGHT(I$2,3)="YTD","&lt;="&amp;LEFT(I$2,2)*1,I$2),Data!$K$3:$K$305,$B46)</f>
        <v>0</v>
      </c>
      <c r="J46" s="710">
        <f>IFERROR(1/J$3,1)*SUMIFS(Data!$AD$3:$AD$305,Data!$Y$3:$Y$305,J$1,Data!$Z$3:$Z$305,IF(RIGHT(J$2,3)="YTD","&lt;="&amp;LEFT(J$2,2)*1,J$2),Data!$K$3:$K$305,$B46)</f>
        <v>0</v>
      </c>
      <c r="K46" s="710">
        <f>IFERROR(1/K$3,1)*SUMIFS(Data!$AD$3:$AD$305,Data!$Y$3:$Y$305,K$1,Data!$Z$3:$Z$305,IF(RIGHT(K$2,3)="YTD","&lt;="&amp;LEFT(K$2,2)*1,K$2),Data!$K$3:$K$305,$B46)</f>
        <v>0</v>
      </c>
      <c r="L46" s="710">
        <f>IFERROR(1/L$3,1)*SUMIFS(Data!$AD$3:$AD$305,Data!$Y$3:$Y$305,L$1,Data!$Z$3:$Z$305,IF(RIGHT(L$2,3)="YTD","&lt;="&amp;LEFT(L$2,2)*1,L$2),Data!$K$3:$K$305,$B46)</f>
        <v>0</v>
      </c>
      <c r="M46" s="710">
        <f>IFERROR(1/M$3,1)*SUMIFS(Data!$AD$3:$AD$305,Data!$Y$3:$Y$305,M$1,Data!$Z$3:$Z$305,IF(RIGHT(M$2,3)="YTD","&lt;="&amp;LEFT(M$2,2)*1,M$2),Data!$K$3:$K$305,$B46)</f>
        <v>0</v>
      </c>
      <c r="N46" s="710">
        <f>IFERROR(1/N$3,1)*SUMIFS(Data!$AD$3:$AD$305,Data!$Y$3:$Y$305,N$1,Data!$Z$3:$Z$305,IF(RIGHT(N$2,3)="YTD","&lt;="&amp;LEFT(N$2,2)*1,N$2),Data!$K$3:$K$305,$B46)</f>
        <v>0</v>
      </c>
      <c r="O46" s="710">
        <f>IFERROR(1/O$3,1)*SUMIFS(Data!$AD$3:$AD$305,Data!$Y$3:$Y$305,O$1,Data!$Z$3:$Z$305,IF(RIGHT(O$2,3)="YTD","&lt;="&amp;LEFT(O$2,2)*1,O$2),Data!$K$3:$K$305,$B46)</f>
        <v>0</v>
      </c>
      <c r="P46" s="710">
        <f>IFERROR(1/P$3,1)*SUMIFS(Data!$AD$3:$AD$305,Data!$Y$3:$Y$305,P$1,Data!$Z$3:$Z$305,IF(RIGHT(P$2,3)="YTD","&lt;="&amp;LEFT(P$2,2)*1,P$2),Data!$K$3:$K$305,$B46)</f>
        <v>0</v>
      </c>
      <c r="Q46" s="710">
        <f>IFERROR(1/Q$3,1)*SUMIFS(Data!$AD$3:$AD$305,Data!$Y$3:$Y$305,Q$1,Data!$Z$3:$Z$305,IF(RIGHT(Q$2,3)="YTD","&lt;="&amp;LEFT(Q$2,2)*1,Q$2),Data!$K$3:$K$305,$B46)</f>
        <v>0</v>
      </c>
      <c r="R46" s="710">
        <f>IFERROR(1/R$3,1)*SUMIFS(Data!$AD$3:$AD$305,Data!$Y$3:$Y$305,R$1,Data!$Z$3:$Z$305,IF(RIGHT(R$2,3)="YTD","&lt;="&amp;LEFT(R$2,2)*1,R$2),Data!$K$3:$K$305,$B46)</f>
        <v>0</v>
      </c>
      <c r="S46" s="710">
        <f>IFERROR(1/S$3,1)*SUMIFS(Data!$AD$3:$AD$305,Data!$Y$3:$Y$305,S$1,Data!$Z$3:$Z$305,IF(RIGHT(S$2,3)="YTD","&lt;="&amp;LEFT(S$2,2)*1,S$2),Data!$K$3:$K$305,$B46)</f>
        <v>0</v>
      </c>
      <c r="T46" s="710">
        <f>IFERROR(1/T$3,1)*SUMIFS(Data!$AD$3:$AD$305,Data!$Y$3:$Y$305,T$1,Data!$Z$3:$Z$305,IF(RIGHT(T$2,3)="YTD","&lt;="&amp;LEFT(T$2,2)*1,T$2),Data!$K$3:$K$305,$B46)</f>
        <v>0</v>
      </c>
      <c r="V46" s="697">
        <f t="shared" si="45"/>
        <v>20833.333333333332</v>
      </c>
      <c r="W46" s="697">
        <f t="shared" si="43"/>
        <v>20833.333333333332</v>
      </c>
      <c r="X46" s="697">
        <f t="shared" si="43"/>
        <v>20833.333333333332</v>
      </c>
      <c r="Y46" s="697">
        <f t="shared" si="43"/>
        <v>20833.333333333332</v>
      </c>
      <c r="Z46" s="697">
        <f t="shared" si="43"/>
        <v>20833.333333333332</v>
      </c>
      <c r="AA46" s="697">
        <f t="shared" si="43"/>
        <v>20833.333333333332</v>
      </c>
      <c r="AB46" s="697">
        <f t="shared" si="43"/>
        <v>20833.333333333332</v>
      </c>
      <c r="AC46" s="697">
        <f t="shared" si="43"/>
        <v>20833.333333333332</v>
      </c>
      <c r="AD46" s="697">
        <f t="shared" si="43"/>
        <v>20833.333333333332</v>
      </c>
      <c r="AE46" s="697"/>
      <c r="AF46" s="697">
        <f ca="1">IFERROR(1/AF$3,1)*SUMIFS(Data!$AD$3:$AD$305,Data!$Y$3:$Y$305,AF$1,Data!$Z$3:$Z$305,IF(RIGHT(AF$2,3)="YTD","&lt;="&amp;LEFT(AF$2,2)*1,AF$2),Data!$K$3:$K$305,$B22)</f>
        <v>0</v>
      </c>
      <c r="AG46" s="697">
        <f t="shared" ca="1" si="38"/>
        <v>83333.333333333328</v>
      </c>
      <c r="AH46" s="716">
        <f t="shared" ca="1" si="39"/>
        <v>-83333.333333333328</v>
      </c>
      <c r="AJ46" s="697">
        <v>130576</v>
      </c>
      <c r="AK46" s="711">
        <v>250000</v>
      </c>
    </row>
    <row r="47" spans="1:37" hidden="1" outlineLevel="1" x14ac:dyDescent="0.3">
      <c r="A47" s="437" t="s">
        <v>591</v>
      </c>
      <c r="B47" s="723" t="s">
        <v>592</v>
      </c>
      <c r="C47" s="666" t="s">
        <v>653</v>
      </c>
      <c r="E47" s="697">
        <f t="shared" si="40"/>
        <v>742</v>
      </c>
      <c r="F47" s="697">
        <f ca="1">IFERROR(1/F$3,1)*SUMIFS(Data!$AD$3:$AD$305,Data!$Y$3:$Y$305,F$1,Data!$Z$3:$Z$305,IF(RIGHT(F$2,3)="YTD","&lt;="&amp;LEFT(F$2,2)*1,F$2),Data!$K$3:$K$305,$B47)</f>
        <v>0</v>
      </c>
      <c r="G47" s="697">
        <f t="shared" si="41"/>
        <v>0</v>
      </c>
      <c r="H47" s="719"/>
      <c r="I47" s="710">
        <f>IFERROR(1/I$3,1)*SUMIFS(Data!$AD$3:$AD$305,Data!$Y$3:$Y$305,I$1,Data!$Z$3:$Z$305,IF(RIGHT(I$2,3)="YTD","&lt;="&amp;LEFT(I$2,2)*1,I$2),Data!$K$3:$K$305,$B47)</f>
        <v>0</v>
      </c>
      <c r="J47" s="710">
        <f>IFERROR(1/J$3,1)*SUMIFS(Data!$AD$3:$AD$305,Data!$Y$3:$Y$305,J$1,Data!$Z$3:$Z$305,IF(RIGHT(J$2,3)="YTD","&lt;="&amp;LEFT(J$2,2)*1,J$2),Data!$K$3:$K$305,$B47)</f>
        <v>0</v>
      </c>
      <c r="K47" s="710">
        <f>IFERROR(1/K$3,1)*SUMIFS(Data!$AD$3:$AD$305,Data!$Y$3:$Y$305,K$1,Data!$Z$3:$Z$305,IF(RIGHT(K$2,3)="YTD","&lt;="&amp;LEFT(K$2,2)*1,K$2),Data!$K$3:$K$305,$B47)</f>
        <v>0</v>
      </c>
      <c r="L47" s="710">
        <f>IFERROR(1/L$3,1)*SUMIFS(Data!$AD$3:$AD$305,Data!$Y$3:$Y$305,L$1,Data!$Z$3:$Z$305,IF(RIGHT(L$2,3)="YTD","&lt;="&amp;LEFT(L$2,2)*1,L$2),Data!$K$3:$K$305,$B47)</f>
        <v>0</v>
      </c>
      <c r="M47" s="710">
        <f>IFERROR(1/M$3,1)*SUMIFS(Data!$AD$3:$AD$305,Data!$Y$3:$Y$305,M$1,Data!$Z$3:$Z$305,IF(RIGHT(M$2,3)="YTD","&lt;="&amp;LEFT(M$2,2)*1,M$2),Data!$K$3:$K$305,$B47)</f>
        <v>0</v>
      </c>
      <c r="N47" s="710">
        <f>IFERROR(1/N$3,1)*SUMIFS(Data!$AD$3:$AD$305,Data!$Y$3:$Y$305,N$1,Data!$Z$3:$Z$305,IF(RIGHT(N$2,3)="YTD","&lt;="&amp;LEFT(N$2,2)*1,N$2),Data!$K$3:$K$305,$B47)</f>
        <v>0</v>
      </c>
      <c r="O47" s="710">
        <f>IFERROR(1/O$3,1)*SUMIFS(Data!$AD$3:$AD$305,Data!$Y$3:$Y$305,O$1,Data!$Z$3:$Z$305,IF(RIGHT(O$2,3)="YTD","&lt;="&amp;LEFT(O$2,2)*1,O$2),Data!$K$3:$K$305,$B47)</f>
        <v>0</v>
      </c>
      <c r="P47" s="710">
        <f>IFERROR(1/P$3,1)*SUMIFS(Data!$AD$3:$AD$305,Data!$Y$3:$Y$305,P$1,Data!$Z$3:$Z$305,IF(RIGHT(P$2,3)="YTD","&lt;="&amp;LEFT(P$2,2)*1,P$2),Data!$K$3:$K$305,$B47)</f>
        <v>0</v>
      </c>
      <c r="Q47" s="710">
        <f>IFERROR(1/Q$3,1)*SUMIFS(Data!$AD$3:$AD$305,Data!$Y$3:$Y$305,Q$1,Data!$Z$3:$Z$305,IF(RIGHT(Q$2,3)="YTD","&lt;="&amp;LEFT(Q$2,2)*1,Q$2),Data!$K$3:$K$305,$B47)</f>
        <v>0</v>
      </c>
      <c r="R47" s="710">
        <f>IFERROR(1/R$3,1)*SUMIFS(Data!$AD$3:$AD$305,Data!$Y$3:$Y$305,R$1,Data!$Z$3:$Z$305,IF(RIGHT(R$2,3)="YTD","&lt;="&amp;LEFT(R$2,2)*1,R$2),Data!$K$3:$K$305,$B47)</f>
        <v>0</v>
      </c>
      <c r="S47" s="710">
        <f>IFERROR(1/S$3,1)*SUMIFS(Data!$AD$3:$AD$305,Data!$Y$3:$Y$305,S$1,Data!$Z$3:$Z$305,IF(RIGHT(S$2,3)="YTD","&lt;="&amp;LEFT(S$2,2)*1,S$2),Data!$K$3:$K$305,$B47)</f>
        <v>0</v>
      </c>
      <c r="T47" s="710">
        <f>IFERROR(1/T$3,1)*SUMIFS(Data!$AD$3:$AD$305,Data!$Y$3:$Y$305,T$1,Data!$Z$3:$Z$305,IF(RIGHT(T$2,3)="YTD","&lt;="&amp;LEFT(T$2,2)*1,T$2),Data!$K$3:$K$305,$B47)</f>
        <v>0</v>
      </c>
      <c r="V47" s="697">
        <f t="shared" si="42"/>
        <v>0</v>
      </c>
      <c r="W47" s="697">
        <f t="shared" si="43"/>
        <v>0</v>
      </c>
      <c r="X47" s="697">
        <f t="shared" si="43"/>
        <v>0</v>
      </c>
      <c r="Y47" s="697">
        <f t="shared" si="43"/>
        <v>0</v>
      </c>
      <c r="Z47" s="697">
        <f t="shared" si="43"/>
        <v>0</v>
      </c>
      <c r="AA47" s="697">
        <f t="shared" si="43"/>
        <v>0</v>
      </c>
      <c r="AB47" s="697">
        <f t="shared" si="43"/>
        <v>0</v>
      </c>
      <c r="AC47" s="697">
        <f t="shared" si="43"/>
        <v>0</v>
      </c>
      <c r="AD47" s="697">
        <f t="shared" si="43"/>
        <v>0</v>
      </c>
      <c r="AE47" s="697"/>
      <c r="AF47" s="697">
        <f ca="1">IFERROR(1/AF$3,1)*SUMIFS(Data!$AD$3:$AD$305,Data!$Y$3:$Y$305,AF$1,Data!$Z$3:$Z$305,IF(RIGHT(AF$2,3)="YTD","&lt;="&amp;LEFT(AF$2,2)*1,AF$2),Data!$K$3:$K$305,$B23)</f>
        <v>0</v>
      </c>
      <c r="AG47" s="697">
        <f t="shared" ca="1" si="38"/>
        <v>0</v>
      </c>
      <c r="AH47" s="716">
        <f t="shared" ca="1" si="39"/>
        <v>0</v>
      </c>
      <c r="AJ47" s="697">
        <v>8904</v>
      </c>
      <c r="AK47" s="697">
        <v>0</v>
      </c>
    </row>
    <row r="48" spans="1:37" hidden="1" outlineLevel="1" x14ac:dyDescent="0.3">
      <c r="B48" s="723" t="s">
        <v>584</v>
      </c>
      <c r="C48" s="666" t="s">
        <v>653</v>
      </c>
      <c r="E48" s="697">
        <f t="shared" si="40"/>
        <v>22610</v>
      </c>
      <c r="F48" s="697">
        <f ca="1">IFERROR(1/F$3,1)*SUMIFS(Data!$AD$3:$AD$305,Data!$Y$3:$Y$305,F$1,Data!$Z$3:$Z$305,IF(RIGHT(F$2,3)="YTD","&lt;="&amp;LEFT(F$2,2)*1,F$2),Data!$K$3:$K$305,$B48)</f>
        <v>0</v>
      </c>
      <c r="G48" s="697">
        <f t="shared" si="41"/>
        <v>0</v>
      </c>
      <c r="H48" s="719"/>
      <c r="I48" s="710">
        <f>IFERROR(1/I$3,1)*SUMIFS(Data!$AD$3:$AD$305,Data!$Y$3:$Y$305,I$1,Data!$Z$3:$Z$305,IF(RIGHT(I$2,3)="YTD","&lt;="&amp;LEFT(I$2,2)*1,I$2),Data!$K$3:$K$305,$B48)</f>
        <v>0</v>
      </c>
      <c r="J48" s="710">
        <f>IFERROR(1/J$3,1)*SUMIFS(Data!$AD$3:$AD$305,Data!$Y$3:$Y$305,J$1,Data!$Z$3:$Z$305,IF(RIGHT(J$2,3)="YTD","&lt;="&amp;LEFT(J$2,2)*1,J$2),Data!$K$3:$K$305,$B48)</f>
        <v>0</v>
      </c>
      <c r="K48" s="710">
        <f>IFERROR(1/K$3,1)*SUMIFS(Data!$AD$3:$AD$305,Data!$Y$3:$Y$305,K$1,Data!$Z$3:$Z$305,IF(RIGHT(K$2,3)="YTD","&lt;="&amp;LEFT(K$2,2)*1,K$2),Data!$K$3:$K$305,$B48)</f>
        <v>0</v>
      </c>
      <c r="L48" s="710">
        <f>IFERROR(1/L$3,1)*SUMIFS(Data!$AD$3:$AD$305,Data!$Y$3:$Y$305,L$1,Data!$Z$3:$Z$305,IF(RIGHT(L$2,3)="YTD","&lt;="&amp;LEFT(L$2,2)*1,L$2),Data!$K$3:$K$305,$B48)</f>
        <v>0</v>
      </c>
      <c r="M48" s="710">
        <f>IFERROR(1/M$3,1)*SUMIFS(Data!$AD$3:$AD$305,Data!$Y$3:$Y$305,M$1,Data!$Z$3:$Z$305,IF(RIGHT(M$2,3)="YTD","&lt;="&amp;LEFT(M$2,2)*1,M$2),Data!$K$3:$K$305,$B48)</f>
        <v>0</v>
      </c>
      <c r="N48" s="710">
        <f>IFERROR(1/N$3,1)*SUMIFS(Data!$AD$3:$AD$305,Data!$Y$3:$Y$305,N$1,Data!$Z$3:$Z$305,IF(RIGHT(N$2,3)="YTD","&lt;="&amp;LEFT(N$2,2)*1,N$2),Data!$K$3:$K$305,$B48)</f>
        <v>0</v>
      </c>
      <c r="O48" s="710">
        <f>IFERROR(1/O$3,1)*SUMIFS(Data!$AD$3:$AD$305,Data!$Y$3:$Y$305,O$1,Data!$Z$3:$Z$305,IF(RIGHT(O$2,3)="YTD","&lt;="&amp;LEFT(O$2,2)*1,O$2),Data!$K$3:$K$305,$B48)</f>
        <v>0</v>
      </c>
      <c r="P48" s="710">
        <f>IFERROR(1/P$3,1)*SUMIFS(Data!$AD$3:$AD$305,Data!$Y$3:$Y$305,P$1,Data!$Z$3:$Z$305,IF(RIGHT(P$2,3)="YTD","&lt;="&amp;LEFT(P$2,2)*1,P$2),Data!$K$3:$K$305,$B48)</f>
        <v>0</v>
      </c>
      <c r="Q48" s="710">
        <f>IFERROR(1/Q$3,1)*SUMIFS(Data!$AD$3:$AD$305,Data!$Y$3:$Y$305,Q$1,Data!$Z$3:$Z$305,IF(RIGHT(Q$2,3)="YTD","&lt;="&amp;LEFT(Q$2,2)*1,Q$2),Data!$K$3:$K$305,$B48)</f>
        <v>0</v>
      </c>
      <c r="R48" s="710">
        <f>IFERROR(1/R$3,1)*SUMIFS(Data!$AD$3:$AD$305,Data!$Y$3:$Y$305,R$1,Data!$Z$3:$Z$305,IF(RIGHT(R$2,3)="YTD","&lt;="&amp;LEFT(R$2,2)*1,R$2),Data!$K$3:$K$305,$B48)</f>
        <v>0</v>
      </c>
      <c r="S48" s="710">
        <f>IFERROR(1/S$3,1)*SUMIFS(Data!$AD$3:$AD$305,Data!$Y$3:$Y$305,S$1,Data!$Z$3:$Z$305,IF(RIGHT(S$2,3)="YTD","&lt;="&amp;LEFT(S$2,2)*1,S$2),Data!$K$3:$K$305,$B48)</f>
        <v>0</v>
      </c>
      <c r="T48" s="710">
        <f>IFERROR(1/T$3,1)*SUMIFS(Data!$AD$3:$AD$305,Data!$Y$3:$Y$305,T$1,Data!$Z$3:$Z$305,IF(RIGHT(T$2,3)="YTD","&lt;="&amp;LEFT(T$2,2)*1,T$2),Data!$K$3:$K$305,$B48)</f>
        <v>0</v>
      </c>
      <c r="V48" s="697">
        <f t="shared" si="42"/>
        <v>0</v>
      </c>
      <c r="W48" s="697">
        <f t="shared" si="43"/>
        <v>0</v>
      </c>
      <c r="X48" s="697">
        <f t="shared" si="43"/>
        <v>0</v>
      </c>
      <c r="Y48" s="697">
        <f t="shared" si="43"/>
        <v>0</v>
      </c>
      <c r="Z48" s="697">
        <f t="shared" si="43"/>
        <v>0</v>
      </c>
      <c r="AA48" s="697">
        <f t="shared" si="43"/>
        <v>0</v>
      </c>
      <c r="AB48" s="697">
        <f t="shared" si="43"/>
        <v>0</v>
      </c>
      <c r="AC48" s="697">
        <f t="shared" si="43"/>
        <v>0</v>
      </c>
      <c r="AD48" s="697">
        <f t="shared" si="43"/>
        <v>0</v>
      </c>
      <c r="AE48" s="697"/>
      <c r="AF48" s="697">
        <f ca="1">IFERROR(1/AF$3,1)*SUMIFS(Data!$AD$3:$AD$305,Data!$Y$3:$Y$305,AF$1,Data!$Z$3:$Z$305,IF(RIGHT(AF$2,3)="YTD","&lt;="&amp;LEFT(AF$2,2)*1,AF$2),Data!$K$3:$K$305,$B24)</f>
        <v>0</v>
      </c>
      <c r="AG48" s="697">
        <f t="shared" ca="1" si="38"/>
        <v>0</v>
      </c>
      <c r="AH48" s="716">
        <f t="shared" ca="1" si="39"/>
        <v>0</v>
      </c>
      <c r="AJ48" s="697">
        <v>271320</v>
      </c>
      <c r="AK48" s="697">
        <v>0</v>
      </c>
    </row>
    <row r="49" spans="2:45" s="391" customFormat="1" hidden="1" outlineLevel="1" x14ac:dyDescent="0.3">
      <c r="B49" s="724" t="s">
        <v>601</v>
      </c>
      <c r="C49" s="666" t="s">
        <v>653</v>
      </c>
      <c r="D49"/>
      <c r="E49" s="711"/>
      <c r="F49" s="711"/>
      <c r="G49" s="697"/>
      <c r="H49" s="719"/>
      <c r="I49" s="712">
        <f>SUM(I39:I48)</f>
        <v>0</v>
      </c>
      <c r="J49" s="712">
        <f t="shared" ref="J49:Y49" si="46">SUM(J39:J48)</f>
        <v>0</v>
      </c>
      <c r="K49" s="712">
        <f t="shared" si="46"/>
        <v>0</v>
      </c>
      <c r="L49" s="712">
        <f t="shared" si="46"/>
        <v>0</v>
      </c>
      <c r="M49" s="712">
        <f t="shared" si="46"/>
        <v>0</v>
      </c>
      <c r="N49" s="712">
        <f t="shared" si="46"/>
        <v>0</v>
      </c>
      <c r="O49" s="712">
        <f t="shared" si="46"/>
        <v>0</v>
      </c>
      <c r="P49" s="712">
        <f t="shared" si="46"/>
        <v>0</v>
      </c>
      <c r="Q49" s="712">
        <f t="shared" si="46"/>
        <v>0</v>
      </c>
      <c r="R49" s="712">
        <f t="shared" si="46"/>
        <v>0</v>
      </c>
      <c r="S49" s="712">
        <f t="shared" si="46"/>
        <v>0</v>
      </c>
      <c r="T49" s="712">
        <f t="shared" si="46"/>
        <v>0</v>
      </c>
      <c r="U49" s="712"/>
      <c r="V49" s="712">
        <f t="shared" si="46"/>
        <v>76250</v>
      </c>
      <c r="W49" s="712">
        <f t="shared" si="46"/>
        <v>76250</v>
      </c>
      <c r="X49" s="712">
        <f t="shared" si="46"/>
        <v>76250</v>
      </c>
      <c r="Y49" s="712">
        <f t="shared" si="46"/>
        <v>76250</v>
      </c>
      <c r="Z49" s="711"/>
      <c r="AA49" s="711"/>
      <c r="AB49" s="711"/>
      <c r="AC49" s="711"/>
      <c r="AD49" s="711"/>
      <c r="AE49" s="711"/>
      <c r="AF49" s="711">
        <f ca="1">SUM(AF39:AF48)</f>
        <v>0</v>
      </c>
      <c r="AG49" s="711">
        <f ca="1">SUM(AG39:AG48)</f>
        <v>305000</v>
      </c>
      <c r="AH49" s="711">
        <f ca="1">SUM(AH39:AH48)</f>
        <v>-305000</v>
      </c>
      <c r="AI49"/>
      <c r="AJ49" s="711">
        <v>1606577.5</v>
      </c>
      <c r="AK49" s="711">
        <f>SUM(AK39:AK48)</f>
        <v>915000</v>
      </c>
    </row>
    <row r="50" spans="2:45" hidden="1" outlineLevel="1" x14ac:dyDescent="0.3">
      <c r="B50" s="726" t="s">
        <v>593</v>
      </c>
      <c r="C50" s="666" t="s">
        <v>653</v>
      </c>
      <c r="E50" s="713">
        <f t="shared" si="40"/>
        <v>245265.98583333334</v>
      </c>
      <c r="F50" s="713">
        <f ca="1">SUM(I50:T50)/LEFT($F$2,2)</f>
        <v>287294.10333333333</v>
      </c>
      <c r="G50" s="713">
        <f t="shared" si="41"/>
        <v>552500</v>
      </c>
      <c r="H50" s="719"/>
      <c r="I50" s="714">
        <f>Reporting!C74</f>
        <v>387460</v>
      </c>
      <c r="J50" s="714">
        <f>Reporting!D74</f>
        <v>296375.80999999994</v>
      </c>
      <c r="K50" s="714">
        <f>Reporting!E74</f>
        <v>176379.5</v>
      </c>
      <c r="L50" s="714">
        <f>Reporting!F74</f>
        <v>1667</v>
      </c>
      <c r="M50" s="714">
        <f>Reporting!G74</f>
        <v>0</v>
      </c>
      <c r="N50" s="704">
        <f>Reporting!H74</f>
        <v>0</v>
      </c>
      <c r="O50" s="704">
        <f>Reporting!I74</f>
        <v>0</v>
      </c>
      <c r="P50" s="704">
        <f>Reporting!J74</f>
        <v>0</v>
      </c>
      <c r="Q50" s="704">
        <f>Reporting!K74</f>
        <v>0</v>
      </c>
      <c r="R50" s="704">
        <f>Reporting!L74</f>
        <v>0</v>
      </c>
      <c r="S50" s="704">
        <f>Reporting!M74</f>
        <v>0</v>
      </c>
      <c r="T50" s="704">
        <f>Reporting!N74</f>
        <v>0</v>
      </c>
      <c r="V50" s="703">
        <f>G50</f>
        <v>552500</v>
      </c>
      <c r="W50" s="713">
        <f>G50</f>
        <v>552500</v>
      </c>
      <c r="X50" s="713">
        <f>G50</f>
        <v>552500</v>
      </c>
      <c r="Y50" s="713">
        <f>G50</f>
        <v>552500</v>
      </c>
      <c r="Z50" s="713">
        <f>V50</f>
        <v>552500</v>
      </c>
      <c r="AA50" s="713">
        <f>V50</f>
        <v>552500</v>
      </c>
      <c r="AB50" s="713">
        <f>V50</f>
        <v>552500</v>
      </c>
      <c r="AC50" s="713">
        <f>V50</f>
        <v>552500</v>
      </c>
      <c r="AD50" s="713">
        <f>Z50</f>
        <v>552500</v>
      </c>
      <c r="AE50" s="713"/>
      <c r="AF50" s="713">
        <f>SUM(I50:T50)</f>
        <v>861882.30999999994</v>
      </c>
      <c r="AG50" s="713">
        <f ca="1">AK50/12*$C$5</f>
        <v>2210000</v>
      </c>
      <c r="AH50" s="721"/>
      <c r="AJ50" s="713">
        <v>2943191.83</v>
      </c>
      <c r="AK50" s="736">
        <v>6630000</v>
      </c>
    </row>
    <row r="51" spans="2:45" s="391" customFormat="1" hidden="1" outlineLevel="1" x14ac:dyDescent="0.3">
      <c r="B51" s="724" t="s">
        <v>602</v>
      </c>
      <c r="C51" s="666" t="s">
        <v>653</v>
      </c>
      <c r="D51"/>
      <c r="E51" s="711"/>
      <c r="F51" s="711"/>
      <c r="G51" s="697"/>
      <c r="H51" s="719"/>
      <c r="I51" s="712">
        <f>I49+I50</f>
        <v>387460</v>
      </c>
      <c r="J51" s="712">
        <f t="shared" ref="J51:K51" si="47">J49+J50</f>
        <v>296375.80999999994</v>
      </c>
      <c r="K51" s="712">
        <f t="shared" si="47"/>
        <v>176379.5</v>
      </c>
      <c r="L51" s="712">
        <f>L49+L50</f>
        <v>1667</v>
      </c>
      <c r="M51" s="712">
        <f t="shared" ref="M51:N51" si="48">M49+M50</f>
        <v>0</v>
      </c>
      <c r="N51" s="712">
        <f t="shared" si="48"/>
        <v>0</v>
      </c>
      <c r="O51" s="712">
        <f t="shared" ref="O51" si="49">O49+O50</f>
        <v>0</v>
      </c>
      <c r="P51" s="712">
        <f t="shared" ref="P51" si="50">P49+P50</f>
        <v>0</v>
      </c>
      <c r="Q51" s="712">
        <f t="shared" ref="Q51" si="51">Q49+Q50</f>
        <v>0</v>
      </c>
      <c r="R51" s="712">
        <f t="shared" ref="R51" si="52">R49+R50</f>
        <v>0</v>
      </c>
      <c r="S51" s="712">
        <f t="shared" ref="S51" si="53">S49+S50</f>
        <v>0</v>
      </c>
      <c r="T51" s="712">
        <f t="shared" ref="T51" si="54">T49+T50</f>
        <v>0</v>
      </c>
      <c r="U51" s="712"/>
      <c r="V51" s="712">
        <f t="shared" ref="V51" si="55">V49+V50</f>
        <v>628750</v>
      </c>
      <c r="W51" s="712">
        <f t="shared" ref="W51" si="56">W49+W50</f>
        <v>628750</v>
      </c>
      <c r="X51" s="712">
        <f t="shared" ref="X51" si="57">X49+X50</f>
        <v>628750</v>
      </c>
      <c r="Y51" s="712">
        <f t="shared" ref="Y51" si="58">Y49+Y50</f>
        <v>628750</v>
      </c>
      <c r="Z51" s="711">
        <f>W51</f>
        <v>628750</v>
      </c>
      <c r="AA51" s="711">
        <f>X51</f>
        <v>628750</v>
      </c>
      <c r="AB51" s="711">
        <f t="shared" ref="AB51" si="59">X51</f>
        <v>628750</v>
      </c>
      <c r="AC51" s="711">
        <f t="shared" ref="AC51" si="60">X51</f>
        <v>628750</v>
      </c>
      <c r="AD51" s="711">
        <f t="shared" ref="AD51" si="61">X51</f>
        <v>628750</v>
      </c>
      <c r="AE51" s="711"/>
      <c r="AF51" s="711">
        <f>SUM(I51:S51)</f>
        <v>861882.30999999994</v>
      </c>
      <c r="AG51" s="711">
        <f ca="1">AD51*C5</f>
        <v>2515000</v>
      </c>
      <c r="AH51" s="715"/>
      <c r="AI51"/>
      <c r="AJ51" s="711">
        <f>SUM(M51:W51)</f>
        <v>1257500</v>
      </c>
      <c r="AK51" s="711"/>
      <c r="AL51" s="685"/>
      <c r="AM51" s="685"/>
      <c r="AN51" s="685"/>
      <c r="AO51" s="685"/>
      <c r="AP51" s="685"/>
      <c r="AQ51" s="685"/>
      <c r="AR51" s="685"/>
      <c r="AS51" s="685"/>
    </row>
    <row r="52" spans="2:45" s="391" customFormat="1" collapsed="1" x14ac:dyDescent="0.3">
      <c r="B52" s="724"/>
      <c r="C52" s="666"/>
      <c r="D52" s="437"/>
      <c r="E52" s="711"/>
      <c r="F52" s="711"/>
      <c r="G52" s="697"/>
      <c r="H52" s="719"/>
      <c r="I52" s="712"/>
      <c r="J52" s="712"/>
      <c r="K52" s="712"/>
      <c r="L52" s="712"/>
      <c r="M52" s="712"/>
      <c r="N52" s="702"/>
      <c r="O52" s="702"/>
      <c r="P52" s="702"/>
      <c r="Q52" s="702"/>
      <c r="R52" s="702"/>
      <c r="S52" s="702"/>
      <c r="T52" s="702"/>
      <c r="U52" s="437"/>
      <c r="V52" s="701"/>
      <c r="W52" s="711"/>
      <c r="X52" s="711"/>
      <c r="Y52" s="711"/>
      <c r="Z52" s="711"/>
      <c r="AA52" s="711"/>
      <c r="AB52" s="711"/>
      <c r="AC52" s="711"/>
      <c r="AD52" s="711"/>
      <c r="AE52" s="711"/>
      <c r="AF52" s="711"/>
      <c r="AG52" s="711"/>
      <c r="AH52" s="715"/>
      <c r="AI52" s="437"/>
      <c r="AJ52" s="711"/>
      <c r="AK52" s="711"/>
      <c r="AL52" s="685"/>
      <c r="AM52" s="685"/>
      <c r="AN52" s="685"/>
      <c r="AO52" s="685"/>
      <c r="AP52" s="685"/>
      <c r="AQ52" s="685"/>
      <c r="AR52" s="685"/>
      <c r="AS52" s="685"/>
    </row>
    <row r="53" spans="2:45" hidden="1" outlineLevel="1" x14ac:dyDescent="0.3">
      <c r="B53" s="728"/>
      <c r="C53" s="387"/>
      <c r="E53" s="706"/>
      <c r="F53" s="706"/>
      <c r="G53" s="706"/>
      <c r="I53" s="706"/>
      <c r="J53" s="706"/>
      <c r="K53" s="706"/>
      <c r="L53" s="706"/>
      <c r="M53" s="706"/>
      <c r="N53" s="706"/>
      <c r="O53" s="706"/>
      <c r="P53" s="706"/>
      <c r="Q53" s="706"/>
      <c r="R53" s="706"/>
      <c r="S53" s="706"/>
      <c r="T53" s="706"/>
      <c r="V53" s="706"/>
      <c r="W53" s="706"/>
      <c r="X53" s="706"/>
      <c r="Y53" s="706"/>
      <c r="Z53" s="706"/>
      <c r="AA53" s="706"/>
      <c r="AB53" s="706"/>
      <c r="AC53" s="706"/>
      <c r="AJ53" s="656"/>
      <c r="AK53" s="437"/>
    </row>
    <row r="54" spans="2:45" s="739" customFormat="1" hidden="1" outlineLevel="1" x14ac:dyDescent="0.3">
      <c r="C54" s="740"/>
      <c r="D54" s="741"/>
      <c r="E54" s="742" t="s">
        <v>550</v>
      </c>
      <c r="F54" s="743" t="s">
        <v>551</v>
      </c>
      <c r="G54" s="744" t="s">
        <v>788</v>
      </c>
      <c r="H54" s="745"/>
      <c r="I54" s="743" t="str">
        <f t="shared" ref="I54:T54" si="62">TEXT(I$2,"00")&amp;" "&amp;I$1</f>
        <v>01 2021</v>
      </c>
      <c r="J54" s="743" t="str">
        <f t="shared" si="62"/>
        <v>02 2021</v>
      </c>
      <c r="K54" s="743" t="str">
        <f t="shared" si="62"/>
        <v>03 2021</v>
      </c>
      <c r="L54" s="743" t="str">
        <f t="shared" si="62"/>
        <v>04 2021</v>
      </c>
      <c r="M54" s="743" t="str">
        <f t="shared" si="62"/>
        <v>05 2021</v>
      </c>
      <c r="N54" s="743" t="str">
        <f t="shared" si="62"/>
        <v>06 2021</v>
      </c>
      <c r="O54" s="743" t="str">
        <f t="shared" si="62"/>
        <v>07 2021</v>
      </c>
      <c r="P54" s="743" t="str">
        <f t="shared" si="62"/>
        <v>08 2021</v>
      </c>
      <c r="Q54" s="743" t="str">
        <f t="shared" si="62"/>
        <v>09 2021</v>
      </c>
      <c r="R54" s="743" t="str">
        <f t="shared" si="62"/>
        <v>10 2021</v>
      </c>
      <c r="S54" s="743" t="str">
        <f t="shared" si="62"/>
        <v>11 2021</v>
      </c>
      <c r="T54" s="743" t="str">
        <f t="shared" si="62"/>
        <v>12 2021</v>
      </c>
      <c r="U54" s="745"/>
      <c r="V54" s="746" t="s">
        <v>553</v>
      </c>
      <c r="W54" s="746" t="s">
        <v>558</v>
      </c>
      <c r="X54" s="746" t="s">
        <v>558</v>
      </c>
      <c r="Y54" s="746" t="s">
        <v>558</v>
      </c>
      <c r="Z54" s="746" t="s">
        <v>558</v>
      </c>
      <c r="AA54" s="746" t="s">
        <v>558</v>
      </c>
      <c r="AB54" s="746" t="s">
        <v>558</v>
      </c>
      <c r="AC54" s="746" t="s">
        <v>558</v>
      </c>
      <c r="AD54" s="746" t="s">
        <v>558</v>
      </c>
      <c r="AE54" s="740"/>
      <c r="AF54" s="743" t="str">
        <f ca="1">AF$2&amp;" "&amp;AF$1</f>
        <v>3 YTD 2021</v>
      </c>
      <c r="AG54" s="744" t="str">
        <f ca="1">AG$2&amp;" "&amp;AG$1</f>
        <v>3 YTD 2022</v>
      </c>
      <c r="AH54" s="747" t="str">
        <f ca="1">AH$2&amp;" "&amp;AH$1</f>
        <v>3 YTD 2021</v>
      </c>
      <c r="AI54" s="745"/>
      <c r="AJ54" s="748" t="str">
        <f>AJ$2&amp;" "&amp;AJ$1</f>
        <v>12 YTD 2020</v>
      </c>
      <c r="AK54" s="744" t="str">
        <f>AK$2&amp;" "&amp;AK$1</f>
        <v>12 YTD 2022</v>
      </c>
    </row>
    <row r="55" spans="2:45" s="749" customFormat="1" hidden="1" outlineLevel="1" x14ac:dyDescent="0.3">
      <c r="C55" s="750"/>
      <c r="D55" s="745"/>
      <c r="E55" s="742" t="s">
        <v>245</v>
      </c>
      <c r="F55" s="743" t="s">
        <v>245</v>
      </c>
      <c r="G55" s="744" t="s">
        <v>115</v>
      </c>
      <c r="H55" s="745"/>
      <c r="I55" s="743" t="s">
        <v>245</v>
      </c>
      <c r="J55" s="743" t="s">
        <v>245</v>
      </c>
      <c r="K55" s="743" t="s">
        <v>245</v>
      </c>
      <c r="L55" s="743" t="s">
        <v>245</v>
      </c>
      <c r="M55" s="743" t="s">
        <v>245</v>
      </c>
      <c r="N55" s="743" t="s">
        <v>245</v>
      </c>
      <c r="O55" s="743" t="s">
        <v>245</v>
      </c>
      <c r="P55" s="743" t="s">
        <v>245</v>
      </c>
      <c r="Q55" s="743" t="s">
        <v>245</v>
      </c>
      <c r="R55" s="743" t="s">
        <v>245</v>
      </c>
      <c r="S55" s="743" t="s">
        <v>245</v>
      </c>
      <c r="T55" s="743" t="s">
        <v>245</v>
      </c>
      <c r="U55" s="745"/>
      <c r="V55" s="746" t="s">
        <v>564</v>
      </c>
      <c r="W55" s="746" t="s">
        <v>564</v>
      </c>
      <c r="X55" s="746" t="s">
        <v>564</v>
      </c>
      <c r="Y55" s="746" t="s">
        <v>564</v>
      </c>
      <c r="Z55" s="746" t="s">
        <v>564</v>
      </c>
      <c r="AA55" s="746" t="s">
        <v>564</v>
      </c>
      <c r="AB55" s="746" t="s">
        <v>564</v>
      </c>
      <c r="AC55" s="746" t="s">
        <v>564</v>
      </c>
      <c r="AD55" s="746" t="s">
        <v>564</v>
      </c>
      <c r="AE55" s="740"/>
      <c r="AF55" s="743" t="s">
        <v>654</v>
      </c>
      <c r="AG55" s="744" t="s">
        <v>655</v>
      </c>
      <c r="AH55" s="751" t="s">
        <v>652</v>
      </c>
      <c r="AI55" s="745"/>
      <c r="AJ55" s="748" t="s">
        <v>654</v>
      </c>
      <c r="AK55" s="744" t="s">
        <v>655</v>
      </c>
    </row>
    <row r="56" spans="2:45" s="745" customFormat="1" hidden="1" outlineLevel="1" x14ac:dyDescent="0.3">
      <c r="B56" s="752" t="s">
        <v>530</v>
      </c>
    </row>
    <row r="57" spans="2:45" s="741" customFormat="1" hidden="1" outlineLevel="1" x14ac:dyDescent="0.3">
      <c r="B57" s="753" t="s">
        <v>547</v>
      </c>
      <c r="C57" s="740" t="s">
        <v>566</v>
      </c>
      <c r="E57" s="754"/>
      <c r="F57" s="754">
        <f ca="1">IFERROR(1/F$3,1)*SUM(I57:T57)</f>
        <v>54.333333333333329</v>
      </c>
      <c r="G57" s="754">
        <f>AK57/12</f>
        <v>95.75</v>
      </c>
      <c r="H57" s="755"/>
      <c r="I57" s="754">
        <v>46</v>
      </c>
      <c r="J57" s="754">
        <v>44</v>
      </c>
      <c r="K57" s="754">
        <v>61</v>
      </c>
      <c r="L57" s="754">
        <v>12</v>
      </c>
      <c r="M57" s="754"/>
      <c r="N57" s="754"/>
      <c r="O57" s="754"/>
      <c r="P57" s="754"/>
      <c r="Q57" s="754"/>
      <c r="R57" s="754"/>
      <c r="S57" s="754"/>
      <c r="T57" s="754"/>
      <c r="U57" s="755"/>
      <c r="V57" s="754">
        <f>G57</f>
        <v>95.75</v>
      </c>
      <c r="W57" s="754">
        <f>G57</f>
        <v>95.75</v>
      </c>
      <c r="X57" s="754">
        <f>G57</f>
        <v>95.75</v>
      </c>
      <c r="Y57" s="754">
        <f>G57</f>
        <v>95.75</v>
      </c>
      <c r="Z57" s="754">
        <f>G57</f>
        <v>95.75</v>
      </c>
      <c r="AA57" s="754">
        <f t="shared" ref="AA57:AD57" si="63">W57</f>
        <v>95.75</v>
      </c>
      <c r="AB57" s="754">
        <f t="shared" si="63"/>
        <v>95.75</v>
      </c>
      <c r="AC57" s="754">
        <f t="shared" si="63"/>
        <v>95.75</v>
      </c>
      <c r="AD57" s="754">
        <f t="shared" si="63"/>
        <v>95.75</v>
      </c>
      <c r="AE57" s="754"/>
      <c r="AF57" s="754">
        <f>SUM(I57:L57)</f>
        <v>163</v>
      </c>
      <c r="AG57" s="754">
        <f ca="1">AD57*C5</f>
        <v>383</v>
      </c>
      <c r="AH57" s="755"/>
      <c r="AI57" s="755"/>
      <c r="AJ57" s="754">
        <f>SUM(M57:P57)</f>
        <v>0</v>
      </c>
      <c r="AK57" s="754">
        <v>1149</v>
      </c>
    </row>
    <row r="58" spans="2:45" s="741" customFormat="1" hidden="1" outlineLevel="1" x14ac:dyDescent="0.3">
      <c r="B58" s="753" t="s">
        <v>548</v>
      </c>
      <c r="C58" s="740" t="s">
        <v>567</v>
      </c>
      <c r="E58" s="754"/>
      <c r="F58" s="754">
        <f ca="1">IFERROR(1/F$3,1)*SUM(I58:T58)</f>
        <v>6302.2599999999993</v>
      </c>
      <c r="G58" s="754">
        <f>AK58/12</f>
        <v>17833.333333333332</v>
      </c>
      <c r="H58" s="755"/>
      <c r="I58" s="754">
        <v>8169.79</v>
      </c>
      <c r="J58" s="754">
        <v>7471.4</v>
      </c>
      <c r="K58" s="754">
        <v>-410.41</v>
      </c>
      <c r="L58" s="754">
        <v>3676</v>
      </c>
      <c r="M58" s="754"/>
      <c r="N58" s="754"/>
      <c r="O58" s="754"/>
      <c r="P58" s="754"/>
      <c r="Q58" s="754"/>
      <c r="R58" s="754"/>
      <c r="S58" s="754"/>
      <c r="T58" s="754"/>
      <c r="U58" s="755"/>
      <c r="V58" s="754">
        <f t="shared" ref="V58:V59" si="64">G58</f>
        <v>17833.333333333332</v>
      </c>
      <c r="W58" s="754">
        <f>G58</f>
        <v>17833.333333333332</v>
      </c>
      <c r="X58" s="754">
        <f>G58</f>
        <v>17833.333333333332</v>
      </c>
      <c r="Y58" s="754">
        <f>G58</f>
        <v>17833.333333333332</v>
      </c>
      <c r="Z58" s="754">
        <f>G58</f>
        <v>17833.333333333332</v>
      </c>
      <c r="AA58" s="754">
        <f t="shared" ref="AA58:AA59" si="65">W58</f>
        <v>17833.333333333332</v>
      </c>
      <c r="AB58" s="754">
        <f t="shared" ref="AB58:AB59" si="66">X58</f>
        <v>17833.333333333332</v>
      </c>
      <c r="AC58" s="754">
        <f t="shared" ref="AC58:AC59" si="67">Y58</f>
        <v>17833.333333333332</v>
      </c>
      <c r="AD58" s="754">
        <f t="shared" ref="AD58:AD59" si="68">Z58</f>
        <v>17833.333333333332</v>
      </c>
      <c r="AE58" s="754"/>
      <c r="AF58" s="754">
        <f>SUM(I58:K58)</f>
        <v>15230.779999999999</v>
      </c>
      <c r="AG58" s="754">
        <f ca="1">AD58*C5</f>
        <v>71333.333333333328</v>
      </c>
      <c r="AH58" s="755"/>
      <c r="AI58" s="755"/>
      <c r="AJ58" s="754">
        <f>SUM(M58:O58)</f>
        <v>0</v>
      </c>
      <c r="AK58" s="754">
        <v>214000</v>
      </c>
    </row>
    <row r="59" spans="2:45" s="741" customFormat="1" hidden="1" outlineLevel="1" x14ac:dyDescent="0.3">
      <c r="B59" s="753" t="s">
        <v>549</v>
      </c>
      <c r="C59" s="740" t="s">
        <v>567</v>
      </c>
      <c r="E59" s="754"/>
      <c r="F59" s="754">
        <f ca="1">IFERROR(1/F$3,1)*SUM(I59:T59)</f>
        <v>10738.866666666665</v>
      </c>
      <c r="G59" s="754">
        <f>AK59/12</f>
        <v>41666.666666666664</v>
      </c>
      <c r="H59" s="755"/>
      <c r="I59" s="754">
        <v>11726</v>
      </c>
      <c r="J59" s="754">
        <v>11843.6</v>
      </c>
      <c r="K59" s="754">
        <v>3296</v>
      </c>
      <c r="L59" s="754">
        <v>5351</v>
      </c>
      <c r="M59" s="754"/>
      <c r="N59" s="754"/>
      <c r="O59" s="754"/>
      <c r="P59" s="754"/>
      <c r="Q59" s="754"/>
      <c r="R59" s="754"/>
      <c r="S59" s="754"/>
      <c r="T59" s="754"/>
      <c r="U59" s="755"/>
      <c r="V59" s="754">
        <f t="shared" si="64"/>
        <v>41666.666666666664</v>
      </c>
      <c r="W59" s="754">
        <f>G59</f>
        <v>41666.666666666664</v>
      </c>
      <c r="X59" s="754">
        <f>G59</f>
        <v>41666.666666666664</v>
      </c>
      <c r="Y59" s="754">
        <f>G59</f>
        <v>41666.666666666664</v>
      </c>
      <c r="Z59" s="754">
        <f>G59</f>
        <v>41666.666666666664</v>
      </c>
      <c r="AA59" s="754">
        <f t="shared" si="65"/>
        <v>41666.666666666664</v>
      </c>
      <c r="AB59" s="754">
        <f t="shared" si="66"/>
        <v>41666.666666666664</v>
      </c>
      <c r="AC59" s="754">
        <f t="shared" si="67"/>
        <v>41666.666666666664</v>
      </c>
      <c r="AD59" s="754">
        <f t="shared" si="68"/>
        <v>41666.666666666664</v>
      </c>
      <c r="AE59" s="754"/>
      <c r="AF59" s="754">
        <f>SUM(I59:K59)</f>
        <v>26865.599999999999</v>
      </c>
      <c r="AG59" s="754">
        <f ca="1">AD59*C5</f>
        <v>166666.66666666666</v>
      </c>
      <c r="AH59" s="755"/>
      <c r="AI59" s="755"/>
      <c r="AJ59" s="754">
        <f>SUM(M59:O59)</f>
        <v>0</v>
      </c>
      <c r="AK59" s="754">
        <v>500000</v>
      </c>
    </row>
    <row r="60" spans="2:45" hidden="1" outlineLevel="1" x14ac:dyDescent="0.3">
      <c r="B60" s="725"/>
      <c r="C60" s="658"/>
    </row>
    <row r="61" spans="2:45" hidden="1" outlineLevel="1" x14ac:dyDescent="0.3"/>
    <row r="62" spans="2:45" hidden="1" outlineLevel="1" x14ac:dyDescent="0.3">
      <c r="F62" s="733"/>
    </row>
    <row r="63" spans="2:45" hidden="1" outlineLevel="1" x14ac:dyDescent="0.3"/>
    <row r="64" spans="2:45" collapsed="1" x14ac:dyDescent="0.3"/>
  </sheetData>
  <phoneticPr fontId="54" type="noConversion"/>
  <conditionalFormatting sqref="B26:C26 E26:G26 I26:M26 AF26:AH26 B39:C48 B50:C50 E39:G48 I39:M48 I50:M50 W39:AD48 W50:AD50 AF39:AH48 AF50:AH50 B57:C59 E57:G59 I57:M59 W57:AD59 AF57:AH59 AJ26:AK26 AJ39:AK48 AJ50:AK50 AJ57:AK59 E50:G50 W26:AD26 AF15:AH23 W15:AD24 I15:M24 E15:G24 B15:C24 AJ15:AK24">
    <cfRule type="expression" dxfId="661" priority="124">
      <formula>MOD(ROW(),2)</formula>
    </cfRule>
  </conditionalFormatting>
  <conditionalFormatting sqref="N39:T48">
    <cfRule type="expression" dxfId="660" priority="119">
      <formula>MOD(ROW(),2)</formula>
    </cfRule>
  </conditionalFormatting>
  <conditionalFormatting sqref="N57:R59">
    <cfRule type="expression" dxfId="659" priority="118">
      <formula>MOD(ROW(),2)</formula>
    </cfRule>
  </conditionalFormatting>
  <conditionalFormatting sqref="S57:T59">
    <cfRule type="expression" dxfId="658" priority="117">
      <formula>MOD(ROW(),2)</formula>
    </cfRule>
  </conditionalFormatting>
  <conditionalFormatting sqref="V57:V59">
    <cfRule type="expression" dxfId="657" priority="116">
      <formula>MOD(ROW(),2)</formula>
    </cfRule>
  </conditionalFormatting>
  <conditionalFormatting sqref="V15:V24">
    <cfRule type="expression" dxfId="656" priority="115">
      <formula>MOD(ROW(),2)</formula>
    </cfRule>
  </conditionalFormatting>
  <conditionalFormatting sqref="V39:V48">
    <cfRule type="expression" dxfId="655" priority="114">
      <formula>MOD(ROW(),2)</formula>
    </cfRule>
  </conditionalFormatting>
  <conditionalFormatting sqref="N26 N15:N24">
    <cfRule type="expression" dxfId="654" priority="113">
      <formula>MOD(ROW(),2)</formula>
    </cfRule>
  </conditionalFormatting>
  <conditionalFormatting sqref="O24:P24 O26:P26">
    <cfRule type="expression" dxfId="653" priority="112">
      <formula>MOD(ROW(),2)</formula>
    </cfRule>
  </conditionalFormatting>
  <conditionalFormatting sqref="O15:P23">
    <cfRule type="expression" dxfId="652" priority="111">
      <formula>MOD(ROW(),2)</formula>
    </cfRule>
  </conditionalFormatting>
  <conditionalFormatting sqref="Q24 Q26">
    <cfRule type="expression" dxfId="651" priority="110">
      <formula>MOD(ROW(),2)</formula>
    </cfRule>
  </conditionalFormatting>
  <conditionalFormatting sqref="Q15:Q23">
    <cfRule type="expression" dxfId="650" priority="109">
      <formula>MOD(ROW(),2)</formula>
    </cfRule>
  </conditionalFormatting>
  <conditionalFormatting sqref="R24 R26">
    <cfRule type="expression" dxfId="649" priority="106">
      <formula>MOD(ROW(),2)</formula>
    </cfRule>
  </conditionalFormatting>
  <conditionalFormatting sqref="R15:R23">
    <cfRule type="expression" dxfId="648" priority="105">
      <formula>MOD(ROW(),2)</formula>
    </cfRule>
  </conditionalFormatting>
  <conditionalFormatting sqref="AF24:AH24">
    <cfRule type="expression" dxfId="647" priority="104">
      <formula>MOD(ROW(),2)</formula>
    </cfRule>
  </conditionalFormatting>
  <conditionalFormatting sqref="AG9:AH9 W9:AD9 E9:G9 B9:C9 AJ9:AK9 I9:R9">
    <cfRule type="expression" dxfId="646" priority="103">
      <formula>MOD(ROW(),2)</formula>
    </cfRule>
  </conditionalFormatting>
  <conditionalFormatting sqref="V9">
    <cfRule type="expression" dxfId="645" priority="102">
      <formula>MOD(ROW(),2)</formula>
    </cfRule>
  </conditionalFormatting>
  <conditionalFormatting sqref="N9">
    <cfRule type="expression" dxfId="644" priority="101">
      <formula>MOD(ROW(),2)</formula>
    </cfRule>
  </conditionalFormatting>
  <conditionalFormatting sqref="O9:P9">
    <cfRule type="expression" dxfId="643" priority="100">
      <formula>MOD(ROW(),2)</formula>
    </cfRule>
  </conditionalFormatting>
  <conditionalFormatting sqref="Q9">
    <cfRule type="expression" dxfId="642" priority="99">
      <formula>MOD(ROW(),2)</formula>
    </cfRule>
  </conditionalFormatting>
  <conditionalFormatting sqref="R9">
    <cfRule type="expression" dxfId="641" priority="98">
      <formula>MOD(ROW(),2)</formula>
    </cfRule>
  </conditionalFormatting>
  <conditionalFormatting sqref="AG10:AH10 W10:AD10 I10:M10 E10:G10 B10:C10 AJ10:AK10">
    <cfRule type="expression" dxfId="640" priority="97">
      <formula>MOD(ROW(),2)</formula>
    </cfRule>
  </conditionalFormatting>
  <conditionalFormatting sqref="V10">
    <cfRule type="expression" dxfId="639" priority="96">
      <formula>MOD(ROW(),2)</formula>
    </cfRule>
  </conditionalFormatting>
  <conditionalFormatting sqref="N10">
    <cfRule type="expression" dxfId="638" priority="95">
      <formula>MOD(ROW(),2)</formula>
    </cfRule>
  </conditionalFormatting>
  <conditionalFormatting sqref="O10:P10">
    <cfRule type="expression" dxfId="637" priority="94">
      <formula>MOD(ROW(),2)</formula>
    </cfRule>
  </conditionalFormatting>
  <conditionalFormatting sqref="Q10">
    <cfRule type="expression" dxfId="636" priority="93">
      <formula>MOD(ROW(),2)</formula>
    </cfRule>
  </conditionalFormatting>
  <conditionalFormatting sqref="R10">
    <cfRule type="expression" dxfId="635" priority="92">
      <formula>MOD(ROW(),2)</formula>
    </cfRule>
  </conditionalFormatting>
  <conditionalFormatting sqref="AG11:AH11 W11:AD11 E11:G11 B11:C11 AJ11:AK11">
    <cfRule type="expression" dxfId="634" priority="91">
      <formula>MOD(ROW(),2)</formula>
    </cfRule>
  </conditionalFormatting>
  <conditionalFormatting sqref="V11">
    <cfRule type="expression" dxfId="633" priority="90">
      <formula>MOD(ROW(),2)</formula>
    </cfRule>
  </conditionalFormatting>
  <conditionalFormatting sqref="N11">
    <cfRule type="expression" dxfId="632" priority="84">
      <formula>MOD(ROW(),2)</formula>
    </cfRule>
  </conditionalFormatting>
  <conditionalFormatting sqref="O11:P11">
    <cfRule type="expression" dxfId="631" priority="83">
      <formula>MOD(ROW(),2)</formula>
    </cfRule>
  </conditionalFormatting>
  <conditionalFormatting sqref="Q11">
    <cfRule type="expression" dxfId="630" priority="82">
      <formula>MOD(ROW(),2)</formula>
    </cfRule>
  </conditionalFormatting>
  <conditionalFormatting sqref="R11">
    <cfRule type="expression" dxfId="629" priority="81">
      <formula>MOD(ROW(),2)</formula>
    </cfRule>
  </conditionalFormatting>
  <conditionalFormatting sqref="I11:R11">
    <cfRule type="expression" dxfId="628" priority="85">
      <formula>MOD(ROW(),2)</formula>
    </cfRule>
  </conditionalFormatting>
  <conditionalFormatting sqref="R12">
    <cfRule type="expression" dxfId="627" priority="69">
      <formula>MOD(ROW(),2)</formula>
    </cfRule>
  </conditionalFormatting>
  <conditionalFormatting sqref="AF12">
    <cfRule type="expression" dxfId="626" priority="68">
      <formula>MOD(ROW(),2)</formula>
    </cfRule>
  </conditionalFormatting>
  <conditionalFormatting sqref="E12:G12">
    <cfRule type="expression" dxfId="625" priority="67">
      <formula>MOD(ROW(),2)</formula>
    </cfRule>
  </conditionalFormatting>
  <conditionalFormatting sqref="AK12">
    <cfRule type="expression" dxfId="624" priority="66">
      <formula>MOD(ROW(),2)</formula>
    </cfRule>
  </conditionalFormatting>
  <conditionalFormatting sqref="AF9">
    <cfRule type="expression" dxfId="623" priority="80">
      <formula>MOD(ROW(),2)</formula>
    </cfRule>
  </conditionalFormatting>
  <conditionalFormatting sqref="AF9">
    <cfRule type="expression" dxfId="622" priority="79">
      <formula>MOD(ROW(),2)</formula>
    </cfRule>
  </conditionalFormatting>
  <conditionalFormatting sqref="AF10">
    <cfRule type="expression" dxfId="621" priority="78">
      <formula>MOD(ROW(),2)</formula>
    </cfRule>
  </conditionalFormatting>
  <conditionalFormatting sqref="AF11">
    <cfRule type="expression" dxfId="620" priority="76">
      <formula>MOD(ROW(),2)</formula>
    </cfRule>
  </conditionalFormatting>
  <conditionalFormatting sqref="AF11">
    <cfRule type="expression" dxfId="619" priority="77">
      <formula>MOD(ROW(),2)</formula>
    </cfRule>
  </conditionalFormatting>
  <conditionalFormatting sqref="B12">
    <cfRule type="expression" dxfId="618" priority="75">
      <formula>MOD(ROW(),2)</formula>
    </cfRule>
  </conditionalFormatting>
  <conditionalFormatting sqref="AG12:AH12 W12:AD12 AJ12 I12:M12">
    <cfRule type="expression" dxfId="617" priority="74">
      <formula>MOD(ROW(),2)</formula>
    </cfRule>
  </conditionalFormatting>
  <conditionalFormatting sqref="V12">
    <cfRule type="expression" dxfId="616" priority="73">
      <formula>MOD(ROW(),2)</formula>
    </cfRule>
  </conditionalFormatting>
  <conditionalFormatting sqref="N12">
    <cfRule type="expression" dxfId="615" priority="72">
      <formula>MOD(ROW(),2)</formula>
    </cfRule>
  </conditionalFormatting>
  <conditionalFormatting sqref="O12:P12">
    <cfRule type="expression" dxfId="614" priority="71">
      <formula>MOD(ROW(),2)</formula>
    </cfRule>
  </conditionalFormatting>
  <conditionalFormatting sqref="Q12">
    <cfRule type="expression" dxfId="613" priority="70">
      <formula>MOD(ROW(),2)</formula>
    </cfRule>
  </conditionalFormatting>
  <conditionalFormatting sqref="AF33">
    <cfRule type="expression" dxfId="612" priority="4">
      <formula>MOD(ROW(),2)</formula>
    </cfRule>
  </conditionalFormatting>
  <conditionalFormatting sqref="AF34">
    <cfRule type="expression" dxfId="611" priority="3">
      <formula>MOD(ROW(),2)</formula>
    </cfRule>
  </conditionalFormatting>
  <conditionalFormatting sqref="AF35">
    <cfRule type="expression" dxfId="610" priority="2">
      <formula>MOD(ROW(),2)</formula>
    </cfRule>
  </conditionalFormatting>
  <conditionalFormatting sqref="AF35">
    <cfRule type="expression" dxfId="609" priority="1">
      <formula>MOD(ROW(),2)</formula>
    </cfRule>
  </conditionalFormatting>
  <conditionalFormatting sqref="B33:C33">
    <cfRule type="expression" dxfId="608" priority="65">
      <formula>MOD(ROW(),2)</formula>
    </cfRule>
  </conditionalFormatting>
  <conditionalFormatting sqref="E36:G36">
    <cfRule type="expression" dxfId="607" priority="33">
      <formula>MOD(ROW(),2)</formula>
    </cfRule>
  </conditionalFormatting>
  <conditionalFormatting sqref="E33:G33 I33:M33 W33:AD33 AG33:AH33 AJ33">
    <cfRule type="expression" dxfId="606" priority="31">
      <formula>MOD(ROW(),2)</formula>
    </cfRule>
  </conditionalFormatting>
  <conditionalFormatting sqref="N33:R33">
    <cfRule type="expression" dxfId="605" priority="30">
      <formula>MOD(ROW(),2)</formula>
    </cfRule>
  </conditionalFormatting>
  <conditionalFormatting sqref="V33">
    <cfRule type="expression" dxfId="604" priority="29">
      <formula>MOD(ROW(),2)</formula>
    </cfRule>
  </conditionalFormatting>
  <conditionalFormatting sqref="AG34:AH34 W34:AD34 I34:M34 E34:G34 B34:C34 AJ34">
    <cfRule type="expression" dxfId="603" priority="59">
      <formula>MOD(ROW(),2)</formula>
    </cfRule>
  </conditionalFormatting>
  <conditionalFormatting sqref="V34">
    <cfRule type="expression" dxfId="602" priority="58">
      <formula>MOD(ROW(),2)</formula>
    </cfRule>
  </conditionalFormatting>
  <conditionalFormatting sqref="N34">
    <cfRule type="expression" dxfId="601" priority="57">
      <formula>MOD(ROW(),2)</formula>
    </cfRule>
  </conditionalFormatting>
  <conditionalFormatting sqref="O34:P34">
    <cfRule type="expression" dxfId="600" priority="56">
      <formula>MOD(ROW(),2)</formula>
    </cfRule>
  </conditionalFormatting>
  <conditionalFormatting sqref="Q34">
    <cfRule type="expression" dxfId="599" priority="55">
      <formula>MOD(ROW(),2)</formula>
    </cfRule>
  </conditionalFormatting>
  <conditionalFormatting sqref="R34">
    <cfRule type="expression" dxfId="598" priority="54">
      <formula>MOD(ROW(),2)</formula>
    </cfRule>
  </conditionalFormatting>
  <conditionalFormatting sqref="AG35:AH35 W35:AD35 E35:G35 B35:C35 AJ35">
    <cfRule type="expression" dxfId="597" priority="53">
      <formula>MOD(ROW(),2)</formula>
    </cfRule>
  </conditionalFormatting>
  <conditionalFormatting sqref="V35">
    <cfRule type="expression" dxfId="596" priority="52">
      <formula>MOD(ROW(),2)</formula>
    </cfRule>
  </conditionalFormatting>
  <conditionalFormatting sqref="N35">
    <cfRule type="expression" dxfId="595" priority="50">
      <formula>MOD(ROW(),2)</formula>
    </cfRule>
  </conditionalFormatting>
  <conditionalFormatting sqref="O35:P35">
    <cfRule type="expression" dxfId="594" priority="49">
      <formula>MOD(ROW(),2)</formula>
    </cfRule>
  </conditionalFormatting>
  <conditionalFormatting sqref="Q35">
    <cfRule type="expression" dxfId="593" priority="48">
      <formula>MOD(ROW(),2)</formula>
    </cfRule>
  </conditionalFormatting>
  <conditionalFormatting sqref="R35">
    <cfRule type="expression" dxfId="592" priority="47">
      <formula>MOD(ROW(),2)</formula>
    </cfRule>
  </conditionalFormatting>
  <conditionalFormatting sqref="I35:R35">
    <cfRule type="expression" dxfId="591" priority="51">
      <formula>MOD(ROW(),2)</formula>
    </cfRule>
  </conditionalFormatting>
  <conditionalFormatting sqref="R36">
    <cfRule type="expression" dxfId="590" priority="35">
      <formula>MOD(ROW(),2)</formula>
    </cfRule>
  </conditionalFormatting>
  <conditionalFormatting sqref="T34">
    <cfRule type="expression" dxfId="589" priority="24">
      <formula>MOD(ROW(),2)</formula>
    </cfRule>
  </conditionalFormatting>
  <conditionalFormatting sqref="S12">
    <cfRule type="expression" dxfId="588" priority="15">
      <formula>MOD(ROW(),2)</formula>
    </cfRule>
  </conditionalFormatting>
  <conditionalFormatting sqref="T9">
    <cfRule type="expression" dxfId="587" priority="14">
      <formula>MOD(ROW(),2)</formula>
    </cfRule>
  </conditionalFormatting>
  <conditionalFormatting sqref="B36">
    <cfRule type="expression" dxfId="586" priority="41">
      <formula>MOD(ROW(),2)</formula>
    </cfRule>
  </conditionalFormatting>
  <conditionalFormatting sqref="V36">
    <cfRule type="expression" dxfId="585" priority="39">
      <formula>MOD(ROW(),2)</formula>
    </cfRule>
  </conditionalFormatting>
  <conditionalFormatting sqref="AG36:AH36 W36:AD36 AJ36 I36:M36">
    <cfRule type="expression" dxfId="584" priority="40">
      <formula>MOD(ROW(),2)</formula>
    </cfRule>
  </conditionalFormatting>
  <conditionalFormatting sqref="N36">
    <cfRule type="expression" dxfId="583" priority="38">
      <formula>MOD(ROW(),2)</formula>
    </cfRule>
  </conditionalFormatting>
  <conditionalFormatting sqref="O36:P36">
    <cfRule type="expression" dxfId="582" priority="37">
      <formula>MOD(ROW(),2)</formula>
    </cfRule>
  </conditionalFormatting>
  <conditionalFormatting sqref="Q36">
    <cfRule type="expression" dxfId="581" priority="36">
      <formula>MOD(ROW(),2)</formula>
    </cfRule>
  </conditionalFormatting>
  <conditionalFormatting sqref="S34">
    <cfRule type="expression" dxfId="580" priority="28">
      <formula>MOD(ROW(),2)</formula>
    </cfRule>
  </conditionalFormatting>
  <conditionalFormatting sqref="S35">
    <cfRule type="expression" dxfId="579" priority="26">
      <formula>MOD(ROW(),2)</formula>
    </cfRule>
  </conditionalFormatting>
  <conditionalFormatting sqref="S35">
    <cfRule type="expression" dxfId="578" priority="27">
      <formula>MOD(ROW(),2)</formula>
    </cfRule>
  </conditionalFormatting>
  <conditionalFormatting sqref="S33">
    <cfRule type="expression" dxfId="577" priority="25">
      <formula>MOD(ROW(),2)</formula>
    </cfRule>
  </conditionalFormatting>
  <conditionalFormatting sqref="T35">
    <cfRule type="expression" dxfId="576" priority="22">
      <formula>MOD(ROW(),2)</formula>
    </cfRule>
  </conditionalFormatting>
  <conditionalFormatting sqref="T35">
    <cfRule type="expression" dxfId="575" priority="23">
      <formula>MOD(ROW(),2)</formula>
    </cfRule>
  </conditionalFormatting>
  <conditionalFormatting sqref="T33">
    <cfRule type="expression" dxfId="574" priority="21">
      <formula>MOD(ROW(),2)</formula>
    </cfRule>
  </conditionalFormatting>
  <conditionalFormatting sqref="S9">
    <cfRule type="expression" dxfId="573" priority="20">
      <formula>MOD(ROW(),2)</formula>
    </cfRule>
  </conditionalFormatting>
  <conditionalFormatting sqref="S9">
    <cfRule type="expression" dxfId="572" priority="19">
      <formula>MOD(ROW(),2)</formula>
    </cfRule>
  </conditionalFormatting>
  <conditionalFormatting sqref="S10">
    <cfRule type="expression" dxfId="571" priority="18">
      <formula>MOD(ROW(),2)</formula>
    </cfRule>
  </conditionalFormatting>
  <conditionalFormatting sqref="S11">
    <cfRule type="expression" dxfId="570" priority="16">
      <formula>MOD(ROW(),2)</formula>
    </cfRule>
  </conditionalFormatting>
  <conditionalFormatting sqref="S11">
    <cfRule type="expression" dxfId="569" priority="17">
      <formula>MOD(ROW(),2)</formula>
    </cfRule>
  </conditionalFormatting>
  <conditionalFormatting sqref="T9">
    <cfRule type="expression" dxfId="568" priority="13">
      <formula>MOD(ROW(),2)</formula>
    </cfRule>
  </conditionalFormatting>
  <conditionalFormatting sqref="T10">
    <cfRule type="expression" dxfId="567" priority="12">
      <formula>MOD(ROW(),2)</formula>
    </cfRule>
  </conditionalFormatting>
  <conditionalFormatting sqref="T11">
    <cfRule type="expression" dxfId="566" priority="10">
      <formula>MOD(ROW(),2)</formula>
    </cfRule>
  </conditionalFormatting>
  <conditionalFormatting sqref="T11">
    <cfRule type="expression" dxfId="565" priority="11">
      <formula>MOD(ROW(),2)</formula>
    </cfRule>
  </conditionalFormatting>
  <conditionalFormatting sqref="T12">
    <cfRule type="expression" dxfId="564" priority="9">
      <formula>MOD(ROW(),2)</formula>
    </cfRule>
  </conditionalFormatting>
  <conditionalFormatting sqref="AK33">
    <cfRule type="expression" dxfId="563" priority="8">
      <formula>MOD(ROW(),2)</formula>
    </cfRule>
  </conditionalFormatting>
  <conditionalFormatting sqref="AK34">
    <cfRule type="expression" dxfId="562" priority="7">
      <formula>MOD(ROW(),2)</formula>
    </cfRule>
  </conditionalFormatting>
  <conditionalFormatting sqref="AK35">
    <cfRule type="expression" dxfId="561" priority="6">
      <formula>MOD(ROW(),2)</formula>
    </cfRule>
  </conditionalFormatting>
  <conditionalFormatting sqref="AK36">
    <cfRule type="expression" dxfId="560" priority="5">
      <formula>MOD(ROW(),2)</formula>
    </cfRule>
  </conditionalFormatting>
  <pageMargins left="0.39370078740157483" right="0.39370078740157483" top="0.59055118110236227" bottom="0.59055118110236227" header="0.31496062992125984" footer="0.31496062992125984"/>
  <pageSetup paperSize="9" scale="45" fitToHeight="0" orientation="landscape" r:id="rId1"/>
  <ignoredErrors>
    <ignoredError sqref="AF25 AH25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A674-9377-4A08-B079-690C3F98BDCA}">
  <sheetPr codeName="Sheet15">
    <tabColor rgb="FF00B050"/>
    <pageSetUpPr fitToPage="1"/>
  </sheetPr>
  <dimension ref="A1:AU64"/>
  <sheetViews>
    <sheetView zoomScale="70" zoomScaleNormal="70" workbookViewId="0">
      <pane xSplit="2" ySplit="7" topLeftCell="C8" activePane="bottomRight" state="frozenSplit"/>
      <selection pane="topRight" activeCell="G1" sqref="G1"/>
      <selection pane="bottomLeft" activeCell="A8" sqref="A8"/>
      <selection pane="bottomRight" activeCell="B36" sqref="B36"/>
    </sheetView>
  </sheetViews>
  <sheetFormatPr baseColWidth="10" defaultColWidth="8.88671875" defaultRowHeight="14.4" outlineLevelRow="1" outlineLevelCol="1" x14ac:dyDescent="0.3"/>
  <cols>
    <col min="1" max="1" width="14.5546875" style="437" hidden="1" customWidth="1" outlineLevel="1"/>
    <col min="2" max="2" width="50.88671875" style="850" bestFit="1" customWidth="1" collapsed="1"/>
    <col min="3" max="3" width="4.88671875" style="850" bestFit="1" customWidth="1"/>
    <col min="4" max="4" width="1.88671875" style="437" customWidth="1"/>
    <col min="5" max="6" width="10.5546875" style="850" bestFit="1" customWidth="1"/>
    <col min="7" max="7" width="12.5546875" style="118" bestFit="1" customWidth="1"/>
    <col min="8" max="8" width="1.88671875" style="437" customWidth="1"/>
    <col min="9" max="9" width="11.88671875" style="387" customWidth="1"/>
    <col min="10" max="10" width="10.88671875" style="387" customWidth="1"/>
    <col min="11" max="19" width="10.88671875" style="387" hidden="1" customWidth="1" outlineLevel="1"/>
    <col min="20" max="20" width="11.33203125" style="387" hidden="1" customWidth="1" outlineLevel="1"/>
    <col min="21" max="21" width="1.88671875" style="437" customWidth="1" collapsed="1"/>
    <col min="22" max="22" width="9.6640625" style="387" hidden="1" customWidth="1" outlineLevel="1"/>
    <col min="23" max="23" width="9.6640625" style="387" customWidth="1" collapsed="1"/>
    <col min="24" max="32" width="9.6640625" style="387" customWidth="1"/>
    <col min="33" max="33" width="2.5546875" style="253" customWidth="1"/>
    <col min="34" max="34" width="12.44140625" style="387" bestFit="1" customWidth="1"/>
    <col min="35" max="35" width="13.5546875" style="387" bestFit="1" customWidth="1"/>
    <col min="36" max="36" width="14.5546875" style="437" bestFit="1" customWidth="1"/>
    <col min="37" max="37" width="3.109375" style="437" customWidth="1"/>
    <col min="38" max="38" width="14.109375" style="387" bestFit="1" customWidth="1"/>
    <col min="39" max="39" width="15.5546875" style="387" bestFit="1" customWidth="1"/>
    <col min="40" max="16384" width="8.88671875" style="437"/>
  </cols>
  <sheetData>
    <row r="1" spans="1:39" hidden="1" outlineLevel="1" x14ac:dyDescent="0.3">
      <c r="B1" s="850" t="s">
        <v>540</v>
      </c>
      <c r="E1" s="118">
        <v>2021</v>
      </c>
      <c r="F1" s="118">
        <v>2022</v>
      </c>
      <c r="G1" s="118">
        <v>2022</v>
      </c>
      <c r="I1" s="118">
        <v>2022</v>
      </c>
      <c r="J1" s="118">
        <v>2022</v>
      </c>
      <c r="K1" s="118">
        <v>2022</v>
      </c>
      <c r="L1" s="118">
        <v>2022</v>
      </c>
      <c r="M1" s="118">
        <v>2022</v>
      </c>
      <c r="N1" s="118">
        <v>2022</v>
      </c>
      <c r="O1" s="118">
        <v>2022</v>
      </c>
      <c r="P1" s="118">
        <v>2022</v>
      </c>
      <c r="Q1" s="118">
        <v>2022</v>
      </c>
      <c r="R1" s="118">
        <v>2022</v>
      </c>
      <c r="S1" s="118">
        <v>2022</v>
      </c>
      <c r="T1" s="118">
        <v>2022</v>
      </c>
      <c r="V1" s="118">
        <v>2022</v>
      </c>
      <c r="W1" s="118">
        <v>2022</v>
      </c>
      <c r="X1" s="118">
        <v>2022</v>
      </c>
      <c r="Y1" s="118">
        <v>2022</v>
      </c>
      <c r="Z1" s="118">
        <v>2022</v>
      </c>
      <c r="AA1" s="118">
        <v>2022</v>
      </c>
      <c r="AB1" s="118">
        <v>2022</v>
      </c>
      <c r="AC1" s="118">
        <v>2022</v>
      </c>
      <c r="AD1" s="118">
        <v>2022</v>
      </c>
      <c r="AE1" s="118">
        <v>2022</v>
      </c>
      <c r="AF1" s="118">
        <v>2022</v>
      </c>
      <c r="AG1" s="693"/>
      <c r="AH1" s="118">
        <v>2022</v>
      </c>
      <c r="AI1" s="118">
        <v>2022</v>
      </c>
      <c r="AJ1" s="118">
        <v>2022</v>
      </c>
      <c r="AL1" s="387">
        <v>2021</v>
      </c>
      <c r="AM1" s="118">
        <v>2022</v>
      </c>
    </row>
    <row r="2" spans="1:39" hidden="1" outlineLevel="1" x14ac:dyDescent="0.3">
      <c r="B2" s="850" t="s">
        <v>541</v>
      </c>
      <c r="E2" s="850" t="s">
        <v>234</v>
      </c>
      <c r="F2" s="850" t="str">
        <f ca="1">MONTH(TODAY())-1&amp;" YTD"</f>
        <v>3 YTD</v>
      </c>
      <c r="G2" s="850" t="s">
        <v>234</v>
      </c>
      <c r="I2" s="118">
        <v>1</v>
      </c>
      <c r="J2" s="118">
        <v>2</v>
      </c>
      <c r="K2" s="118">
        <v>3</v>
      </c>
      <c r="L2" s="118">
        <v>4</v>
      </c>
      <c r="M2" s="118">
        <v>5</v>
      </c>
      <c r="N2" s="118">
        <v>6</v>
      </c>
      <c r="O2" s="118">
        <v>7</v>
      </c>
      <c r="P2" s="118">
        <v>8</v>
      </c>
      <c r="Q2" s="118">
        <v>9</v>
      </c>
      <c r="R2" s="118">
        <v>10</v>
      </c>
      <c r="S2" s="118">
        <v>11</v>
      </c>
      <c r="T2" s="118">
        <v>12</v>
      </c>
      <c r="V2" s="118">
        <v>2</v>
      </c>
      <c r="W2" s="118">
        <v>3</v>
      </c>
      <c r="X2" s="118">
        <v>4</v>
      </c>
      <c r="Y2" s="118">
        <v>5</v>
      </c>
      <c r="Z2" s="118">
        <v>6</v>
      </c>
      <c r="AA2" s="118">
        <v>7</v>
      </c>
      <c r="AB2" s="118">
        <v>8</v>
      </c>
      <c r="AC2" s="118">
        <v>9</v>
      </c>
      <c r="AD2" s="118">
        <v>10</v>
      </c>
      <c r="AE2" s="118">
        <v>11</v>
      </c>
      <c r="AF2" s="118">
        <v>12</v>
      </c>
      <c r="AG2" s="693"/>
      <c r="AH2" s="850" t="str">
        <f ca="1">MONTH(TODAY())-1&amp;" YTD"</f>
        <v>3 YTD</v>
      </c>
      <c r="AI2" s="850" t="str">
        <f ca="1">MONTH(TODAY())-1&amp;" YTD"</f>
        <v>3 YTD</v>
      </c>
      <c r="AJ2" s="850" t="str">
        <f ca="1">MONTH(TODAY())-1&amp;" YTD"</f>
        <v>3 YTD</v>
      </c>
      <c r="AL2" s="118" t="s">
        <v>234</v>
      </c>
      <c r="AM2" s="118" t="s">
        <v>234</v>
      </c>
    </row>
    <row r="3" spans="1:39" hidden="1" outlineLevel="1" x14ac:dyDescent="0.3">
      <c r="B3" s="850" t="s">
        <v>544</v>
      </c>
      <c r="E3" s="850">
        <v>12</v>
      </c>
      <c r="F3" s="850">
        <f ca="1">LEFT(F$2,2)*1</f>
        <v>3</v>
      </c>
      <c r="G3" s="850">
        <v>12</v>
      </c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693"/>
      <c r="AH3" s="118"/>
      <c r="AI3" s="118"/>
      <c r="AM3" s="118"/>
    </row>
    <row r="4" spans="1:39" collapsed="1" x14ac:dyDescent="0.3"/>
    <row r="5" spans="1:39" x14ac:dyDescent="0.3">
      <c r="B5" s="850">
        <f ca="1">YEAR(TODAY())</f>
        <v>2022</v>
      </c>
      <c r="C5" s="850">
        <f ca="1">MONTH(TODAY())</f>
        <v>4</v>
      </c>
    </row>
    <row r="6" spans="1:39" x14ac:dyDescent="0.3">
      <c r="B6" s="387"/>
      <c r="C6" s="387"/>
      <c r="E6" s="692" t="s">
        <v>551</v>
      </c>
      <c r="F6" s="729" t="s">
        <v>788</v>
      </c>
      <c r="G6" s="730" t="s">
        <v>788</v>
      </c>
      <c r="I6" s="729" t="str">
        <f>TEXT(I$2,"00")&amp;" "&amp;I$1</f>
        <v>01 2022</v>
      </c>
      <c r="J6" s="729" t="str">
        <f t="shared" ref="J6:T6" si="0">TEXT(J$2,"00")&amp;" "&amp;J$1</f>
        <v>02 2022</v>
      </c>
      <c r="K6" s="729" t="str">
        <f t="shared" si="0"/>
        <v>03 2022</v>
      </c>
      <c r="L6" s="729" t="str">
        <f t="shared" si="0"/>
        <v>04 2022</v>
      </c>
      <c r="M6" s="729" t="str">
        <f t="shared" si="0"/>
        <v>05 2022</v>
      </c>
      <c r="N6" s="729" t="str">
        <f t="shared" si="0"/>
        <v>06 2022</v>
      </c>
      <c r="O6" s="729" t="str">
        <f t="shared" si="0"/>
        <v>07 2022</v>
      </c>
      <c r="P6" s="729" t="str">
        <f t="shared" si="0"/>
        <v>08 2022</v>
      </c>
      <c r="Q6" s="729" t="str">
        <f t="shared" si="0"/>
        <v>09 2022</v>
      </c>
      <c r="R6" s="729" t="str">
        <f t="shared" si="0"/>
        <v>10 2022</v>
      </c>
      <c r="S6" s="729" t="str">
        <f t="shared" si="0"/>
        <v>11 2022</v>
      </c>
      <c r="T6" s="729" t="str">
        <f t="shared" si="0"/>
        <v>12 2022</v>
      </c>
      <c r="V6" s="662" t="str">
        <f>TEXT(V$2,"00")&amp;" "&amp;V$1</f>
        <v>02 2022</v>
      </c>
      <c r="W6" s="662" t="str">
        <f t="shared" ref="W6:AF6" si="1">TEXT(W$2,"00")&amp;" "&amp;W$1</f>
        <v>03 2022</v>
      </c>
      <c r="X6" s="662" t="str">
        <f t="shared" si="1"/>
        <v>04 2022</v>
      </c>
      <c r="Y6" s="662" t="str">
        <f t="shared" si="1"/>
        <v>05 2022</v>
      </c>
      <c r="Z6" s="662" t="str">
        <f t="shared" si="1"/>
        <v>06 2022</v>
      </c>
      <c r="AA6" s="662" t="str">
        <f t="shared" si="1"/>
        <v>07 2022</v>
      </c>
      <c r="AB6" s="662" t="str">
        <f t="shared" si="1"/>
        <v>08 2022</v>
      </c>
      <c r="AC6" s="662" t="str">
        <f t="shared" si="1"/>
        <v>09 2022</v>
      </c>
      <c r="AD6" s="662" t="str">
        <f t="shared" si="1"/>
        <v>10 2022</v>
      </c>
      <c r="AE6" s="662" t="str">
        <f t="shared" si="1"/>
        <v>11 2022</v>
      </c>
      <c r="AF6" s="662" t="str">
        <f t="shared" si="1"/>
        <v>12 2022</v>
      </c>
      <c r="AG6" s="667"/>
      <c r="AH6" s="729" t="str">
        <f ca="1">AH$2&amp;" "&amp;AH$1</f>
        <v>3 YTD 2022</v>
      </c>
      <c r="AI6" s="730" t="str">
        <f ca="1">AI$2&amp;" "&amp;AI$1</f>
        <v>3 YTD 2022</v>
      </c>
      <c r="AJ6" s="694" t="str">
        <f ca="1">AJ$2&amp;" "&amp;AJ$1</f>
        <v>3 YTD 2022</v>
      </c>
      <c r="AL6" s="661" t="str">
        <f>AL$2&amp;" "&amp;AL$1</f>
        <v>12 YTD 2021</v>
      </c>
      <c r="AM6" s="730" t="str">
        <f>AM$2&amp;" "&amp;AM$1</f>
        <v>12 YTD 2022</v>
      </c>
    </row>
    <row r="7" spans="1:39" x14ac:dyDescent="0.3">
      <c r="C7" s="387" t="s">
        <v>565</v>
      </c>
      <c r="E7" s="692" t="s">
        <v>245</v>
      </c>
      <c r="F7" s="729" t="s">
        <v>245</v>
      </c>
      <c r="G7" s="730" t="s">
        <v>115</v>
      </c>
      <c r="I7" s="729" t="s">
        <v>245</v>
      </c>
      <c r="J7" s="729" t="s">
        <v>245</v>
      </c>
      <c r="K7" s="729" t="s">
        <v>245</v>
      </c>
      <c r="L7" s="729" t="s">
        <v>245</v>
      </c>
      <c r="M7" s="729" t="s">
        <v>245</v>
      </c>
      <c r="N7" s="722" t="s">
        <v>245</v>
      </c>
      <c r="O7" s="722" t="s">
        <v>245</v>
      </c>
      <c r="P7" s="722" t="s">
        <v>245</v>
      </c>
      <c r="Q7" s="722" t="s">
        <v>245</v>
      </c>
      <c r="R7" s="722" t="s">
        <v>245</v>
      </c>
      <c r="S7" s="722" t="s">
        <v>245</v>
      </c>
      <c r="T7" s="722" t="s">
        <v>245</v>
      </c>
      <c r="V7" s="662" t="s">
        <v>564</v>
      </c>
      <c r="W7" s="662" t="s">
        <v>564</v>
      </c>
      <c r="X7" s="662" t="s">
        <v>564</v>
      </c>
      <c r="Y7" s="662" t="s">
        <v>564</v>
      </c>
      <c r="Z7" s="662" t="s">
        <v>564</v>
      </c>
      <c r="AA7" s="662" t="s">
        <v>564</v>
      </c>
      <c r="AB7" s="662" t="s">
        <v>564</v>
      </c>
      <c r="AC7" s="662" t="s">
        <v>564</v>
      </c>
      <c r="AD7" s="662" t="s">
        <v>564</v>
      </c>
      <c r="AE7" s="662" t="s">
        <v>564</v>
      </c>
      <c r="AF7" s="662" t="s">
        <v>564</v>
      </c>
      <c r="AG7" s="667"/>
      <c r="AH7" s="729" t="s">
        <v>654</v>
      </c>
      <c r="AI7" s="730" t="s">
        <v>655</v>
      </c>
      <c r="AJ7" s="695" t="s">
        <v>652</v>
      </c>
      <c r="AL7" s="661" t="s">
        <v>654</v>
      </c>
      <c r="AM7" s="730" t="s">
        <v>655</v>
      </c>
    </row>
    <row r="8" spans="1:39" s="686" customFormat="1" x14ac:dyDescent="0.3">
      <c r="B8" s="854" t="s">
        <v>783</v>
      </c>
      <c r="C8" s="687"/>
      <c r="D8" s="437"/>
      <c r="E8" s="698"/>
      <c r="F8" s="698"/>
      <c r="G8" s="699"/>
      <c r="H8" s="437"/>
      <c r="I8" s="699"/>
      <c r="J8" s="699"/>
      <c r="K8" s="699"/>
      <c r="L8" s="699"/>
      <c r="M8" s="699"/>
      <c r="N8" s="698"/>
      <c r="O8" s="698"/>
      <c r="P8" s="698"/>
      <c r="Q8" s="698"/>
      <c r="R8" s="698"/>
      <c r="S8" s="698"/>
      <c r="T8" s="698"/>
      <c r="U8" s="437"/>
      <c r="V8" s="700"/>
      <c r="W8" s="700"/>
      <c r="X8" s="700"/>
      <c r="Y8" s="698"/>
      <c r="Z8" s="698"/>
      <c r="AA8" s="698"/>
      <c r="AB8" s="698"/>
      <c r="AC8" s="698"/>
      <c r="AD8" s="698"/>
      <c r="AE8" s="698"/>
      <c r="AF8" s="688"/>
      <c r="AG8" s="688"/>
      <c r="AH8" s="689"/>
      <c r="AI8" s="690"/>
      <c r="AK8" s="437"/>
      <c r="AL8" s="689"/>
      <c r="AM8" s="691"/>
    </row>
    <row r="9" spans="1:39" x14ac:dyDescent="0.3">
      <c r="A9" s="55" t="s">
        <v>171</v>
      </c>
      <c r="B9" s="725" t="s">
        <v>779</v>
      </c>
      <c r="C9" s="850" t="s">
        <v>653</v>
      </c>
      <c r="E9" s="697">
        <f t="shared" ref="E9:E12" si="2">$AL9/E$3</f>
        <v>0</v>
      </c>
      <c r="F9" s="697">
        <f ca="1">IFERROR(1/F$3,1)*SUMIFS(Data!$S$3:$S$305,Data!$O$3:$O$305,F$1,Data!$P$3:$P$305,IF(RIGHT(F$2,3)="YTD","&lt;="&amp;LEFT(F$2,2)*1,F$2),Data!$K$3:$K$305,$B9)</f>
        <v>0</v>
      </c>
      <c r="G9" s="697">
        <f>AM9/12</f>
        <v>0</v>
      </c>
      <c r="I9" s="697">
        <f>IFERROR(1/I$3,1)*SUMIFS(tbl_DCFC[C Montant € HT],tbl_DCFC[OI_Year],I$1,tbl_DCFC[OI_Month],IF(RIGHT(I$2,3)="YTD","&lt;="&amp;LEFT(I$2,2)*1,I$2),tbl_DCFC[BU_Key],$A9)</f>
        <v>0</v>
      </c>
      <c r="J9" s="697">
        <f>IFERROR(1/J$3,1)*SUMIFS(tbl_DCFC[C Montant € HT],tbl_DCFC[OI_Year],J$1,tbl_DCFC[OI_Month],IF(RIGHT(J$2,3)="YTD","&lt;="&amp;LEFT(J$2,2)*1,J$2),tbl_DCFC[BU_Key],$A9)</f>
        <v>8579</v>
      </c>
      <c r="K9" s="697">
        <f>IFERROR(1/K$3,1)*SUMIFS(tbl_DCFC[C Montant € HT],tbl_DCFC[OI_Year],K$1,tbl_DCFC[OI_Month],IF(RIGHT(K$2,3)="YTD","&lt;="&amp;LEFT(K$2,2)*1,K$2),tbl_DCFC[BU_Key],$A9)</f>
        <v>0</v>
      </c>
      <c r="L9" s="697">
        <f>IFERROR(1/L$3,1)*SUMIFS(tbl_DCFC[C Montant € HT],tbl_DCFC[OI_Year],L$1,tbl_DCFC[OI_Month],IF(RIGHT(L$2,3)="YTD","&lt;="&amp;LEFT(L$2,2)*1,L$2),tbl_DCFC[BU_Key],$A9)</f>
        <v>0</v>
      </c>
      <c r="M9" s="697">
        <f>IFERROR(1/M$3,1)*SUMIFS(tbl_DCFC[C Montant € HT],tbl_DCFC[OI_Year],M$1,tbl_DCFC[OI_Month],IF(RIGHT(M$2,3)="YTD","&lt;="&amp;LEFT(M$2,2)*1,M$2),tbl_DCFC[BU_Key],$A9)</f>
        <v>0</v>
      </c>
      <c r="N9" s="697">
        <f>IFERROR(1/N$3,1)*SUMIFS(tbl_DCFC[C Montant € HT],tbl_DCFC[OI_Year],N$1,tbl_DCFC[OI_Month],IF(RIGHT(N$2,3)="YTD","&lt;="&amp;LEFT(N$2,2)*1,N$2),tbl_DCFC[BU_Key],$A9)</f>
        <v>0</v>
      </c>
      <c r="O9" s="697">
        <f>IFERROR(1/O$3,1)*SUMIFS(tbl_DCFC[C Montant € HT],tbl_DCFC[OI_Year],O$1,tbl_DCFC[OI_Month],IF(RIGHT(O$2,3)="YTD","&lt;="&amp;LEFT(O$2,2)*1,O$2),tbl_DCFC[BU_Key],$A9)</f>
        <v>0</v>
      </c>
      <c r="P9" s="697">
        <f>IFERROR(1/P$3,1)*SUMIFS(tbl_DCFC[C Montant € HT],tbl_DCFC[OI_Year],P$1,tbl_DCFC[OI_Month],IF(RIGHT(P$2,3)="YTD","&lt;="&amp;LEFT(P$2,2)*1,P$2),tbl_DCFC[BU_Key],$A9)</f>
        <v>0</v>
      </c>
      <c r="Q9" s="697">
        <f>IFERROR(1/Q$3,1)*SUMIFS(tbl_DCFC[C Montant € HT],tbl_DCFC[OI_Year],Q$1,tbl_DCFC[OI_Month],IF(RIGHT(Q$2,3)="YTD","&lt;="&amp;LEFT(Q$2,2)*1,Q$2),tbl_DCFC[BU_Key],$A9)</f>
        <v>0</v>
      </c>
      <c r="R9" s="697">
        <f>IFERROR(1/R$3,1)*SUMIFS(tbl_DCFC[C Montant € HT],tbl_DCFC[OI_Year],R$1,tbl_DCFC[OI_Month],IF(RIGHT(R$2,3)="YTD","&lt;="&amp;LEFT(R$2,2)*1,R$2),tbl_DCFC[BU_Key],$A9)</f>
        <v>0</v>
      </c>
      <c r="S9" s="697">
        <f>IFERROR(1/S$3,1)*SUMIFS(tbl_DCFC[C Montant € HT],tbl_DCFC[OI_Year],S$1,tbl_DCFC[OI_Month],IF(RIGHT(S$2,3)="YTD","&lt;="&amp;LEFT(S$2,2)*1,S$2),tbl_DCFC[BU_Key],$A9)</f>
        <v>0</v>
      </c>
      <c r="T9" s="697">
        <f>IFERROR(1/T$3,1)*SUMIFS(tbl_DCFC[C Montant € HT],tbl_DCFC[OI_Year],T$1,tbl_DCFC[OI_Month],IF(RIGHT(T$2,3)="YTD","&lt;="&amp;LEFT(T$2,2)*1,T$2),tbl_DCFC[BU_Key],$A9)</f>
        <v>0</v>
      </c>
      <c r="V9" s="697">
        <f t="shared" ref="V9:X12" si="3">E9</f>
        <v>0</v>
      </c>
      <c r="W9" s="697">
        <f t="shared" ca="1" si="3"/>
        <v>0</v>
      </c>
      <c r="X9" s="697">
        <f t="shared" si="3"/>
        <v>0</v>
      </c>
      <c r="Y9" s="697">
        <f>$G9</f>
        <v>0</v>
      </c>
      <c r="Z9" s="697">
        <f t="shared" ref="Z9:AF11" si="4">$G9</f>
        <v>0</v>
      </c>
      <c r="AA9" s="697">
        <f t="shared" si="4"/>
        <v>0</v>
      </c>
      <c r="AB9" s="697">
        <f t="shared" si="4"/>
        <v>0</v>
      </c>
      <c r="AC9" s="697">
        <f t="shared" si="4"/>
        <v>0</v>
      </c>
      <c r="AD9" s="697">
        <f t="shared" si="4"/>
        <v>0</v>
      </c>
      <c r="AE9" s="697">
        <f t="shared" si="4"/>
        <v>0</v>
      </c>
      <c r="AF9" s="697">
        <f t="shared" si="4"/>
        <v>0</v>
      </c>
      <c r="AG9" s="697"/>
      <c r="AH9" s="697">
        <f ca="1">IFERROR(1/AH$3,1)*SUMIFS(tbl_DCFC[C Montant € HT],tbl_DCFC[OI_Year],AH$1,tbl_DCFC[OI_Month],IF(RIGHT(AH$2,3)="YTD","&lt;="&amp;LEFT(AH$2,2)*1,AH$2),tbl_DCFC[BU_Key],$A9)</f>
        <v>8579</v>
      </c>
      <c r="AI9" s="697">
        <f t="shared" ref="AI9:AI12" ca="1" si="5">AM9/12*LEFT(AI$2,2)*1</f>
        <v>0</v>
      </c>
      <c r="AJ9" s="716">
        <f ca="1">AH9-AI9</f>
        <v>8579</v>
      </c>
      <c r="AL9" s="697">
        <f>IFERROR(1/AL$3,1)*SUMIFS(tbl_DCFC[C Montant € HT],tbl_DCFC[OI_Year],AL$1,tbl_DCFC[OI_Month],IF(RIGHT(AL$2,3)="YTD","&lt;="&amp;LEFT(AL$2,2)*1,AL$2),tbl_DCFC[BU_Key],$A9)</f>
        <v>0</v>
      </c>
      <c r="AM9" s="697">
        <v>0</v>
      </c>
    </row>
    <row r="10" spans="1:39" x14ac:dyDescent="0.3">
      <c r="A10" s="437" t="s">
        <v>777</v>
      </c>
      <c r="B10" s="725" t="s">
        <v>780</v>
      </c>
      <c r="C10" s="850" t="s">
        <v>653</v>
      </c>
      <c r="E10" s="697">
        <f t="shared" si="2"/>
        <v>867.58333333333337</v>
      </c>
      <c r="F10" s="697">
        <f ca="1">IFERROR(1/F$3,1)*SUMIFS(Data!$S$3:$S$305,Data!$O$3:$O$305,F$1,Data!$P$3:$P$305,IF(RIGHT(F$2,3)="YTD","&lt;="&amp;LEFT(F$2,2)*1,F$2),Data!$K$3:$K$305,$B10)</f>
        <v>0</v>
      </c>
      <c r="G10" s="697">
        <f t="shared" ref="G10" si="6">AM10/12</f>
        <v>0</v>
      </c>
      <c r="I10" s="697">
        <f>IFERROR(1/I$3,1)*SUMIFS(tbl_DCFC[C Montant € HT],tbl_DCFC[OI_Year],I$1,tbl_DCFC[OI_Month],IF(RIGHT(I$2,3)="YTD","&lt;="&amp;LEFT(I$2,2)*1,I$2),tbl_DCFC[BU_Key],$A10)</f>
        <v>0</v>
      </c>
      <c r="J10" s="697">
        <f>IFERROR(1/J$3,1)*SUMIFS(tbl_DCFC[C Montant € HT],tbl_DCFC[OI_Year],J$1,tbl_DCFC[OI_Month],IF(RIGHT(J$2,3)="YTD","&lt;="&amp;LEFT(J$2,2)*1,J$2),tbl_DCFC[BU_Key],$A10)</f>
        <v>9590</v>
      </c>
      <c r="K10" s="697">
        <f>IFERROR(1/K$3,1)*SUMIFS(tbl_DCFC[C Montant € HT],tbl_DCFC[OI_Year],K$1,tbl_DCFC[OI_Month],IF(RIGHT(K$2,3)="YTD","&lt;="&amp;LEFT(K$2,2)*1,K$2),tbl_DCFC[BU_Key],$A10)</f>
        <v>186</v>
      </c>
      <c r="L10" s="697">
        <f>IFERROR(1/L$3,1)*SUMIFS(tbl_DCFC[C Montant € HT],tbl_DCFC[OI_Year],L$1,tbl_DCFC[OI_Month],IF(RIGHT(L$2,3)="YTD","&lt;="&amp;LEFT(L$2,2)*1,L$2),tbl_DCFC[BU_Key],$A10)</f>
        <v>0</v>
      </c>
      <c r="M10" s="697">
        <f>IFERROR(1/M$3,1)*SUMIFS(tbl_DCFC[C Montant € HT],tbl_DCFC[OI_Year],M$1,tbl_DCFC[OI_Month],IF(RIGHT(M$2,3)="YTD","&lt;="&amp;LEFT(M$2,2)*1,M$2),tbl_DCFC[BU_Key],$A10)</f>
        <v>0</v>
      </c>
      <c r="N10" s="697">
        <f>IFERROR(1/N$3,1)*SUMIFS(tbl_DCFC[C Montant € HT],tbl_DCFC[OI_Year],N$1,tbl_DCFC[OI_Month],IF(RIGHT(N$2,3)="YTD","&lt;="&amp;LEFT(N$2,2)*1,N$2),tbl_DCFC[BU_Key],$A10)</f>
        <v>0</v>
      </c>
      <c r="O10" s="697">
        <f>IFERROR(1/O$3,1)*SUMIFS(tbl_DCFC[C Montant € HT],tbl_DCFC[OI_Year],O$1,tbl_DCFC[OI_Month],IF(RIGHT(O$2,3)="YTD","&lt;="&amp;LEFT(O$2,2)*1,O$2),tbl_DCFC[BU_Key],$A10)</f>
        <v>0</v>
      </c>
      <c r="P10" s="697">
        <f>IFERROR(1/P$3,1)*SUMIFS(tbl_DCFC[C Montant € HT],tbl_DCFC[OI_Year],P$1,tbl_DCFC[OI_Month],IF(RIGHT(P$2,3)="YTD","&lt;="&amp;LEFT(P$2,2)*1,P$2),tbl_DCFC[BU_Key],$A10)</f>
        <v>0</v>
      </c>
      <c r="Q10" s="697">
        <f>IFERROR(1/Q$3,1)*SUMIFS(tbl_DCFC[C Montant € HT],tbl_DCFC[OI_Year],Q$1,tbl_DCFC[OI_Month],IF(RIGHT(Q$2,3)="YTD","&lt;="&amp;LEFT(Q$2,2)*1,Q$2),tbl_DCFC[BU_Key],$A10)</f>
        <v>0</v>
      </c>
      <c r="R10" s="697">
        <f>IFERROR(1/R$3,1)*SUMIFS(tbl_DCFC[C Montant € HT],tbl_DCFC[OI_Year],R$1,tbl_DCFC[OI_Month],IF(RIGHT(R$2,3)="YTD","&lt;="&amp;LEFT(R$2,2)*1,R$2),tbl_DCFC[BU_Key],$A10)</f>
        <v>0</v>
      </c>
      <c r="S10" s="697">
        <f>IFERROR(1/S$3,1)*SUMIFS(tbl_DCFC[C Montant € HT],tbl_DCFC[OI_Year],S$1,tbl_DCFC[OI_Month],IF(RIGHT(S$2,3)="YTD","&lt;="&amp;LEFT(S$2,2)*1,S$2),tbl_DCFC[BU_Key],$A10)</f>
        <v>0</v>
      </c>
      <c r="T10" s="697">
        <f>IFERROR(1/T$3,1)*SUMIFS(tbl_DCFC[C Montant € HT],tbl_DCFC[OI_Year],T$1,tbl_DCFC[OI_Month],IF(RIGHT(T$2,3)="YTD","&lt;="&amp;LEFT(T$2,2)*1,T$2),tbl_DCFC[BU_Key],$A10)</f>
        <v>0</v>
      </c>
      <c r="V10" s="697">
        <f t="shared" si="3"/>
        <v>867.58333333333337</v>
      </c>
      <c r="W10" s="697">
        <f t="shared" ca="1" si="3"/>
        <v>0</v>
      </c>
      <c r="X10" s="697">
        <f t="shared" si="3"/>
        <v>0</v>
      </c>
      <c r="Y10" s="697">
        <f t="shared" ref="Y10:AF12" si="7">$G10</f>
        <v>0</v>
      </c>
      <c r="Z10" s="697">
        <f t="shared" si="7"/>
        <v>0</v>
      </c>
      <c r="AA10" s="697">
        <f t="shared" si="7"/>
        <v>0</v>
      </c>
      <c r="AB10" s="697">
        <f t="shared" si="7"/>
        <v>0</v>
      </c>
      <c r="AC10" s="697">
        <f t="shared" si="7"/>
        <v>0</v>
      </c>
      <c r="AD10" s="697">
        <f t="shared" si="7"/>
        <v>0</v>
      </c>
      <c r="AE10" s="697">
        <f t="shared" si="7"/>
        <v>0</v>
      </c>
      <c r="AF10" s="697">
        <f t="shared" si="7"/>
        <v>0</v>
      </c>
      <c r="AG10" s="697"/>
      <c r="AH10" s="697">
        <f ca="1">IFERROR(1/AH$3,1)*SUMIFS(tbl_DCFC[C Montant € HT],tbl_DCFC[OI_Year],AH$1,tbl_DCFC[OI_Month],IF(RIGHT(AH$2,3)="YTD","&lt;="&amp;LEFT(AH$2,2)*1,AH$2),tbl_DCFC[BU_Key],$A10)</f>
        <v>9776</v>
      </c>
      <c r="AI10" s="697">
        <f t="shared" ca="1" si="5"/>
        <v>0</v>
      </c>
      <c r="AJ10" s="716">
        <f t="shared" ref="AJ10:AJ12" ca="1" si="8">AH10-AI10</f>
        <v>9776</v>
      </c>
      <c r="AL10" s="697">
        <f>IFERROR(1/AL$3,1)*SUMIFS(tbl_DCFC[C Montant € HT],tbl_DCFC[OI_Year],AL$1,tbl_DCFC[OI_Month],IF(RIGHT(AL$2,3)="YTD","&lt;="&amp;LEFT(AL$2,2)*1,AL$2),tbl_DCFC[BU_Key],$A10)</f>
        <v>10411</v>
      </c>
      <c r="AM10" s="697">
        <v>0</v>
      </c>
    </row>
    <row r="11" spans="1:39" x14ac:dyDescent="0.3">
      <c r="A11" s="55" t="s">
        <v>778</v>
      </c>
      <c r="B11" s="725" t="s">
        <v>781</v>
      </c>
      <c r="C11" s="850" t="s">
        <v>653</v>
      </c>
      <c r="E11" s="697">
        <f t="shared" si="2"/>
        <v>2348.5541666666668</v>
      </c>
      <c r="F11" s="697">
        <f ca="1">IFERROR(1/F$3,1)*SUMIFS(Data!$S$3:$S$305,Data!$O$3:$O$305,F$1,Data!$P$3:$P$305,IF(RIGHT(F$2,3)="YTD","&lt;="&amp;LEFT(F$2,2)*1,F$2),Data!$K$3:$K$305,$B11)</f>
        <v>0</v>
      </c>
      <c r="G11" s="697">
        <f>AM11/12</f>
        <v>58333.333333333336</v>
      </c>
      <c r="I11" s="697">
        <f>IFERROR(1/I$3,1)*SUMIFS(tbl_DCFC[C Montant € HT],tbl_DCFC[OI_Year],I$1,tbl_DCFC[OI_Month],IF(RIGHT(I$2,3)="YTD","&lt;="&amp;LEFT(I$2,2)*1,I$2),tbl_DCFC[BU_Key],$A11)</f>
        <v>21780</v>
      </c>
      <c r="J11" s="697">
        <f>IFERROR(1/J$3,1)*SUMIFS(tbl_DCFC[C Montant € HT],tbl_DCFC[OI_Year],J$1,tbl_DCFC[OI_Month],IF(RIGHT(J$2,3)="YTD","&lt;="&amp;LEFT(J$2,2)*1,J$2),tbl_DCFC[BU_Key],$A11)</f>
        <v>100513</v>
      </c>
      <c r="K11" s="697">
        <f>IFERROR(1/K$3,1)*SUMIFS(tbl_DCFC[C Montant € HT],tbl_DCFC[OI_Year],K$1,tbl_DCFC[OI_Month],IF(RIGHT(K$2,3)="YTD","&lt;="&amp;LEFT(K$2,2)*1,K$2),tbl_DCFC[BU_Key],$A11)</f>
        <v>37592</v>
      </c>
      <c r="L11" s="697">
        <f>IFERROR(1/L$3,1)*SUMIFS(tbl_DCFC[C Montant € HT],tbl_DCFC[OI_Year],L$1,tbl_DCFC[OI_Month],IF(RIGHT(L$2,3)="YTD","&lt;="&amp;LEFT(L$2,2)*1,L$2),tbl_DCFC[BU_Key],$A11)</f>
        <v>15131</v>
      </c>
      <c r="M11" s="697">
        <f>IFERROR(1/M$3,1)*SUMIFS(tbl_DCFC[C Montant € HT],tbl_DCFC[OI_Year],M$1,tbl_DCFC[OI_Month],IF(RIGHT(M$2,3)="YTD","&lt;="&amp;LEFT(M$2,2)*1,M$2),tbl_DCFC[BU_Key],$A11)</f>
        <v>0</v>
      </c>
      <c r="N11" s="697">
        <f>IFERROR(1/N$3,1)*SUMIFS(tbl_DCFC[C Montant € HT],tbl_DCFC[OI_Year],N$1,tbl_DCFC[OI_Month],IF(RIGHT(N$2,3)="YTD","&lt;="&amp;LEFT(N$2,2)*1,N$2),tbl_DCFC[BU_Key],$A11)</f>
        <v>0</v>
      </c>
      <c r="O11" s="697">
        <f>IFERROR(1/O$3,1)*SUMIFS(tbl_DCFC[C Montant € HT],tbl_DCFC[OI_Year],O$1,tbl_DCFC[OI_Month],IF(RIGHT(O$2,3)="YTD","&lt;="&amp;LEFT(O$2,2)*1,O$2),tbl_DCFC[BU_Key],$A11)</f>
        <v>0</v>
      </c>
      <c r="P11" s="697">
        <f>IFERROR(1/P$3,1)*SUMIFS(tbl_DCFC[C Montant € HT],tbl_DCFC[OI_Year],P$1,tbl_DCFC[OI_Month],IF(RIGHT(P$2,3)="YTD","&lt;="&amp;LEFT(P$2,2)*1,P$2),tbl_DCFC[BU_Key],$A11)</f>
        <v>0</v>
      </c>
      <c r="Q11" s="697">
        <f>IFERROR(1/Q$3,1)*SUMIFS(tbl_DCFC[C Montant € HT],tbl_DCFC[OI_Year],Q$1,tbl_DCFC[OI_Month],IF(RIGHT(Q$2,3)="YTD","&lt;="&amp;LEFT(Q$2,2)*1,Q$2),tbl_DCFC[BU_Key],$A11)</f>
        <v>0</v>
      </c>
      <c r="R11" s="697">
        <f>IFERROR(1/R$3,1)*SUMIFS(tbl_DCFC[C Montant € HT],tbl_DCFC[OI_Year],R$1,tbl_DCFC[OI_Month],IF(RIGHT(R$2,3)="YTD","&lt;="&amp;LEFT(R$2,2)*1,R$2),tbl_DCFC[BU_Key],$A11)</f>
        <v>0</v>
      </c>
      <c r="S11" s="697">
        <f>IFERROR(1/S$3,1)*SUMIFS(tbl_DCFC[C Montant € HT],tbl_DCFC[OI_Year],S$1,tbl_DCFC[OI_Month],IF(RIGHT(S$2,3)="YTD","&lt;="&amp;LEFT(S$2,2)*1,S$2),tbl_DCFC[BU_Key],$A11)</f>
        <v>0</v>
      </c>
      <c r="T11" s="697">
        <f>IFERROR(1/T$3,1)*SUMIFS(tbl_DCFC[C Montant € HT],tbl_DCFC[OI_Year],T$1,tbl_DCFC[OI_Month],IF(RIGHT(T$2,3)="YTD","&lt;="&amp;LEFT(T$2,2)*1,T$2),tbl_DCFC[BU_Key],$A11)</f>
        <v>0</v>
      </c>
      <c r="V11" s="697">
        <f t="shared" si="3"/>
        <v>2348.5541666666668</v>
      </c>
      <c r="W11" s="697">
        <f t="shared" ca="1" si="3"/>
        <v>0</v>
      </c>
      <c r="X11" s="697">
        <f t="shared" si="3"/>
        <v>58333.333333333336</v>
      </c>
      <c r="Y11" s="697">
        <f>$G11</f>
        <v>58333.333333333336</v>
      </c>
      <c r="Z11" s="697">
        <f t="shared" si="4"/>
        <v>58333.333333333336</v>
      </c>
      <c r="AA11" s="697">
        <f t="shared" si="4"/>
        <v>58333.333333333336</v>
      </c>
      <c r="AB11" s="697">
        <f t="shared" si="4"/>
        <v>58333.333333333336</v>
      </c>
      <c r="AC11" s="697">
        <f t="shared" si="4"/>
        <v>58333.333333333336</v>
      </c>
      <c r="AD11" s="697">
        <f t="shared" si="4"/>
        <v>58333.333333333336</v>
      </c>
      <c r="AE11" s="697">
        <f t="shared" si="4"/>
        <v>58333.333333333336</v>
      </c>
      <c r="AF11" s="697">
        <f t="shared" si="4"/>
        <v>58333.333333333336</v>
      </c>
      <c r="AG11" s="697"/>
      <c r="AH11" s="697">
        <f ca="1">IFERROR(1/AH$3,1)*SUMIFS(tbl_DCFC[C Montant € HT],tbl_DCFC[OI_Year],AH$1,tbl_DCFC[OI_Month],IF(RIGHT(AH$2,3)="YTD","&lt;="&amp;LEFT(AH$2,2)*1,AH$2),tbl_DCFC[BU_Key],$A11)</f>
        <v>159885</v>
      </c>
      <c r="AI11" s="697">
        <f t="shared" ca="1" si="5"/>
        <v>175000</v>
      </c>
      <c r="AJ11" s="716">
        <f t="shared" ca="1" si="8"/>
        <v>-15115</v>
      </c>
      <c r="AL11" s="697">
        <f>IFERROR(1/AL$3,1)*SUMIFS(tbl_DCFC[C Montant € HT],tbl_DCFC[OI_Year],AL$1,tbl_DCFC[OI_Month],IF(RIGHT(AL$2,3)="YTD","&lt;="&amp;LEFT(AL$2,2)*1,AL$2),tbl_DCFC[BU_Key],$A11)</f>
        <v>28182.65</v>
      </c>
      <c r="AM11" s="697">
        <v>700000</v>
      </c>
    </row>
    <row r="12" spans="1:39" s="686" customFormat="1" x14ac:dyDescent="0.3">
      <c r="A12" s="686" t="s">
        <v>785</v>
      </c>
      <c r="B12" s="725" t="s">
        <v>786</v>
      </c>
      <c r="C12" s="687"/>
      <c r="D12" s="437"/>
      <c r="E12" s="697">
        <f t="shared" si="2"/>
        <v>0</v>
      </c>
      <c r="F12" s="697">
        <f ca="1">IFERROR(1/F$3,1)*SUMIFS(Data!$S$3:$S$305,Data!$O$3:$O$305,F$1,Data!$P$3:$P$305,IF(RIGHT(F$2,3)="YTD","&lt;="&amp;LEFT(F$2,2)*1,F$2),Data!$K$3:$K$305,$B12)</f>
        <v>0</v>
      </c>
      <c r="G12" s="697">
        <f>AM12/12</f>
        <v>0</v>
      </c>
      <c r="H12" s="437"/>
      <c r="I12" s="697">
        <f>IFERROR(1/I$3,1)*SUMIFS(tbl_DCFC[C Montant € HT],tbl_DCFC[OI_Year],I$1,tbl_DCFC[OI_Month],IF(RIGHT(I$2,3)="YTD","&lt;="&amp;LEFT(I$2,2)*1,I$2),tbl_DCFC[BU_Key],$A12)</f>
        <v>0</v>
      </c>
      <c r="J12" s="697">
        <f>IFERROR(1/J$3,1)*SUMIFS(tbl_DCFC[C Montant € HT],tbl_DCFC[OI_Year],J$1,tbl_DCFC[OI_Month],IF(RIGHT(J$2,3)="YTD","&lt;="&amp;LEFT(J$2,2)*1,J$2),tbl_DCFC[BU_Key],$A12)</f>
        <v>0</v>
      </c>
      <c r="K12" s="697">
        <f>IFERROR(1/K$3,1)*SUMIFS(tbl_DCFC[C Montant € HT],tbl_DCFC[OI_Year],K$1,tbl_DCFC[OI_Month],IF(RIGHT(K$2,3)="YTD","&lt;="&amp;LEFT(K$2,2)*1,K$2),tbl_DCFC[BU_Key],$A12)</f>
        <v>0</v>
      </c>
      <c r="L12" s="697">
        <f>IFERROR(1/L$3,1)*SUMIFS(tbl_DCFC[C Montant € HT],tbl_DCFC[OI_Year],L$1,tbl_DCFC[OI_Month],IF(RIGHT(L$2,3)="YTD","&lt;="&amp;LEFT(L$2,2)*1,L$2),tbl_DCFC[BU_Key],$A12)</f>
        <v>0</v>
      </c>
      <c r="M12" s="697">
        <f>IFERROR(1/M$3,1)*SUMIFS(tbl_DCFC[C Montant € HT],tbl_DCFC[OI_Year],M$1,tbl_DCFC[OI_Month],IF(RIGHT(M$2,3)="YTD","&lt;="&amp;LEFT(M$2,2)*1,M$2),tbl_DCFC[BU_Key],$A12)</f>
        <v>0</v>
      </c>
      <c r="N12" s="697">
        <f>IFERROR(1/N$3,1)*SUMIFS(tbl_DCFC[C Montant € HT],tbl_DCFC[OI_Year],N$1,tbl_DCFC[OI_Month],IF(RIGHT(N$2,3)="YTD","&lt;="&amp;LEFT(N$2,2)*1,N$2),tbl_DCFC[BU_Key],$A12)</f>
        <v>0</v>
      </c>
      <c r="O12" s="697">
        <f>IFERROR(1/O$3,1)*SUMIFS(tbl_DCFC[C Montant € HT],tbl_DCFC[OI_Year],O$1,tbl_DCFC[OI_Month],IF(RIGHT(O$2,3)="YTD","&lt;="&amp;LEFT(O$2,2)*1,O$2),tbl_DCFC[BU_Key],$A12)</f>
        <v>0</v>
      </c>
      <c r="P12" s="697">
        <f>IFERROR(1/P$3,1)*SUMIFS(tbl_DCFC[C Montant € HT],tbl_DCFC[OI_Year],P$1,tbl_DCFC[OI_Month],IF(RIGHT(P$2,3)="YTD","&lt;="&amp;LEFT(P$2,2)*1,P$2),tbl_DCFC[BU_Key],$A12)</f>
        <v>0</v>
      </c>
      <c r="Q12" s="697">
        <f>IFERROR(1/Q$3,1)*SUMIFS(tbl_DCFC[C Montant € HT],tbl_DCFC[OI_Year],Q$1,tbl_DCFC[OI_Month],IF(RIGHT(Q$2,3)="YTD","&lt;="&amp;LEFT(Q$2,2)*1,Q$2),tbl_DCFC[BU_Key],$A12)</f>
        <v>0</v>
      </c>
      <c r="R12" s="697">
        <f>IFERROR(1/R$3,1)*SUMIFS(tbl_DCFC[C Montant € HT],tbl_DCFC[OI_Year],R$1,tbl_DCFC[OI_Month],IF(RIGHT(R$2,3)="YTD","&lt;="&amp;LEFT(R$2,2)*1,R$2),tbl_DCFC[BU_Key],$A12)</f>
        <v>0</v>
      </c>
      <c r="S12" s="697">
        <f>IFERROR(1/S$3,1)*SUMIFS(tbl_DCFC[C Montant € HT],tbl_DCFC[OI_Year],S$1,tbl_DCFC[OI_Month],IF(RIGHT(S$2,3)="YTD","&lt;="&amp;LEFT(S$2,2)*1,S$2),tbl_DCFC[BU_Key],$A12)</f>
        <v>0</v>
      </c>
      <c r="T12" s="697">
        <f>IFERROR(1/T$3,1)*SUMIFS(tbl_DCFC[C Montant € HT],tbl_DCFC[OI_Year],T$1,tbl_DCFC[OI_Month],IF(RIGHT(T$2,3)="YTD","&lt;="&amp;LEFT(T$2,2)*1,T$2),tbl_DCFC[BU_Key],$A12)</f>
        <v>0</v>
      </c>
      <c r="U12" s="437"/>
      <c r="V12" s="697">
        <f t="shared" si="3"/>
        <v>0</v>
      </c>
      <c r="W12" s="697">
        <f t="shared" ca="1" si="3"/>
        <v>0</v>
      </c>
      <c r="X12" s="697">
        <f t="shared" si="3"/>
        <v>0</v>
      </c>
      <c r="Y12" s="697">
        <f t="shared" si="7"/>
        <v>0</v>
      </c>
      <c r="Z12" s="697">
        <f t="shared" si="7"/>
        <v>0</v>
      </c>
      <c r="AA12" s="697">
        <f t="shared" si="7"/>
        <v>0</v>
      </c>
      <c r="AB12" s="697">
        <f t="shared" si="7"/>
        <v>0</v>
      </c>
      <c r="AC12" s="697">
        <f t="shared" si="7"/>
        <v>0</v>
      </c>
      <c r="AD12" s="697">
        <f t="shared" si="7"/>
        <v>0</v>
      </c>
      <c r="AE12" s="697">
        <f t="shared" si="7"/>
        <v>0</v>
      </c>
      <c r="AF12" s="697">
        <f t="shared" si="7"/>
        <v>0</v>
      </c>
      <c r="AG12" s="697"/>
      <c r="AH12" s="697">
        <f ca="1">IFERROR(1/AH$3,1)*SUMIFS(tbl_DCFC[C Montant € HT],tbl_DCFC[OI_Year],AH$1,tbl_DCFC[OI_Month],IF(RIGHT(AH$2,3)="YTD","&lt;="&amp;LEFT(AH$2,2)*1,AH$2),tbl_DCFC[BU_Key],$A12)</f>
        <v>0</v>
      </c>
      <c r="AI12" s="697">
        <f t="shared" ca="1" si="5"/>
        <v>0</v>
      </c>
      <c r="AJ12" s="716">
        <f t="shared" ca="1" si="8"/>
        <v>0</v>
      </c>
      <c r="AK12" s="437"/>
      <c r="AL12" s="697">
        <f>IFERROR(1/AL$3,1)*SUMIFS(tbl_DCFC[C Montant € HT],tbl_DCFC[OI_Year],AL$1,tbl_DCFC[OI_Month],IF(RIGHT(AL$2,3)="YTD","&lt;="&amp;LEFT(AL$2,2)*1,AL$2),tbl_DCFC[BU_Key],$A12)</f>
        <v>0</v>
      </c>
      <c r="AM12" s="711">
        <v>0</v>
      </c>
    </row>
    <row r="13" spans="1:39" s="686" customFormat="1" x14ac:dyDescent="0.3">
      <c r="B13" s="731"/>
      <c r="C13" s="687"/>
      <c r="D13" s="437"/>
      <c r="E13" s="698"/>
      <c r="F13" s="698"/>
      <c r="G13" s="699"/>
      <c r="H13" s="437"/>
      <c r="I13" s="699"/>
      <c r="J13" s="699"/>
      <c r="K13" s="699"/>
      <c r="L13" s="699"/>
      <c r="M13" s="699"/>
      <c r="N13" s="698"/>
      <c r="O13" s="698"/>
      <c r="P13" s="698"/>
      <c r="Q13" s="698"/>
      <c r="R13" s="698"/>
      <c r="S13" s="698"/>
      <c r="T13" s="698"/>
      <c r="U13" s="437"/>
      <c r="V13" s="700"/>
      <c r="W13" s="700"/>
      <c r="X13" s="700"/>
      <c r="Y13" s="698"/>
      <c r="Z13" s="698"/>
      <c r="AA13" s="698"/>
      <c r="AB13" s="698"/>
      <c r="AC13" s="698"/>
      <c r="AD13" s="698"/>
      <c r="AE13" s="698"/>
      <c r="AF13" s="688"/>
      <c r="AG13" s="688"/>
      <c r="AH13" s="689"/>
      <c r="AI13" s="690"/>
      <c r="AK13" s="437"/>
      <c r="AL13" s="689"/>
      <c r="AM13" s="691"/>
    </row>
    <row r="14" spans="1:39" s="686" customFormat="1" hidden="1" outlineLevel="1" x14ac:dyDescent="0.3">
      <c r="B14" s="854" t="s">
        <v>784</v>
      </c>
      <c r="C14" s="687"/>
      <c r="D14" s="437"/>
      <c r="E14" s="698"/>
      <c r="F14" s="698"/>
      <c r="G14" s="699"/>
      <c r="H14" s="437"/>
      <c r="I14" s="699"/>
      <c r="J14" s="699"/>
      <c r="K14" s="699"/>
      <c r="L14" s="699"/>
      <c r="M14" s="699"/>
      <c r="N14" s="698"/>
      <c r="O14" s="698"/>
      <c r="P14" s="698"/>
      <c r="Q14" s="698"/>
      <c r="R14" s="698"/>
      <c r="S14" s="698"/>
      <c r="T14" s="698"/>
      <c r="U14" s="437"/>
      <c r="V14" s="700"/>
      <c r="W14" s="700"/>
      <c r="X14" s="700"/>
      <c r="Y14" s="698"/>
      <c r="Z14" s="698"/>
      <c r="AA14" s="698"/>
      <c r="AB14" s="698"/>
      <c r="AC14" s="698"/>
      <c r="AD14" s="698"/>
      <c r="AE14" s="698"/>
      <c r="AF14" s="688"/>
      <c r="AG14" s="688"/>
      <c r="AH14" s="689"/>
      <c r="AI14" s="690"/>
      <c r="AK14" s="437"/>
      <c r="AL14" s="689"/>
      <c r="AM14" s="691"/>
    </row>
    <row r="15" spans="1:39" hidden="1" outlineLevel="1" x14ac:dyDescent="0.3">
      <c r="A15" s="55" t="s">
        <v>585</v>
      </c>
      <c r="B15" s="725" t="s">
        <v>580</v>
      </c>
      <c r="C15" s="850" t="s">
        <v>653</v>
      </c>
      <c r="E15" s="697">
        <f t="shared" ref="E15:E24" si="9">$AL15/E$3</f>
        <v>422.91666666666669</v>
      </c>
      <c r="F15" s="697">
        <f ca="1">IFERROR(1/F$3,1)*SUMIFS(Data!$S$3:$S$305,Data!$O$3:$O$305,F$1,Data!$P$3:$P$305,IF(RIGHT(F$2,3)="YTD","&lt;="&amp;LEFT(F$2,2)*1,F$2),Data!$K$3:$K$305,$B15)</f>
        <v>2859.6666666666665</v>
      </c>
      <c r="G15" s="697">
        <f>AM15/12</f>
        <v>30833.333333333332</v>
      </c>
      <c r="I15" s="697">
        <f>IFERROR(1/I$3,1)*SUMIFS(Data!$S$3:$S$305,Data!$O$3:$O$305,I$1,Data!$P$3:$P$305,IF(RIGHT(I$2,3)="YTD","&lt;="&amp;LEFT(I$2,2)*1,I$2),Data!$K$3:$K$305,$B15)</f>
        <v>0</v>
      </c>
      <c r="J15" s="697">
        <f>IFERROR(1/J$3,1)*SUMIFS(Data!$S$3:$S$305,Data!$O$3:$O$305,J$1,Data!$P$3:$P$305,IF(RIGHT(J$2,3)="YTD","&lt;="&amp;LEFT(J$2,2)*1,J$2),Data!$K$3:$K$305,$B15)</f>
        <v>8579</v>
      </c>
      <c r="K15" s="697">
        <f>IFERROR(1/K$3,1)*SUMIFS(Data!$S$3:$S$305,Data!$O$3:$O$305,K$1,Data!$P$3:$P$305,IF(RIGHT(K$2,3)="YTD","&lt;="&amp;LEFT(K$2,2)*1,K$2),Data!$K$3:$K$305,$B15)</f>
        <v>0</v>
      </c>
      <c r="L15" s="697">
        <f>IFERROR(1/L$3,1)*SUMIFS(Data!$S$3:$S$305,Data!$O$3:$O$305,L$1,Data!$P$3:$P$305,IF(RIGHT(L$2,3)="YTD","&lt;="&amp;LEFT(L$2,2)*1,L$2),Data!$K$3:$K$305,$B15)</f>
        <v>0</v>
      </c>
      <c r="M15" s="697">
        <f>IFERROR(1/M$3,1)*SUMIFS(Data!$S$3:$S$305,Data!$O$3:$O$305,M$1,Data!$P$3:$P$305,IF(RIGHT(M$2,3)="YTD","&lt;="&amp;LEFT(M$2,2)*1,M$2),Data!$K$3:$K$305,$B15)</f>
        <v>0</v>
      </c>
      <c r="N15" s="697">
        <f>SUMIFS(Data!$S$3:$S$305,Data!$O$3:$O$305,N$1,Data!$P$3:$P$305,N$2,Data!$K$3:$K$305,$B15)</f>
        <v>0</v>
      </c>
      <c r="O15" s="697">
        <f>SUMIFS(Data!$S$3:$S$305,Data!$O$3:$O$305,O$1,Data!$P$3:$P$305,O$2,Data!$K$3:$K$305,$B15)</f>
        <v>0</v>
      </c>
      <c r="P15" s="697">
        <f>SUMIFS(Data!$S$3:$S$305,Data!$O$3:$O$305,P$1,Data!$P$3:$P$305,P$2,Data!$K$3:$K$305,$B15)</f>
        <v>0</v>
      </c>
      <c r="Q15" s="697">
        <f>SUMIFS(Data!$S$3:$S$305,Data!$O$3:$O$305,Q$1,Data!$P$3:$P$305,Q$2,Data!$K$3:$K$305,$B15)</f>
        <v>0</v>
      </c>
      <c r="R15" s="697">
        <f>SUMIFS(Data!$S$3:$S$305,Data!$O$3:$O$305,R$1,Data!$P$3:$P$305,R$2,Data!$K$3:$K$305,$B15)</f>
        <v>0</v>
      </c>
      <c r="S15" s="710">
        <f>SUMIFS(Data!$S$3:$S$305,Data!$O$3:$O$305,S$1,Data!$P$3:$P$305,S$2,Data!$K$3:$K$305,$B15)</f>
        <v>0</v>
      </c>
      <c r="T15" s="710">
        <f>SUMIFS(Data!$S$3:$S$305,Data!$O$3:$O$305,T$1,Data!$P$3:$P$305,T$2,Data!$K$3:$K$305,$B15)</f>
        <v>0</v>
      </c>
      <c r="V15" s="697">
        <f t="shared" ref="V15:V24" si="10">E15</f>
        <v>422.91666666666669</v>
      </c>
      <c r="W15" s="697">
        <f t="shared" ref="W15:W24" ca="1" si="11">F15</f>
        <v>2859.6666666666665</v>
      </c>
      <c r="X15" s="697">
        <f t="shared" ref="X15:X24" si="12">G15</f>
        <v>30833.333333333332</v>
      </c>
      <c r="Y15" s="697">
        <f>$G15</f>
        <v>30833.333333333332</v>
      </c>
      <c r="Z15" s="697">
        <f t="shared" ref="Z15:AF15" si="13">$G15</f>
        <v>30833.333333333332</v>
      </c>
      <c r="AA15" s="697">
        <f t="shared" si="13"/>
        <v>30833.333333333332</v>
      </c>
      <c r="AB15" s="697">
        <f t="shared" si="13"/>
        <v>30833.333333333332</v>
      </c>
      <c r="AC15" s="697">
        <f t="shared" si="13"/>
        <v>30833.333333333332</v>
      </c>
      <c r="AD15" s="697">
        <f t="shared" si="13"/>
        <v>30833.333333333332</v>
      </c>
      <c r="AE15" s="697">
        <f t="shared" si="13"/>
        <v>30833.333333333332</v>
      </c>
      <c r="AF15" s="697">
        <f t="shared" si="13"/>
        <v>30833.333333333332</v>
      </c>
      <c r="AG15" s="697"/>
      <c r="AH15" s="697">
        <f ca="1">IFERROR(1/AH$3,1)*SUMIFS(Data!$S$3:$S$305,Data!$O$3:$O$305,AH$1,Data!$P$3:$P$305,IF(RIGHT(AH$2,3)="YTD","&lt;="&amp;LEFT(AH$2,2)*1,AH$2),Data!$K$3:$K$305,$B15)</f>
        <v>8579</v>
      </c>
      <c r="AI15" s="697">
        <f t="shared" ref="AI15:AI24" ca="1" si="14">AM15/12*LEFT(AI$2,2)*1</f>
        <v>92500</v>
      </c>
      <c r="AJ15" s="716">
        <f t="shared" ref="AJ15:AJ24" ca="1" si="15">AH15-AI15</f>
        <v>-83921</v>
      </c>
      <c r="AL15" s="697">
        <v>5075</v>
      </c>
      <c r="AM15" s="697">
        <v>370000</v>
      </c>
    </row>
    <row r="16" spans="1:39" hidden="1" outlineLevel="1" x14ac:dyDescent="0.3">
      <c r="A16" s="437" t="s">
        <v>586</v>
      </c>
      <c r="B16" s="725" t="s">
        <v>582</v>
      </c>
      <c r="C16" s="850" t="s">
        <v>653</v>
      </c>
      <c r="E16" s="697">
        <f t="shared" si="9"/>
        <v>957.5</v>
      </c>
      <c r="F16" s="697">
        <f ca="1">IFERROR(1/F$3,1)*SUMIFS(Data!$S$3:$S$305,Data!$O$3:$O$305,F$1,Data!$P$3:$P$305,IF(RIGHT(F$2,3)="YTD","&lt;="&amp;LEFT(F$2,2)*1,F$2),Data!$K$3:$K$305,$B16)</f>
        <v>0</v>
      </c>
      <c r="G16" s="697">
        <f>AM16/12</f>
        <v>0</v>
      </c>
      <c r="I16" s="697">
        <f>IFERROR(1/I$3,1)*SUMIFS(Data!$S$3:$S$305,Data!$O$3:$O$305,I$1,Data!$P$3:$P$305,IF(RIGHT(I$2,3)="YTD","&lt;="&amp;LEFT(I$2,2)*1,I$2),Data!$K$3:$K$305,$B16)</f>
        <v>0</v>
      </c>
      <c r="J16" s="697">
        <f>IFERROR(1/J$3,1)*SUMIFS(Data!$S$3:$S$305,Data!$O$3:$O$305,J$1,Data!$P$3:$P$305,IF(RIGHT(J$2,3)="YTD","&lt;="&amp;LEFT(J$2,2)*1,J$2),Data!$K$3:$K$305,$B16)</f>
        <v>0</v>
      </c>
      <c r="K16" s="697">
        <f>IFERROR(1/K$3,1)*SUMIFS(Data!$S$3:$S$305,Data!$O$3:$O$305,K$1,Data!$P$3:$P$305,IF(RIGHT(K$2,3)="YTD","&lt;="&amp;LEFT(K$2,2)*1,K$2),Data!$K$3:$K$305,$B16)</f>
        <v>0</v>
      </c>
      <c r="L16" s="697">
        <f>IFERROR(1/L$3,1)*SUMIFS(Data!$S$3:$S$305,Data!$O$3:$O$305,L$1,Data!$P$3:$P$305,IF(RIGHT(L$2,3)="YTD","&lt;="&amp;LEFT(L$2,2)*1,L$2),Data!$K$3:$K$305,$B16)</f>
        <v>0</v>
      </c>
      <c r="M16" s="697">
        <f>IFERROR(1/M$3,1)*SUMIFS(Data!$S$3:$S$305,Data!$O$3:$O$305,M$1,Data!$P$3:$P$305,IF(RIGHT(M$2,3)="YTD","&lt;="&amp;LEFT(M$2,2)*1,M$2),Data!$K$3:$K$305,$B16)</f>
        <v>0</v>
      </c>
      <c r="N16" s="697">
        <f>SUMIFS(Data!$S$3:$S$305,Data!$O$3:$O$305,N$1,Data!$P$3:$P$305,N$2,Data!$K$3:$K$305,$B16)</f>
        <v>0</v>
      </c>
      <c r="O16" s="697">
        <f>SUMIFS(Data!$S$3:$S$305,Data!$O$3:$O$305,O$1,Data!$P$3:$P$305,O$2,Data!$K$3:$K$305,$B16)</f>
        <v>0</v>
      </c>
      <c r="P16" s="697">
        <f>SUMIFS(Data!$S$3:$S$305,Data!$O$3:$O$305,P$1,Data!$P$3:$P$305,P$2,Data!$K$3:$K$305,$B16)</f>
        <v>0</v>
      </c>
      <c r="Q16" s="697">
        <f>SUMIFS(Data!$S$3:$S$305,Data!$O$3:$O$305,Q$1,Data!$P$3:$P$305,Q$2,Data!$K$3:$K$305,$B16)</f>
        <v>0</v>
      </c>
      <c r="R16" s="697">
        <f>SUMIFS(Data!$S$3:$S$305,Data!$O$3:$O$305,R$1,Data!$P$3:$P$305,R$2,Data!$K$3:$K$305,$B16)</f>
        <v>0</v>
      </c>
      <c r="S16" s="710">
        <f>SUMIFS(Data!$S$3:$S$305,Data!$O$3:$O$305,S$1,Data!$P$3:$P$305,S$2,Data!$K$3:$K$305,$B16)</f>
        <v>0</v>
      </c>
      <c r="T16" s="710">
        <f>SUMIFS(Data!$S$3:$S$305,Data!$O$3:$O$305,T$1,Data!$P$3:$P$305,T$2,Data!$K$3:$K$305,$B16)</f>
        <v>0</v>
      </c>
      <c r="V16" s="697">
        <f t="shared" si="10"/>
        <v>957.5</v>
      </c>
      <c r="W16" s="697">
        <f t="shared" ca="1" si="11"/>
        <v>0</v>
      </c>
      <c r="X16" s="697">
        <f t="shared" si="12"/>
        <v>0</v>
      </c>
      <c r="Y16" s="697">
        <f t="shared" ref="Y16:AF25" si="16">$G16</f>
        <v>0</v>
      </c>
      <c r="Z16" s="697">
        <f t="shared" si="16"/>
        <v>0</v>
      </c>
      <c r="AA16" s="697">
        <f t="shared" si="16"/>
        <v>0</v>
      </c>
      <c r="AB16" s="697">
        <f t="shared" si="16"/>
        <v>0</v>
      </c>
      <c r="AC16" s="697">
        <f t="shared" si="16"/>
        <v>0</v>
      </c>
      <c r="AD16" s="697">
        <f t="shared" si="16"/>
        <v>0</v>
      </c>
      <c r="AE16" s="697">
        <f t="shared" si="16"/>
        <v>0</v>
      </c>
      <c r="AF16" s="697">
        <f t="shared" si="16"/>
        <v>0</v>
      </c>
      <c r="AG16" s="697"/>
      <c r="AH16" s="697">
        <f ca="1">IFERROR(1/AH$3,1)*SUMIFS(Data!$S$3:$S$305,Data!$O$3:$O$305,AH$1,Data!$P$3:$P$305,IF(RIGHT(AH$2,3)="YTD","&lt;="&amp;LEFT(AH$2,2)*1,AH$2),Data!$K$3:$K$305,$B16)</f>
        <v>0</v>
      </c>
      <c r="AI16" s="697">
        <f t="shared" ca="1" si="14"/>
        <v>0</v>
      </c>
      <c r="AJ16" s="716">
        <f t="shared" ca="1" si="15"/>
        <v>0</v>
      </c>
      <c r="AL16" s="697">
        <v>11490</v>
      </c>
      <c r="AM16" s="697">
        <v>0</v>
      </c>
    </row>
    <row r="17" spans="1:39" hidden="1" outlineLevel="1" x14ac:dyDescent="0.3">
      <c r="B17" s="725" t="s">
        <v>579</v>
      </c>
      <c r="C17" s="850" t="s">
        <v>653</v>
      </c>
      <c r="E17" s="697">
        <f t="shared" si="9"/>
        <v>44543.333333333336</v>
      </c>
      <c r="F17" s="697">
        <f ca="1">IFERROR(1/F$3,1)*SUMIFS(Data!$S$3:$S$305,Data!$O$3:$O$305,F$1,Data!$P$3:$P$305,IF(RIGHT(F$2,3)="YTD","&lt;="&amp;LEFT(F$2,2)*1,F$2),Data!$K$3:$K$305,$B17)</f>
        <v>3196.6666666666665</v>
      </c>
      <c r="G17" s="697">
        <f t="shared" ref="G17:G24" si="17">AM17/12</f>
        <v>0</v>
      </c>
      <c r="I17" s="697">
        <f>IFERROR(1/I$3,1)*SUMIFS(Data!$S$3:$S$305,Data!$O$3:$O$305,I$1,Data!$P$3:$P$305,IF(RIGHT(I$2,3)="YTD","&lt;="&amp;LEFT(I$2,2)*1,I$2),Data!$K$3:$K$305,$B17)</f>
        <v>0</v>
      </c>
      <c r="J17" s="697">
        <f>IFERROR(1/J$3,1)*SUMIFS(Data!$S$3:$S$305,Data!$O$3:$O$305,J$1,Data!$P$3:$P$305,IF(RIGHT(J$2,3)="YTD","&lt;="&amp;LEFT(J$2,2)*1,J$2),Data!$K$3:$K$305,$B17)</f>
        <v>9590</v>
      </c>
      <c r="K17" s="697">
        <f>IFERROR(1/K$3,1)*SUMIFS(Data!$S$3:$S$305,Data!$O$3:$O$305,K$1,Data!$P$3:$P$305,IF(RIGHT(K$2,3)="YTD","&lt;="&amp;LEFT(K$2,2)*1,K$2),Data!$K$3:$K$305,$B17)</f>
        <v>0</v>
      </c>
      <c r="L17" s="697">
        <f>IFERROR(1/L$3,1)*SUMIFS(Data!$S$3:$S$305,Data!$O$3:$O$305,L$1,Data!$P$3:$P$305,IF(RIGHT(L$2,3)="YTD","&lt;="&amp;LEFT(L$2,2)*1,L$2),Data!$K$3:$K$305,$B17)</f>
        <v>0</v>
      </c>
      <c r="M17" s="697">
        <f>IFERROR(1/M$3,1)*SUMIFS(Data!$S$3:$S$305,Data!$O$3:$O$305,M$1,Data!$P$3:$P$305,IF(RIGHT(M$2,3)="YTD","&lt;="&amp;LEFT(M$2,2)*1,M$2),Data!$K$3:$K$305,$B17)</f>
        <v>0</v>
      </c>
      <c r="N17" s="697">
        <f>SUMIFS(Data!$S$3:$S$305,Data!$O$3:$O$305,N$1,Data!$P$3:$P$305,N$2,Data!$K$3:$K$305,$B17)</f>
        <v>0</v>
      </c>
      <c r="O17" s="697">
        <f>SUMIFS(Data!$S$3:$S$305,Data!$O$3:$O$305,O$1,Data!$P$3:$P$305,O$2,Data!$K$3:$K$305,$B17)</f>
        <v>0</v>
      </c>
      <c r="P17" s="697">
        <f>SUMIFS(Data!$S$3:$S$305,Data!$O$3:$O$305,P$1,Data!$P$3:$P$305,P$2,Data!$K$3:$K$305,$B17)</f>
        <v>0</v>
      </c>
      <c r="Q17" s="697">
        <f>SUMIFS(Data!$S$3:$S$305,Data!$O$3:$O$305,Q$1,Data!$P$3:$P$305,Q$2,Data!$K$3:$K$305,$B17)</f>
        <v>0</v>
      </c>
      <c r="R17" s="697">
        <f>SUMIFS(Data!$S$3:$S$305,Data!$O$3:$O$305,R$1,Data!$P$3:$P$305,R$2,Data!$K$3:$K$305,$B17)</f>
        <v>0</v>
      </c>
      <c r="S17" s="710">
        <f>SUMIFS(Data!$S$3:$S$305,Data!$O$3:$O$305,S$1,Data!$P$3:$P$305,S$2,Data!$K$3:$K$305,$B17)</f>
        <v>0</v>
      </c>
      <c r="T17" s="710">
        <f>SUMIFS(Data!$S$3:$S$305,Data!$O$3:$O$305,T$1,Data!$P$3:$P$305,T$2,Data!$K$3:$K$305,$B17)</f>
        <v>0</v>
      </c>
      <c r="V17" s="697">
        <f t="shared" si="10"/>
        <v>44543.333333333336</v>
      </c>
      <c r="W17" s="697">
        <f t="shared" ca="1" si="11"/>
        <v>3196.6666666666665</v>
      </c>
      <c r="X17" s="697">
        <f t="shared" si="12"/>
        <v>0</v>
      </c>
      <c r="Y17" s="697">
        <f t="shared" si="16"/>
        <v>0</v>
      </c>
      <c r="Z17" s="697">
        <f t="shared" si="16"/>
        <v>0</v>
      </c>
      <c r="AA17" s="697">
        <f t="shared" si="16"/>
        <v>0</v>
      </c>
      <c r="AB17" s="697">
        <f t="shared" si="16"/>
        <v>0</v>
      </c>
      <c r="AC17" s="697">
        <f t="shared" si="16"/>
        <v>0</v>
      </c>
      <c r="AD17" s="697">
        <f t="shared" si="16"/>
        <v>0</v>
      </c>
      <c r="AE17" s="697">
        <f t="shared" si="16"/>
        <v>0</v>
      </c>
      <c r="AF17" s="697">
        <f t="shared" si="16"/>
        <v>0</v>
      </c>
      <c r="AG17" s="697"/>
      <c r="AH17" s="697">
        <f ca="1">IFERROR(1/AH$3,1)*SUMIFS(Data!$S$3:$S$305,Data!$O$3:$O$305,AH$1,Data!$P$3:$P$305,IF(RIGHT(AH$2,3)="YTD","&lt;="&amp;LEFT(AH$2,2)*1,AH$2),Data!$K$3:$K$305,$B17)</f>
        <v>9590</v>
      </c>
      <c r="AI17" s="697">
        <f t="shared" ca="1" si="14"/>
        <v>0</v>
      </c>
      <c r="AJ17" s="716">
        <f t="shared" ca="1" si="15"/>
        <v>9590</v>
      </c>
      <c r="AL17" s="697">
        <v>534520</v>
      </c>
      <c r="AM17" s="697">
        <v>0</v>
      </c>
    </row>
    <row r="18" spans="1:39" hidden="1" outlineLevel="1" x14ac:dyDescent="0.3">
      <c r="A18" s="437" t="s">
        <v>587</v>
      </c>
      <c r="B18" s="725" t="s">
        <v>581</v>
      </c>
      <c r="C18" s="850" t="s">
        <v>653</v>
      </c>
      <c r="E18" s="697">
        <f t="shared" si="9"/>
        <v>1117.5</v>
      </c>
      <c r="F18" s="697">
        <f ca="1">IFERROR(1/F$3,1)*SUMIFS(Data!$S$3:$S$305,Data!$O$3:$O$305,F$1,Data!$P$3:$P$305,IF(RIGHT(F$2,3)="YTD","&lt;="&amp;LEFT(F$2,2)*1,F$2),Data!$K$3:$K$305,$B18)</f>
        <v>0</v>
      </c>
      <c r="G18" s="697">
        <f t="shared" si="17"/>
        <v>0</v>
      </c>
      <c r="I18" s="697">
        <f>IFERROR(1/I$3,1)*SUMIFS(Data!$S$3:$S$305,Data!$O$3:$O$305,I$1,Data!$P$3:$P$305,IF(RIGHT(I$2,3)="YTD","&lt;="&amp;LEFT(I$2,2)*1,I$2),Data!$K$3:$K$305,$B18)</f>
        <v>0</v>
      </c>
      <c r="J18" s="697">
        <f>IFERROR(1/J$3,1)*SUMIFS(Data!$S$3:$S$305,Data!$O$3:$O$305,J$1,Data!$P$3:$P$305,IF(RIGHT(J$2,3)="YTD","&lt;="&amp;LEFT(J$2,2)*1,J$2),Data!$K$3:$K$305,$B18)</f>
        <v>0</v>
      </c>
      <c r="K18" s="697">
        <f>IFERROR(1/K$3,1)*SUMIFS(Data!$S$3:$S$305,Data!$O$3:$O$305,K$1,Data!$P$3:$P$305,IF(RIGHT(K$2,3)="YTD","&lt;="&amp;LEFT(K$2,2)*1,K$2),Data!$K$3:$K$305,$B18)</f>
        <v>0</v>
      </c>
      <c r="L18" s="697">
        <f>IFERROR(1/L$3,1)*SUMIFS(Data!$S$3:$S$305,Data!$O$3:$O$305,L$1,Data!$P$3:$P$305,IF(RIGHT(L$2,3)="YTD","&lt;="&amp;LEFT(L$2,2)*1,L$2),Data!$K$3:$K$305,$B18)</f>
        <v>0</v>
      </c>
      <c r="M18" s="697">
        <f>IFERROR(1/M$3,1)*SUMIFS(Data!$S$3:$S$305,Data!$O$3:$O$305,M$1,Data!$P$3:$P$305,IF(RIGHT(M$2,3)="YTD","&lt;="&amp;LEFT(M$2,2)*1,M$2),Data!$K$3:$K$305,$B18)</f>
        <v>0</v>
      </c>
      <c r="N18" s="697">
        <f>SUMIFS(Data!$S$3:$S$305,Data!$O$3:$O$305,N$1,Data!$P$3:$P$305,N$2,Data!$K$3:$K$305,$B18)</f>
        <v>0</v>
      </c>
      <c r="O18" s="697">
        <f>SUMIFS(Data!$S$3:$S$305,Data!$O$3:$O$305,O$1,Data!$P$3:$P$305,O$2,Data!$K$3:$K$305,$B18)</f>
        <v>0</v>
      </c>
      <c r="P18" s="697">
        <f>SUMIFS(Data!$S$3:$S$305,Data!$O$3:$O$305,P$1,Data!$P$3:$P$305,P$2,Data!$K$3:$K$305,$B18)</f>
        <v>0</v>
      </c>
      <c r="Q18" s="697">
        <f>SUMIFS(Data!$S$3:$S$305,Data!$O$3:$O$305,Q$1,Data!$P$3:$P$305,Q$2,Data!$K$3:$K$305,$B18)</f>
        <v>0</v>
      </c>
      <c r="R18" s="697">
        <f>SUMIFS(Data!$S$3:$S$305,Data!$O$3:$O$305,R$1,Data!$P$3:$P$305,R$2,Data!$K$3:$K$305,$B18)</f>
        <v>0</v>
      </c>
      <c r="S18" s="710">
        <f>SUMIFS(Data!$S$3:$S$305,Data!$O$3:$O$305,S$1,Data!$P$3:$P$305,S$2,Data!$K$3:$K$305,$B18)</f>
        <v>0</v>
      </c>
      <c r="T18" s="710">
        <f>SUMIFS(Data!$S$3:$S$305,Data!$O$3:$O$305,T$1,Data!$P$3:$P$305,T$2,Data!$K$3:$K$305,$B18)</f>
        <v>0</v>
      </c>
      <c r="V18" s="697">
        <f t="shared" si="10"/>
        <v>1117.5</v>
      </c>
      <c r="W18" s="697">
        <f t="shared" ca="1" si="11"/>
        <v>0</v>
      </c>
      <c r="X18" s="697">
        <f t="shared" si="12"/>
        <v>0</v>
      </c>
      <c r="Y18" s="697">
        <f t="shared" si="16"/>
        <v>0</v>
      </c>
      <c r="Z18" s="697">
        <f t="shared" si="16"/>
        <v>0</v>
      </c>
      <c r="AA18" s="697">
        <f t="shared" si="16"/>
        <v>0</v>
      </c>
      <c r="AB18" s="697">
        <f t="shared" si="16"/>
        <v>0</v>
      </c>
      <c r="AC18" s="697">
        <f t="shared" si="16"/>
        <v>0</v>
      </c>
      <c r="AD18" s="697">
        <f t="shared" si="16"/>
        <v>0</v>
      </c>
      <c r="AE18" s="697">
        <f t="shared" si="16"/>
        <v>0</v>
      </c>
      <c r="AF18" s="697">
        <f t="shared" si="16"/>
        <v>0</v>
      </c>
      <c r="AG18" s="697"/>
      <c r="AH18" s="697">
        <f ca="1">IFERROR(1/AH$3,1)*SUMIFS(Data!$S$3:$S$305,Data!$O$3:$O$305,AH$1,Data!$P$3:$P$305,IF(RIGHT(AH$2,3)="YTD","&lt;="&amp;LEFT(AH$2,2)*1,AH$2),Data!$K$3:$K$305,$B18)</f>
        <v>0</v>
      </c>
      <c r="AI18" s="697">
        <f t="shared" ca="1" si="14"/>
        <v>0</v>
      </c>
      <c r="AJ18" s="716">
        <f t="shared" ca="1" si="15"/>
        <v>0</v>
      </c>
      <c r="AL18" s="697">
        <v>13410</v>
      </c>
      <c r="AM18" s="697">
        <v>0</v>
      </c>
    </row>
    <row r="19" spans="1:39" hidden="1" outlineLevel="1" x14ac:dyDescent="0.3">
      <c r="A19" s="437" t="s">
        <v>588</v>
      </c>
      <c r="B19" s="725" t="s">
        <v>518</v>
      </c>
      <c r="C19" s="850" t="s">
        <v>653</v>
      </c>
      <c r="E19" s="697">
        <f t="shared" si="9"/>
        <v>8626.25</v>
      </c>
      <c r="F19" s="697">
        <f ca="1">IFERROR(1/F$3,1)*SUMIFS(Data!$S$3:$S$305,Data!$O$3:$O$305,F$1,Data!$P$3:$P$305,IF(RIGHT(F$2,3)="YTD","&lt;="&amp;LEFT(F$2,2)*1,F$2),Data!$K$3:$K$305,$B19)</f>
        <v>0</v>
      </c>
      <c r="G19" s="697">
        <f t="shared" si="17"/>
        <v>0</v>
      </c>
      <c r="I19" s="697">
        <f>IFERROR(1/I$3,1)*SUMIFS(Data!$S$3:$S$305,Data!$O$3:$O$305,I$1,Data!$P$3:$P$305,IF(RIGHT(I$2,3)="YTD","&lt;="&amp;LEFT(I$2,2)*1,I$2),Data!$K$3:$K$305,$B19)</f>
        <v>0</v>
      </c>
      <c r="J19" s="697">
        <f>IFERROR(1/J$3,1)*SUMIFS(Data!$S$3:$S$305,Data!$O$3:$O$305,J$1,Data!$P$3:$P$305,IF(RIGHT(J$2,3)="YTD","&lt;="&amp;LEFT(J$2,2)*1,J$2),Data!$K$3:$K$305,$B19)</f>
        <v>0</v>
      </c>
      <c r="K19" s="697">
        <f>IFERROR(1/K$3,1)*SUMIFS(Data!$S$3:$S$305,Data!$O$3:$O$305,K$1,Data!$P$3:$P$305,IF(RIGHT(K$2,3)="YTD","&lt;="&amp;LEFT(K$2,2)*1,K$2),Data!$K$3:$K$305,$B19)</f>
        <v>0</v>
      </c>
      <c r="L19" s="697">
        <f>IFERROR(1/L$3,1)*SUMIFS(Data!$S$3:$S$305,Data!$O$3:$O$305,L$1,Data!$P$3:$P$305,IF(RIGHT(L$2,3)="YTD","&lt;="&amp;LEFT(L$2,2)*1,L$2),Data!$K$3:$K$305,$B19)</f>
        <v>0</v>
      </c>
      <c r="M19" s="697">
        <f>IFERROR(1/M$3,1)*SUMIFS(Data!$S$3:$S$305,Data!$O$3:$O$305,M$1,Data!$P$3:$P$305,IF(RIGHT(M$2,3)="YTD","&lt;="&amp;LEFT(M$2,2)*1,M$2),Data!$K$3:$K$305,$B19)</f>
        <v>0</v>
      </c>
      <c r="N19" s="697">
        <f>SUMIFS(Data!$S$3:$S$305,Data!$O$3:$O$305,N$1,Data!$P$3:$P$305,N$2,Data!$K$3:$K$305,$B19)</f>
        <v>0</v>
      </c>
      <c r="O19" s="697">
        <f>SUMIFS(Data!$S$3:$S$305,Data!$O$3:$O$305,O$1,Data!$P$3:$P$305,O$2,Data!$K$3:$K$305,$B19)</f>
        <v>0</v>
      </c>
      <c r="P19" s="697">
        <f>SUMIFS(Data!$S$3:$S$305,Data!$O$3:$O$305,P$1,Data!$P$3:$P$305,P$2,Data!$K$3:$K$305,$B19)</f>
        <v>0</v>
      </c>
      <c r="Q19" s="697">
        <f>SUMIFS(Data!$S$3:$S$305,Data!$O$3:$O$305,Q$1,Data!$P$3:$P$305,Q$2,Data!$K$3:$K$305,$B19)</f>
        <v>0</v>
      </c>
      <c r="R19" s="697">
        <f>SUMIFS(Data!$S$3:$S$305,Data!$O$3:$O$305,R$1,Data!$P$3:$P$305,R$2,Data!$K$3:$K$305,$B19)</f>
        <v>0</v>
      </c>
      <c r="S19" s="710">
        <f>SUMIFS(Data!$S$3:$S$305,Data!$O$3:$O$305,S$1,Data!$P$3:$P$305,S$2,Data!$K$3:$K$305,$B19)</f>
        <v>0</v>
      </c>
      <c r="T19" s="710">
        <f>SUMIFS(Data!$S$3:$S$305,Data!$O$3:$O$305,T$1,Data!$P$3:$P$305,T$2,Data!$K$3:$K$305,$B19)</f>
        <v>0</v>
      </c>
      <c r="V19" s="697">
        <f t="shared" si="10"/>
        <v>8626.25</v>
      </c>
      <c r="W19" s="697">
        <f t="shared" ca="1" si="11"/>
        <v>0</v>
      </c>
      <c r="X19" s="697">
        <f t="shared" si="12"/>
        <v>0</v>
      </c>
      <c r="Y19" s="697">
        <f t="shared" si="16"/>
        <v>0</v>
      </c>
      <c r="Z19" s="697">
        <f t="shared" si="16"/>
        <v>0</v>
      </c>
      <c r="AA19" s="697">
        <f t="shared" si="16"/>
        <v>0</v>
      </c>
      <c r="AB19" s="697">
        <f t="shared" si="16"/>
        <v>0</v>
      </c>
      <c r="AC19" s="697">
        <f t="shared" si="16"/>
        <v>0</v>
      </c>
      <c r="AD19" s="697">
        <f t="shared" si="16"/>
        <v>0</v>
      </c>
      <c r="AE19" s="697">
        <f t="shared" si="16"/>
        <v>0</v>
      </c>
      <c r="AF19" s="697">
        <f t="shared" si="16"/>
        <v>0</v>
      </c>
      <c r="AG19" s="697"/>
      <c r="AH19" s="697">
        <f ca="1">IFERROR(1/AH$3,1)*SUMIFS(Data!$S$3:$S$305,Data!$O$3:$O$305,AH$1,Data!$P$3:$P$305,IF(RIGHT(AH$2,3)="YTD","&lt;="&amp;LEFT(AH$2,2)*1,AH$2),Data!$K$3:$K$305,$B19)</f>
        <v>0</v>
      </c>
      <c r="AI19" s="697">
        <f t="shared" ca="1" si="14"/>
        <v>0</v>
      </c>
      <c r="AJ19" s="716">
        <f t="shared" ca="1" si="15"/>
        <v>0</v>
      </c>
      <c r="AL19" s="697">
        <v>103515</v>
      </c>
      <c r="AM19" s="711">
        <v>0</v>
      </c>
    </row>
    <row r="20" spans="1:39" hidden="1" outlineLevel="1" x14ac:dyDescent="0.3">
      <c r="A20" s="55" t="s">
        <v>594</v>
      </c>
      <c r="B20" s="725" t="s">
        <v>569</v>
      </c>
      <c r="C20" s="850" t="s">
        <v>653</v>
      </c>
      <c r="E20" s="697">
        <f t="shared" si="9"/>
        <v>9451.5833333333339</v>
      </c>
      <c r="F20" s="697">
        <f ca="1">IFERROR(1/F$3,1)*SUMIFS(Data!$S$3:$S$305,Data!$O$3:$O$305,F$1,Data!$P$3:$P$305,IF(RIGHT(F$2,3)="YTD","&lt;="&amp;LEFT(F$2,2)*1,F$2),Data!$K$3:$K$305,$B20)</f>
        <v>11086.666666666666</v>
      </c>
      <c r="G20" s="697">
        <f t="shared" si="17"/>
        <v>20833.333333333332</v>
      </c>
      <c r="I20" s="697">
        <f>IFERROR(1/I$3,1)*SUMIFS(Data!$S$3:$S$305,Data!$O$3:$O$305,I$1,Data!$P$3:$P$305,IF(RIGHT(I$2,3)="YTD","&lt;="&amp;LEFT(I$2,2)*1,I$2),Data!$K$3:$K$305,$B20)</f>
        <v>10950</v>
      </c>
      <c r="J20" s="697">
        <f>IFERROR(1/J$3,1)*SUMIFS(Data!$S$3:$S$305,Data!$O$3:$O$305,J$1,Data!$P$3:$P$305,IF(RIGHT(J$2,3)="YTD","&lt;="&amp;LEFT(J$2,2)*1,J$2),Data!$K$3:$K$305,$B20)</f>
        <v>8330</v>
      </c>
      <c r="K20" s="697">
        <f>IFERROR(1/K$3,1)*SUMIFS(Data!$S$3:$S$305,Data!$O$3:$O$305,K$1,Data!$P$3:$P$305,IF(RIGHT(K$2,3)="YTD","&lt;="&amp;LEFT(K$2,2)*1,K$2),Data!$K$3:$K$305,$B20)</f>
        <v>13980</v>
      </c>
      <c r="L20" s="697">
        <f>IFERROR(1/L$3,1)*SUMIFS(Data!$S$3:$S$305,Data!$O$3:$O$305,L$1,Data!$P$3:$P$305,IF(RIGHT(L$2,3)="YTD","&lt;="&amp;LEFT(L$2,2)*1,L$2),Data!$K$3:$K$305,$B20)</f>
        <v>3180</v>
      </c>
      <c r="M20" s="697">
        <f>IFERROR(1/M$3,1)*SUMIFS(Data!$S$3:$S$305,Data!$O$3:$O$305,M$1,Data!$P$3:$P$305,IF(RIGHT(M$2,3)="YTD","&lt;="&amp;LEFT(M$2,2)*1,M$2),Data!$K$3:$K$305,$B20)</f>
        <v>0</v>
      </c>
      <c r="N20" s="697">
        <f>SUMIFS(Data!$S$3:$S$305,Data!$O$3:$O$305,N$1,Data!$P$3:$P$305,N$2,Data!$K$3:$K$305,$B20)</f>
        <v>0</v>
      </c>
      <c r="O20" s="697">
        <f>SUMIFS(Data!$S$3:$S$305,Data!$O$3:$O$305,O$1,Data!$P$3:$P$305,O$2,Data!$K$3:$K$305,$B20)</f>
        <v>0</v>
      </c>
      <c r="P20" s="697">
        <f>SUMIFS(Data!$S$3:$S$305,Data!$O$3:$O$305,P$1,Data!$P$3:$P$305,P$2,Data!$K$3:$K$305,$B20)</f>
        <v>0</v>
      </c>
      <c r="Q20" s="697">
        <f>SUMIFS(Data!$S$3:$S$305,Data!$O$3:$O$305,Q$1,Data!$P$3:$P$305,Q$2,Data!$K$3:$K$305,$B20)</f>
        <v>0</v>
      </c>
      <c r="R20" s="697">
        <f>SUMIFS(Data!$S$3:$S$305,Data!$O$3:$O$305,R$1,Data!$P$3:$P$305,R$2,Data!$K$3:$K$305,$B20)</f>
        <v>0</v>
      </c>
      <c r="S20" s="710">
        <f>SUMIFS(Data!$S$3:$S$305,Data!$O$3:$O$305,S$1,Data!$P$3:$P$305,S$2,Data!$K$3:$K$305,$B20)</f>
        <v>0</v>
      </c>
      <c r="T20" s="710">
        <f>SUMIFS(Data!$S$3:$S$305,Data!$O$3:$O$305,T$1,Data!$P$3:$P$305,T$2,Data!$K$3:$K$305,$B20)</f>
        <v>0</v>
      </c>
      <c r="V20" s="697">
        <f t="shared" si="10"/>
        <v>9451.5833333333339</v>
      </c>
      <c r="W20" s="697">
        <f t="shared" ca="1" si="11"/>
        <v>11086.666666666666</v>
      </c>
      <c r="X20" s="697">
        <f t="shared" si="12"/>
        <v>20833.333333333332</v>
      </c>
      <c r="Y20" s="697">
        <f t="shared" si="16"/>
        <v>20833.333333333332</v>
      </c>
      <c r="Z20" s="697">
        <f t="shared" si="16"/>
        <v>20833.333333333332</v>
      </c>
      <c r="AA20" s="697">
        <f t="shared" si="16"/>
        <v>20833.333333333332</v>
      </c>
      <c r="AB20" s="697">
        <f t="shared" si="16"/>
        <v>20833.333333333332</v>
      </c>
      <c r="AC20" s="697">
        <f t="shared" si="16"/>
        <v>20833.333333333332</v>
      </c>
      <c r="AD20" s="697">
        <f t="shared" si="16"/>
        <v>20833.333333333332</v>
      </c>
      <c r="AE20" s="697">
        <f t="shared" si="16"/>
        <v>20833.333333333332</v>
      </c>
      <c r="AF20" s="697">
        <f t="shared" si="16"/>
        <v>20833.333333333332</v>
      </c>
      <c r="AG20" s="697"/>
      <c r="AH20" s="697">
        <f ca="1">IFERROR(1/AH$3,1)*SUMIFS(Data!$S$3:$S$305,Data!$O$3:$O$305,AH$1,Data!$P$3:$P$305,IF(RIGHT(AH$2,3)="YTD","&lt;="&amp;LEFT(AH$2,2)*1,AH$2),Data!$K$3:$K$305,$B20)</f>
        <v>33260</v>
      </c>
      <c r="AI20" s="697">
        <f t="shared" ca="1" si="14"/>
        <v>62500</v>
      </c>
      <c r="AJ20" s="716">
        <f t="shared" ca="1" si="15"/>
        <v>-29240</v>
      </c>
      <c r="AL20" s="697">
        <v>113419</v>
      </c>
      <c r="AM20" s="711">
        <v>250000</v>
      </c>
    </row>
    <row r="21" spans="1:39" hidden="1" outlineLevel="1" x14ac:dyDescent="0.3">
      <c r="A21" s="55" t="s">
        <v>589</v>
      </c>
      <c r="B21" s="725" t="s">
        <v>583</v>
      </c>
      <c r="C21" s="850" t="s">
        <v>653</v>
      </c>
      <c r="E21" s="697">
        <f t="shared" si="9"/>
        <v>5542.75</v>
      </c>
      <c r="F21" s="697">
        <f ca="1">IFERROR(1/F$3,1)*SUMIFS(Data!$S$3:$S$305,Data!$O$3:$O$305,F$1,Data!$P$3:$P$305,IF(RIGHT(F$2,3)="YTD","&lt;="&amp;LEFT(F$2,2)*1,F$2),Data!$K$3:$K$305,$B21)</f>
        <v>0</v>
      </c>
      <c r="G21" s="697">
        <f t="shared" si="17"/>
        <v>3750</v>
      </c>
      <c r="I21" s="697">
        <f>IFERROR(1/I$3,1)*SUMIFS(Data!$S$3:$S$305,Data!$O$3:$O$305,I$1,Data!$P$3:$P$305,IF(RIGHT(I$2,3)="YTD","&lt;="&amp;LEFT(I$2,2)*1,I$2),Data!$K$3:$K$305,$B21)</f>
        <v>0</v>
      </c>
      <c r="J21" s="697">
        <f>IFERROR(1/J$3,1)*SUMIFS(Data!$S$3:$S$305,Data!$O$3:$O$305,J$1,Data!$P$3:$P$305,IF(RIGHT(J$2,3)="YTD","&lt;="&amp;LEFT(J$2,2)*1,J$2),Data!$K$3:$K$305,$B21)</f>
        <v>0</v>
      </c>
      <c r="K21" s="697">
        <f>IFERROR(1/K$3,1)*SUMIFS(Data!$S$3:$S$305,Data!$O$3:$O$305,K$1,Data!$P$3:$P$305,IF(RIGHT(K$2,3)="YTD","&lt;="&amp;LEFT(K$2,2)*1,K$2),Data!$K$3:$K$305,$B21)</f>
        <v>0</v>
      </c>
      <c r="L21" s="697">
        <f>IFERROR(1/L$3,1)*SUMIFS(Data!$S$3:$S$305,Data!$O$3:$O$305,L$1,Data!$P$3:$P$305,IF(RIGHT(L$2,3)="YTD","&lt;="&amp;LEFT(L$2,2)*1,L$2),Data!$K$3:$K$305,$B21)</f>
        <v>0</v>
      </c>
      <c r="M21" s="697">
        <f>IFERROR(1/M$3,1)*SUMIFS(Data!$S$3:$S$305,Data!$O$3:$O$305,M$1,Data!$P$3:$P$305,IF(RIGHT(M$2,3)="YTD","&lt;="&amp;LEFT(M$2,2)*1,M$2),Data!$K$3:$K$305,$B21)</f>
        <v>0</v>
      </c>
      <c r="N21" s="697">
        <f>SUMIFS(Data!$S$3:$S$305,Data!$O$3:$O$305,N$1,Data!$P$3:$P$305,N$2,Data!$K$3:$K$305,$B21)</f>
        <v>0</v>
      </c>
      <c r="O21" s="697">
        <f>SUMIFS(Data!$S$3:$S$305,Data!$O$3:$O$305,O$1,Data!$P$3:$P$305,O$2,Data!$K$3:$K$305,$B21)</f>
        <v>0</v>
      </c>
      <c r="P21" s="697">
        <f>SUMIFS(Data!$S$3:$S$305,Data!$O$3:$O$305,P$1,Data!$P$3:$P$305,P$2,Data!$K$3:$K$305,$B21)</f>
        <v>0</v>
      </c>
      <c r="Q21" s="697">
        <f>SUMIFS(Data!$S$3:$S$305,Data!$O$3:$O$305,Q$1,Data!$P$3:$P$305,Q$2,Data!$K$3:$K$305,$B21)</f>
        <v>0</v>
      </c>
      <c r="R21" s="697">
        <f>SUMIFS(Data!$S$3:$S$305,Data!$O$3:$O$305,R$1,Data!$P$3:$P$305,R$2,Data!$K$3:$K$305,$B21)</f>
        <v>0</v>
      </c>
      <c r="S21" s="710">
        <f>SUMIFS(Data!$S$3:$S$305,Data!$O$3:$O$305,S$1,Data!$P$3:$P$305,S$2,Data!$K$3:$K$305,$B21)</f>
        <v>0</v>
      </c>
      <c r="T21" s="710">
        <f>SUMIFS(Data!$S$3:$S$305,Data!$O$3:$O$305,T$1,Data!$P$3:$P$305,T$2,Data!$K$3:$K$305,$B21)</f>
        <v>0</v>
      </c>
      <c r="V21" s="697">
        <f t="shared" si="10"/>
        <v>5542.75</v>
      </c>
      <c r="W21" s="697">
        <f t="shared" ca="1" si="11"/>
        <v>0</v>
      </c>
      <c r="X21" s="697">
        <f t="shared" si="12"/>
        <v>3750</v>
      </c>
      <c r="Y21" s="697">
        <f t="shared" si="16"/>
        <v>3750</v>
      </c>
      <c r="Z21" s="697">
        <f t="shared" si="16"/>
        <v>3750</v>
      </c>
      <c r="AA21" s="697">
        <f t="shared" si="16"/>
        <v>3750</v>
      </c>
      <c r="AB21" s="697">
        <f t="shared" si="16"/>
        <v>3750</v>
      </c>
      <c r="AC21" s="697">
        <f t="shared" si="16"/>
        <v>3750</v>
      </c>
      <c r="AD21" s="697">
        <f t="shared" si="16"/>
        <v>3750</v>
      </c>
      <c r="AE21" s="697">
        <f t="shared" si="16"/>
        <v>3750</v>
      </c>
      <c r="AF21" s="697">
        <f t="shared" si="16"/>
        <v>3750</v>
      </c>
      <c r="AG21" s="697"/>
      <c r="AH21" s="697">
        <f ca="1">IFERROR(1/AH$3,1)*SUMIFS(Data!$S$3:$S$305,Data!$O$3:$O$305,AH$1,Data!$P$3:$P$305,IF(RIGHT(AH$2,3)="YTD","&lt;="&amp;LEFT(AH$2,2)*1,AH$2),Data!$K$3:$K$305,$B21)</f>
        <v>0</v>
      </c>
      <c r="AI21" s="697">
        <f t="shared" ca="1" si="14"/>
        <v>11250</v>
      </c>
      <c r="AJ21" s="716">
        <f t="shared" ca="1" si="15"/>
        <v>-11250</v>
      </c>
      <c r="AL21" s="697">
        <v>66513</v>
      </c>
      <c r="AM21" s="711">
        <v>45000</v>
      </c>
    </row>
    <row r="22" spans="1:39" hidden="1" outlineLevel="1" x14ac:dyDescent="0.3">
      <c r="A22" s="55" t="s">
        <v>590</v>
      </c>
      <c r="B22" s="725" t="s">
        <v>574</v>
      </c>
      <c r="C22" s="850" t="s">
        <v>653</v>
      </c>
      <c r="E22" s="697">
        <f t="shared" si="9"/>
        <v>304.16666666666669</v>
      </c>
      <c r="F22" s="697">
        <f ca="1">IFERROR(1/F$3,1)*SUMIFS(Data!$S$3:$S$305,Data!$O$3:$O$305,F$1,Data!$P$3:$P$305,IF(RIGHT(F$2,3)="YTD","&lt;="&amp;LEFT(F$2,2)*1,F$2),Data!$K$3:$K$305,$B22)</f>
        <v>42208.333333333328</v>
      </c>
      <c r="G22" s="697">
        <f t="shared" si="17"/>
        <v>20833.333333333332</v>
      </c>
      <c r="I22" s="697">
        <f>IFERROR(1/I$3,1)*SUMIFS(Data!$S$3:$S$305,Data!$O$3:$O$305,I$1,Data!$P$3:$P$305,IF(RIGHT(I$2,3)="YTD","&lt;="&amp;LEFT(I$2,2)*1,I$2),Data!$K$3:$K$305,$B22)</f>
        <v>10830</v>
      </c>
      <c r="J22" s="697">
        <f>IFERROR(1/J$3,1)*SUMIFS(Data!$S$3:$S$305,Data!$O$3:$O$305,J$1,Data!$P$3:$P$305,IF(RIGHT(J$2,3)="YTD","&lt;="&amp;LEFT(J$2,2)*1,J$2),Data!$K$3:$K$305,$B22)</f>
        <v>92183</v>
      </c>
      <c r="K22" s="697">
        <f>IFERROR(1/K$3,1)*SUMIFS(Data!$S$3:$S$305,Data!$O$3:$O$305,K$1,Data!$P$3:$P$305,IF(RIGHT(K$2,3)="YTD","&lt;="&amp;LEFT(K$2,2)*1,K$2),Data!$K$3:$K$305,$B22)</f>
        <v>23612</v>
      </c>
      <c r="L22" s="697">
        <f>IFERROR(1/L$3,1)*SUMIFS(Data!$S$3:$S$305,Data!$O$3:$O$305,L$1,Data!$P$3:$P$305,IF(RIGHT(L$2,3)="YTD","&lt;="&amp;LEFT(L$2,2)*1,L$2),Data!$K$3:$K$305,$B22)</f>
        <v>11951</v>
      </c>
      <c r="M22" s="697">
        <f>IFERROR(1/M$3,1)*SUMIFS(Data!$S$3:$S$305,Data!$O$3:$O$305,M$1,Data!$P$3:$P$305,IF(RIGHT(M$2,3)="YTD","&lt;="&amp;LEFT(M$2,2)*1,M$2),Data!$K$3:$K$305,$B22)</f>
        <v>0</v>
      </c>
      <c r="N22" s="697">
        <f>SUMIFS(Data!$S$3:$S$305,Data!$O$3:$O$305,N$1,Data!$P$3:$P$305,N$2,Data!$K$3:$K$305,$B22)</f>
        <v>0</v>
      </c>
      <c r="O22" s="697">
        <f>SUMIFS(Data!$S$3:$S$305,Data!$O$3:$O$305,O$1,Data!$P$3:$P$305,O$2,Data!$K$3:$K$305,$B22)</f>
        <v>0</v>
      </c>
      <c r="P22" s="697">
        <f>SUMIFS(Data!$S$3:$S$305,Data!$O$3:$O$305,P$1,Data!$P$3:$P$305,P$2,Data!$K$3:$K$305,$B22)</f>
        <v>0</v>
      </c>
      <c r="Q22" s="697">
        <f>SUMIFS(Data!$S$3:$S$305,Data!$O$3:$O$305,Q$1,Data!$P$3:$P$305,Q$2,Data!$K$3:$K$305,$B22)</f>
        <v>0</v>
      </c>
      <c r="R22" s="697">
        <f>SUMIFS(Data!$S$3:$S$305,Data!$O$3:$O$305,R$1,Data!$P$3:$P$305,R$2,Data!$K$3:$K$305,$B22)</f>
        <v>0</v>
      </c>
      <c r="S22" s="710">
        <f>SUMIFS(Data!$S$3:$S$305,Data!$O$3:$O$305,S$1,Data!$P$3:$P$305,S$2,Data!$K$3:$K$305,$B22)</f>
        <v>0</v>
      </c>
      <c r="T22" s="710">
        <f>SUMIFS(Data!$S$3:$S$305,Data!$O$3:$O$305,T$1,Data!$P$3:$P$305,T$2,Data!$K$3:$K$305,$B22)</f>
        <v>0</v>
      </c>
      <c r="V22" s="697">
        <f t="shared" si="10"/>
        <v>304.16666666666669</v>
      </c>
      <c r="W22" s="697">
        <f t="shared" ca="1" si="11"/>
        <v>42208.333333333328</v>
      </c>
      <c r="X22" s="697">
        <f t="shared" si="12"/>
        <v>20833.333333333332</v>
      </c>
      <c r="Y22" s="697">
        <f t="shared" si="16"/>
        <v>20833.333333333332</v>
      </c>
      <c r="Z22" s="697">
        <f t="shared" si="16"/>
        <v>20833.333333333332</v>
      </c>
      <c r="AA22" s="697">
        <f t="shared" si="16"/>
        <v>20833.333333333332</v>
      </c>
      <c r="AB22" s="697">
        <f t="shared" si="16"/>
        <v>20833.333333333332</v>
      </c>
      <c r="AC22" s="697">
        <f t="shared" si="16"/>
        <v>20833.333333333332</v>
      </c>
      <c r="AD22" s="697">
        <f t="shared" si="16"/>
        <v>20833.333333333332</v>
      </c>
      <c r="AE22" s="697">
        <f t="shared" si="16"/>
        <v>20833.333333333332</v>
      </c>
      <c r="AF22" s="697">
        <f t="shared" si="16"/>
        <v>20833.333333333332</v>
      </c>
      <c r="AG22" s="697"/>
      <c r="AH22" s="697">
        <f ca="1">IFERROR(1/AH$3,1)*SUMIFS(Data!$S$3:$S$305,Data!$O$3:$O$305,AH$1,Data!$P$3:$P$305,IF(RIGHT(AH$2,3)="YTD","&lt;="&amp;LEFT(AH$2,2)*1,AH$2),Data!$K$3:$K$305,$B22)</f>
        <v>126625</v>
      </c>
      <c r="AI22" s="697">
        <f t="shared" ca="1" si="14"/>
        <v>62500</v>
      </c>
      <c r="AJ22" s="716">
        <f t="shared" ca="1" si="15"/>
        <v>64125</v>
      </c>
      <c r="AL22" s="697">
        <v>3650</v>
      </c>
      <c r="AM22" s="697">
        <v>250000</v>
      </c>
    </row>
    <row r="23" spans="1:39" hidden="1" outlineLevel="1" x14ac:dyDescent="0.3">
      <c r="A23" s="437" t="s">
        <v>591</v>
      </c>
      <c r="B23" s="725" t="s">
        <v>592</v>
      </c>
      <c r="C23" s="850" t="s">
        <v>653</v>
      </c>
      <c r="E23" s="697">
        <f t="shared" si="9"/>
        <v>70966</v>
      </c>
      <c r="F23" s="697">
        <f ca="1">IFERROR(1/F$3,1)*SUMIFS(Data!$S$3:$S$305,Data!$O$3:$O$305,F$1,Data!$P$3:$P$305,IF(RIGHT(F$2,3)="YTD","&lt;="&amp;LEFT(F$2,2)*1,F$2),Data!$K$3:$K$305,$B23)</f>
        <v>0</v>
      </c>
      <c r="G23" s="697">
        <f>AM23/12</f>
        <v>0</v>
      </c>
      <c r="I23" s="697">
        <f>IFERROR(1/I$3,1)*SUMIFS(Data!$S$3:$S$305,Data!$O$3:$O$305,I$1,Data!$P$3:$P$305,IF(RIGHT(I$2,3)="YTD","&lt;="&amp;LEFT(I$2,2)*1,I$2),Data!$K$3:$K$305,$B23)</f>
        <v>0</v>
      </c>
      <c r="J23" s="697">
        <f>IFERROR(1/J$3,1)*SUMIFS(Data!$S$3:$S$305,Data!$O$3:$O$305,J$1,Data!$P$3:$P$305,IF(RIGHT(J$2,3)="YTD","&lt;="&amp;LEFT(J$2,2)*1,J$2),Data!$K$3:$K$305,$B23)</f>
        <v>0</v>
      </c>
      <c r="K23" s="697">
        <f>IFERROR(1/K$3,1)*SUMIFS(Data!$S$3:$S$305,Data!$O$3:$O$305,K$1,Data!$P$3:$P$305,IF(RIGHT(K$2,3)="YTD","&lt;="&amp;LEFT(K$2,2)*1,K$2),Data!$K$3:$K$305,$B23)</f>
        <v>0</v>
      </c>
      <c r="L23" s="697">
        <f>IFERROR(1/L$3,1)*SUMIFS(Data!$S$3:$S$305,Data!$O$3:$O$305,L$1,Data!$P$3:$P$305,IF(RIGHT(L$2,3)="YTD","&lt;="&amp;LEFT(L$2,2)*1,L$2),Data!$K$3:$K$305,$B23)</f>
        <v>0</v>
      </c>
      <c r="M23" s="697">
        <f>IFERROR(1/M$3,1)*SUMIFS(Data!$S$3:$S$305,Data!$O$3:$O$305,M$1,Data!$P$3:$P$305,IF(RIGHT(M$2,3)="YTD","&lt;="&amp;LEFT(M$2,2)*1,M$2),Data!$K$3:$K$305,$B23)</f>
        <v>0</v>
      </c>
      <c r="N23" s="697">
        <f>SUMIFS(Data!$S$3:$S$305,Data!$O$3:$O$305,N$1,Data!$P$3:$P$305,N$2,Data!$K$3:$K$305,$B23)</f>
        <v>0</v>
      </c>
      <c r="O23" s="697">
        <f>SUMIFS(Data!$S$3:$S$305,Data!$O$3:$O$305,O$1,Data!$P$3:$P$305,O$2,Data!$K$3:$K$305,$B23)</f>
        <v>0</v>
      </c>
      <c r="P23" s="697">
        <f>SUMIFS(Data!$S$3:$S$305,Data!$O$3:$O$305,P$1,Data!$P$3:$P$305,P$2,Data!$K$3:$K$305,$B23)</f>
        <v>0</v>
      </c>
      <c r="Q23" s="697">
        <f>SUMIFS(Data!$S$3:$S$305,Data!$O$3:$O$305,Q$1,Data!$P$3:$P$305,Q$2,Data!$K$3:$K$305,$B23)</f>
        <v>0</v>
      </c>
      <c r="R23" s="697">
        <f>SUMIFS(Data!$S$3:$S$305,Data!$O$3:$O$305,R$1,Data!$P$3:$P$305,R$2,Data!$K$3:$K$305,$B23)</f>
        <v>0</v>
      </c>
      <c r="S23" s="710">
        <f>SUMIFS(Data!$S$3:$S$305,Data!$O$3:$O$305,S$1,Data!$P$3:$P$305,S$2,Data!$K$3:$K$305,$B23)</f>
        <v>0</v>
      </c>
      <c r="T23" s="710">
        <f>SUMIFS(Data!$S$3:$S$305,Data!$O$3:$O$305,T$1,Data!$P$3:$P$305,T$2,Data!$K$3:$K$305,$B23)</f>
        <v>0</v>
      </c>
      <c r="V23" s="697">
        <f t="shared" si="10"/>
        <v>70966</v>
      </c>
      <c r="W23" s="697">
        <f t="shared" ca="1" si="11"/>
        <v>0</v>
      </c>
      <c r="X23" s="697">
        <f t="shared" si="12"/>
        <v>0</v>
      </c>
      <c r="Y23" s="697">
        <f t="shared" si="16"/>
        <v>0</v>
      </c>
      <c r="Z23" s="697">
        <f t="shared" si="16"/>
        <v>0</v>
      </c>
      <c r="AA23" s="697">
        <f t="shared" si="16"/>
        <v>0</v>
      </c>
      <c r="AB23" s="697">
        <f t="shared" si="16"/>
        <v>0</v>
      </c>
      <c r="AC23" s="697">
        <f t="shared" si="16"/>
        <v>0</v>
      </c>
      <c r="AD23" s="697">
        <f t="shared" si="16"/>
        <v>0</v>
      </c>
      <c r="AE23" s="697">
        <f t="shared" si="16"/>
        <v>0</v>
      </c>
      <c r="AF23" s="697">
        <f t="shared" si="16"/>
        <v>0</v>
      </c>
      <c r="AG23" s="697"/>
      <c r="AH23" s="697">
        <f ca="1">IFERROR(1/AH$3,1)*SUMIFS(Data!$S$3:$S$305,Data!$O$3:$O$305,AH$1,Data!$P$3:$P$305,IF(RIGHT(AH$2,3)="YTD","&lt;="&amp;LEFT(AH$2,2)*1,AH$2),Data!$K$3:$K$305,$B23)</f>
        <v>0</v>
      </c>
      <c r="AI23" s="697">
        <f t="shared" ca="1" si="14"/>
        <v>0</v>
      </c>
      <c r="AJ23" s="716">
        <f t="shared" ca="1" si="15"/>
        <v>0</v>
      </c>
      <c r="AL23" s="697">
        <v>851592</v>
      </c>
      <c r="AM23" s="697">
        <v>0</v>
      </c>
    </row>
    <row r="24" spans="1:39" hidden="1" outlineLevel="1" x14ac:dyDescent="0.3">
      <c r="B24" s="725" t="s">
        <v>584</v>
      </c>
      <c r="C24" s="850" t="s">
        <v>653</v>
      </c>
      <c r="E24" s="697">
        <f t="shared" si="9"/>
        <v>228467.83333333334</v>
      </c>
      <c r="F24" s="697">
        <f ca="1">IFERROR(1/F$3,1)*SUMIFS(Data!$S$3:$S$305,Data!$O$3:$O$305,F$1,Data!$P$3:$P$305,IF(RIGHT(F$2,3)="YTD","&lt;="&amp;LEFT(F$2,2)*1,F$2),Data!$K$3:$K$305,$B24)</f>
        <v>0</v>
      </c>
      <c r="G24" s="697">
        <f t="shared" si="17"/>
        <v>0</v>
      </c>
      <c r="I24" s="697">
        <f>IFERROR(1/I$3,1)*SUMIFS(Data!$S$3:$S$305,Data!$O$3:$O$305,I$1,Data!$P$3:$P$305,IF(RIGHT(I$2,3)="YTD","&lt;="&amp;LEFT(I$2,2)*1,I$2),Data!$K$3:$K$305,$B24)</f>
        <v>0</v>
      </c>
      <c r="J24" s="697">
        <f>IFERROR(1/J$3,1)*SUMIFS(Data!$S$3:$S$305,Data!$O$3:$O$305,J$1,Data!$P$3:$P$305,IF(RIGHT(J$2,3)="YTD","&lt;="&amp;LEFT(J$2,2)*1,J$2),Data!$K$3:$K$305,$B24)</f>
        <v>0</v>
      </c>
      <c r="K24" s="697">
        <f>IFERROR(1/K$3,1)*SUMIFS(Data!$S$3:$S$305,Data!$O$3:$O$305,K$1,Data!$P$3:$P$305,IF(RIGHT(K$2,3)="YTD","&lt;="&amp;LEFT(K$2,2)*1,K$2),Data!$K$3:$K$305,$B24)</f>
        <v>0</v>
      </c>
      <c r="L24" s="697">
        <f>IFERROR(1/L$3,1)*SUMIFS(Data!$S$3:$S$305,Data!$O$3:$O$305,L$1,Data!$P$3:$P$305,IF(RIGHT(L$2,3)="YTD","&lt;="&amp;LEFT(L$2,2)*1,L$2),Data!$K$3:$K$305,$B24)</f>
        <v>0</v>
      </c>
      <c r="M24" s="697">
        <f>IFERROR(1/M$3,1)*SUMIFS(Data!$S$3:$S$305,Data!$O$3:$O$305,M$1,Data!$P$3:$P$305,IF(RIGHT(M$2,3)="YTD","&lt;="&amp;LEFT(M$2,2)*1,M$2),Data!$K$3:$K$305,$B24)</f>
        <v>0</v>
      </c>
      <c r="N24" s="697">
        <f>SUMIFS(Data!$S$3:$S$305,Data!$O$3:$O$305,N$1,Data!$P$3:$P$305,N$2,Data!$K$3:$K$305,$B24)</f>
        <v>0</v>
      </c>
      <c r="O24" s="697">
        <f>SUMIFS(Data!$S$3:$S$305,Data!$O$3:$O$305,O$1,Data!$P$3:$P$305,O$2,Data!$K$3:$K$305,$B24)</f>
        <v>0</v>
      </c>
      <c r="P24" s="697">
        <f>SUMIFS(Data!$S$3:$S$305,Data!$O$3:$O$305,P$1,Data!$P$3:$P$305,P$2,Data!$K$3:$K$305,$B24)</f>
        <v>0</v>
      </c>
      <c r="Q24" s="697">
        <f>SUMIFS(Data!$S$3:$S$305,Data!$O$3:$O$305,Q$1,Data!$P$3:$P$305,Q$2,Data!$K$3:$K$305,$B24)</f>
        <v>0</v>
      </c>
      <c r="R24" s="697">
        <f>SUMIFS(Data!$S$3:$S$305,Data!$O$3:$O$305,R$1,Data!$P$3:$P$305,R$2,Data!$K$3:$K$305,$B24)</f>
        <v>0</v>
      </c>
      <c r="S24" s="710">
        <f>SUMIFS(Data!$S$3:$S$305,Data!$O$3:$O$305,S$1,Data!$P$3:$P$305,S$2,Data!$K$3:$K$305,$B24)</f>
        <v>0</v>
      </c>
      <c r="T24" s="710">
        <f>SUMIFS(Data!$S$3:$S$305,Data!$O$3:$O$305,T$1,Data!$P$3:$P$305,T$2,Data!$K$3:$K$305,$B24)</f>
        <v>0</v>
      </c>
      <c r="V24" s="697">
        <f t="shared" si="10"/>
        <v>228467.83333333334</v>
      </c>
      <c r="W24" s="697">
        <f t="shared" ca="1" si="11"/>
        <v>0</v>
      </c>
      <c r="X24" s="697">
        <f t="shared" si="12"/>
        <v>0</v>
      </c>
      <c r="Y24" s="697">
        <f t="shared" si="16"/>
        <v>0</v>
      </c>
      <c r="Z24" s="697">
        <f t="shared" si="16"/>
        <v>0</v>
      </c>
      <c r="AA24" s="697">
        <f t="shared" si="16"/>
        <v>0</v>
      </c>
      <c r="AB24" s="697">
        <f t="shared" si="16"/>
        <v>0</v>
      </c>
      <c r="AC24" s="697">
        <f t="shared" si="16"/>
        <v>0</v>
      </c>
      <c r="AD24" s="697">
        <f t="shared" si="16"/>
        <v>0</v>
      </c>
      <c r="AE24" s="697">
        <f t="shared" si="16"/>
        <v>0</v>
      </c>
      <c r="AF24" s="697">
        <f t="shared" si="16"/>
        <v>0</v>
      </c>
      <c r="AG24" s="697"/>
      <c r="AH24" s="697">
        <f ca="1">IFERROR(1/AH$3,1)*SUMIFS(Data!$S$3:$S$305,Data!$O$3:$O$305,AH$1,Data!$P$3:$P$305,IF(RIGHT(AH$2,3)="YTD","&lt;="&amp;LEFT(AH$2,2)*1,AH$2),Data!$K$3:$K$305,$B24)</f>
        <v>0</v>
      </c>
      <c r="AI24" s="697">
        <f t="shared" ca="1" si="14"/>
        <v>0</v>
      </c>
      <c r="AJ24" s="716">
        <f t="shared" ca="1" si="15"/>
        <v>0</v>
      </c>
      <c r="AL24" s="697">
        <v>2741614</v>
      </c>
      <c r="AM24" s="697">
        <v>0</v>
      </c>
    </row>
    <row r="25" spans="1:39" s="391" customFormat="1" hidden="1" outlineLevel="1" x14ac:dyDescent="0.3">
      <c r="B25" s="724" t="s">
        <v>601</v>
      </c>
      <c r="C25" s="666"/>
      <c r="D25" s="437"/>
      <c r="E25" s="711"/>
      <c r="F25" s="711"/>
      <c r="G25" s="711"/>
      <c r="H25" s="437"/>
      <c r="I25" s="712">
        <f>SUM(I15:I24)</f>
        <v>21780</v>
      </c>
      <c r="J25" s="712">
        <f t="shared" ref="J25:M25" si="18">SUM(J15:J24)</f>
        <v>118682</v>
      </c>
      <c r="K25" s="712">
        <f t="shared" si="18"/>
        <v>37592</v>
      </c>
      <c r="L25" s="712">
        <f>SUM(L15:L24)</f>
        <v>15131</v>
      </c>
      <c r="M25" s="712">
        <f t="shared" si="18"/>
        <v>0</v>
      </c>
      <c r="N25" s="712">
        <f>SUM(N15:N24)</f>
        <v>0</v>
      </c>
      <c r="O25" s="712">
        <f t="shared" ref="O25:AA25" si="19">SUM(O15:O24)</f>
        <v>0</v>
      </c>
      <c r="P25" s="712">
        <f t="shared" si="19"/>
        <v>0</v>
      </c>
      <c r="Q25" s="712">
        <f t="shared" si="19"/>
        <v>0</v>
      </c>
      <c r="R25" s="712">
        <f t="shared" si="19"/>
        <v>0</v>
      </c>
      <c r="S25" s="712">
        <f t="shared" si="19"/>
        <v>0</v>
      </c>
      <c r="T25" s="712">
        <f t="shared" si="19"/>
        <v>0</v>
      </c>
      <c r="U25" s="712"/>
      <c r="V25" s="712">
        <f t="shared" ref="V25:W25" si="20">SUM(V15:V24)</f>
        <v>370399.83333333337</v>
      </c>
      <c r="W25" s="712">
        <f t="shared" ca="1" si="20"/>
        <v>59351.333333333328</v>
      </c>
      <c r="X25" s="712">
        <f t="shared" si="19"/>
        <v>76250</v>
      </c>
      <c r="Y25" s="712">
        <f t="shared" si="19"/>
        <v>76250</v>
      </c>
      <c r="Z25" s="712">
        <f t="shared" si="19"/>
        <v>76250</v>
      </c>
      <c r="AA25" s="712">
        <f t="shared" si="19"/>
        <v>76250</v>
      </c>
      <c r="AB25" s="711"/>
      <c r="AC25" s="711"/>
      <c r="AD25" s="711"/>
      <c r="AE25" s="697">
        <f t="shared" si="16"/>
        <v>0</v>
      </c>
      <c r="AF25" s="697">
        <f t="shared" si="16"/>
        <v>0</v>
      </c>
      <c r="AG25" s="711"/>
      <c r="AH25" s="697">
        <f ca="1">SUM(AH15:AH24)</f>
        <v>178054</v>
      </c>
      <c r="AI25" s="697">
        <f t="shared" ref="AI25" ca="1" si="21">SUM(AI15:AI24)</f>
        <v>228750</v>
      </c>
      <c r="AJ25" s="716">
        <f ca="1">SUM(AJ15:AJ24)</f>
        <v>-50696</v>
      </c>
      <c r="AK25" s="437"/>
      <c r="AL25" s="711">
        <f>SUM(AL15:AL24)</f>
        <v>4444798</v>
      </c>
      <c r="AM25" s="711">
        <f>SUM(AM15:AM24)</f>
        <v>915000</v>
      </c>
    </row>
    <row r="26" spans="1:39" hidden="1" outlineLevel="1" x14ac:dyDescent="0.3">
      <c r="B26" s="726" t="s">
        <v>593</v>
      </c>
      <c r="C26" s="726" t="s">
        <v>653</v>
      </c>
      <c r="E26" s="713">
        <f ca="1">AL26/12*LEFT($F$2,2)</f>
        <v>685403.5</v>
      </c>
      <c r="F26" s="713">
        <f ca="1">SUM(I26:T26)/LEFT($F$2,2)</f>
        <v>576857.16991060704</v>
      </c>
      <c r="G26" s="713">
        <f>AL26/12</f>
        <v>228467.83333333334</v>
      </c>
      <c r="I26" s="714">
        <f>Reporting!C65</f>
        <v>340509.94999999995</v>
      </c>
      <c r="J26" s="714">
        <f>Reporting!D65</f>
        <v>85704.559731821166</v>
      </c>
      <c r="K26" s="714">
        <f>Reporting!E65</f>
        <v>533231</v>
      </c>
      <c r="L26" s="714">
        <f>Reporting!F65</f>
        <v>771126</v>
      </c>
      <c r="M26" s="714">
        <f>Reporting!G65</f>
        <v>0</v>
      </c>
      <c r="N26" s="714">
        <f>Reporting!H65</f>
        <v>0</v>
      </c>
      <c r="O26" s="714">
        <f>Reporting!I65</f>
        <v>0</v>
      </c>
      <c r="P26" s="714">
        <f>Reporting!J65</f>
        <v>0</v>
      </c>
      <c r="Q26" s="714">
        <f>Reporting!K65</f>
        <v>0</v>
      </c>
      <c r="R26" s="714">
        <f>Reporting!L65</f>
        <v>0</v>
      </c>
      <c r="S26" s="714">
        <f>Reporting!M65</f>
        <v>0</v>
      </c>
      <c r="T26" s="714">
        <f>Reporting!N65</f>
        <v>0</v>
      </c>
      <c r="V26" s="713">
        <f>E27</f>
        <v>0</v>
      </c>
      <c r="W26" s="713">
        <f>F27</f>
        <v>0</v>
      </c>
      <c r="X26" s="713">
        <f>G27</f>
        <v>0</v>
      </c>
      <c r="Y26" s="713">
        <f>$G$26</f>
        <v>228467.83333333334</v>
      </c>
      <c r="Z26" s="713">
        <f t="shared" ref="Z26:AF26" si="22">$G$26</f>
        <v>228467.83333333334</v>
      </c>
      <c r="AA26" s="713">
        <f t="shared" si="22"/>
        <v>228467.83333333334</v>
      </c>
      <c r="AB26" s="713">
        <f t="shared" si="22"/>
        <v>228467.83333333334</v>
      </c>
      <c r="AC26" s="713">
        <f t="shared" si="22"/>
        <v>228467.83333333334</v>
      </c>
      <c r="AD26" s="713">
        <f t="shared" si="22"/>
        <v>228467.83333333334</v>
      </c>
      <c r="AE26" s="713">
        <f t="shared" si="22"/>
        <v>228467.83333333334</v>
      </c>
      <c r="AF26" s="713">
        <f t="shared" si="22"/>
        <v>228467.83333333334</v>
      </c>
      <c r="AG26" s="713"/>
      <c r="AH26" s="713">
        <f>SUM(I26:T26)</f>
        <v>1730571.5097318213</v>
      </c>
      <c r="AI26" s="713">
        <f ca="1">AM26/12*$C$5</f>
        <v>2210000</v>
      </c>
      <c r="AJ26" s="717">
        <f ca="1">AH26-AI26</f>
        <v>-479428.49026817875</v>
      </c>
      <c r="AL26" s="713">
        <v>2741614</v>
      </c>
      <c r="AM26" s="736">
        <v>6630000</v>
      </c>
    </row>
    <row r="27" spans="1:39" s="391" customFormat="1" hidden="1" outlineLevel="1" x14ac:dyDescent="0.3">
      <c r="B27" s="724"/>
      <c r="C27" s="724" t="s">
        <v>653</v>
      </c>
      <c r="D27" s="437"/>
      <c r="E27" s="711"/>
      <c r="F27" s="711"/>
      <c r="G27" s="711"/>
      <c r="H27" s="437"/>
      <c r="I27" s="712">
        <f>I25+I26</f>
        <v>362289.94999999995</v>
      </c>
      <c r="J27" s="712">
        <f t="shared" ref="J27:K27" si="23">J25+J26</f>
        <v>204386.55973182118</v>
      </c>
      <c r="K27" s="712">
        <f t="shared" si="23"/>
        <v>570823</v>
      </c>
      <c r="L27" s="712">
        <f>L25+L26</f>
        <v>786257</v>
      </c>
      <c r="M27" s="712">
        <f>M25+M26</f>
        <v>0</v>
      </c>
      <c r="N27" s="712">
        <f>N25+N26</f>
        <v>0</v>
      </c>
      <c r="O27" s="712">
        <f t="shared" ref="O27:AA27" si="24">O25+O26</f>
        <v>0</v>
      </c>
      <c r="P27" s="712">
        <f t="shared" si="24"/>
        <v>0</v>
      </c>
      <c r="Q27" s="712">
        <f t="shared" si="24"/>
        <v>0</v>
      </c>
      <c r="R27" s="712">
        <f t="shared" si="24"/>
        <v>0</v>
      </c>
      <c r="S27" s="712">
        <f t="shared" si="24"/>
        <v>0</v>
      </c>
      <c r="T27" s="712">
        <f t="shared" si="24"/>
        <v>0</v>
      </c>
      <c r="U27" s="712"/>
      <c r="V27" s="712">
        <f t="shared" ref="V27:W27" si="25">V25+V26</f>
        <v>370399.83333333337</v>
      </c>
      <c r="W27" s="712">
        <f t="shared" ca="1" si="25"/>
        <v>59351.333333333328</v>
      </c>
      <c r="X27" s="712">
        <f t="shared" si="24"/>
        <v>76250</v>
      </c>
      <c r="Y27" s="712">
        <f t="shared" si="24"/>
        <v>304717.83333333337</v>
      </c>
      <c r="Z27" s="712">
        <f t="shared" si="24"/>
        <v>304717.83333333337</v>
      </c>
      <c r="AA27" s="712">
        <f t="shared" si="24"/>
        <v>304717.83333333337</v>
      </c>
      <c r="AB27" s="715"/>
      <c r="AC27" s="715"/>
      <c r="AD27" s="715"/>
      <c r="AE27" s="715"/>
      <c r="AF27" s="715"/>
      <c r="AG27" s="715"/>
      <c r="AH27" s="711">
        <f>SUM(I27:K27)</f>
        <v>1137499.5097318213</v>
      </c>
      <c r="AI27" s="711"/>
      <c r="AJ27" s="715"/>
      <c r="AK27" s="437"/>
      <c r="AL27" s="711">
        <f>SUM(M27:O27)</f>
        <v>0</v>
      </c>
      <c r="AM27" s="715"/>
    </row>
    <row r="28" spans="1:39" s="391" customFormat="1" collapsed="1" x14ac:dyDescent="0.3">
      <c r="B28" s="724"/>
      <c r="C28" s="724"/>
      <c r="D28" s="437"/>
      <c r="E28" s="711"/>
      <c r="F28" s="711"/>
      <c r="G28" s="711"/>
      <c r="H28" s="437"/>
      <c r="I28" s="712"/>
      <c r="J28" s="712"/>
      <c r="K28" s="712"/>
      <c r="L28" s="712"/>
      <c r="M28" s="712"/>
      <c r="N28" s="712"/>
      <c r="O28" s="712"/>
      <c r="P28" s="712"/>
      <c r="Q28" s="712"/>
      <c r="R28" s="712"/>
      <c r="S28" s="712"/>
      <c r="T28" s="712"/>
      <c r="U28" s="437"/>
      <c r="V28" s="715"/>
      <c r="W28" s="715"/>
      <c r="X28" s="715"/>
      <c r="Y28" s="715"/>
      <c r="Z28" s="715"/>
      <c r="AA28" s="715"/>
      <c r="AB28" s="715"/>
      <c r="AC28" s="715"/>
      <c r="AD28" s="715"/>
      <c r="AE28" s="715"/>
      <c r="AF28" s="715"/>
      <c r="AG28" s="715"/>
      <c r="AH28" s="711"/>
      <c r="AI28" s="711"/>
      <c r="AJ28" s="715"/>
      <c r="AK28" s="437"/>
      <c r="AL28" s="711"/>
      <c r="AM28" s="715"/>
    </row>
    <row r="29" spans="1:39" x14ac:dyDescent="0.3">
      <c r="B29" s="725"/>
      <c r="E29" s="705"/>
      <c r="F29" s="705"/>
      <c r="G29" s="706"/>
      <c r="I29" s="706"/>
      <c r="J29" s="706"/>
      <c r="K29" s="706"/>
      <c r="L29" s="706"/>
      <c r="M29" s="706"/>
      <c r="N29" s="706"/>
      <c r="O29" s="706"/>
      <c r="P29" s="706"/>
      <c r="Q29" s="706"/>
      <c r="R29" s="706"/>
      <c r="S29" s="706"/>
      <c r="T29" s="706"/>
      <c r="V29" s="706"/>
      <c r="W29" s="706"/>
      <c r="X29" s="706"/>
      <c r="Y29" s="718"/>
      <c r="Z29" s="718"/>
      <c r="AA29" s="718"/>
      <c r="AB29" s="718"/>
      <c r="AC29" s="718"/>
      <c r="AD29" s="718"/>
      <c r="AE29" s="718"/>
      <c r="AF29" s="718"/>
      <c r="AG29" s="697"/>
      <c r="AH29" s="718"/>
      <c r="AI29" s="718"/>
      <c r="AJ29" s="719"/>
      <c r="AL29" s="718"/>
      <c r="AM29" s="718"/>
    </row>
    <row r="30" spans="1:39" s="55" customFormat="1" x14ac:dyDescent="0.3">
      <c r="C30" s="666"/>
      <c r="D30" s="437"/>
      <c r="E30" s="707" t="s">
        <v>551</v>
      </c>
      <c r="F30" s="729" t="s">
        <v>788</v>
      </c>
      <c r="G30" s="708" t="s">
        <v>788</v>
      </c>
      <c r="H30" s="437"/>
      <c r="I30" s="729" t="str">
        <f>TEXT(I$2,"00")&amp;" "&amp;I$1</f>
        <v>01 2022</v>
      </c>
      <c r="J30" s="729" t="str">
        <f t="shared" ref="J30:T30" si="26">TEXT(J$2,"00")&amp;" "&amp;J$1</f>
        <v>02 2022</v>
      </c>
      <c r="K30" s="729" t="str">
        <f t="shared" si="26"/>
        <v>03 2022</v>
      </c>
      <c r="L30" s="729" t="str">
        <f t="shared" si="26"/>
        <v>04 2022</v>
      </c>
      <c r="M30" s="729" t="str">
        <f t="shared" si="26"/>
        <v>05 2022</v>
      </c>
      <c r="N30" s="729" t="str">
        <f t="shared" si="26"/>
        <v>06 2022</v>
      </c>
      <c r="O30" s="729" t="str">
        <f t="shared" si="26"/>
        <v>07 2022</v>
      </c>
      <c r="P30" s="729" t="str">
        <f t="shared" si="26"/>
        <v>08 2022</v>
      </c>
      <c r="Q30" s="729" t="str">
        <f t="shared" si="26"/>
        <v>09 2022</v>
      </c>
      <c r="R30" s="729" t="str">
        <f t="shared" si="26"/>
        <v>10 2022</v>
      </c>
      <c r="S30" s="729" t="str">
        <f t="shared" si="26"/>
        <v>11 2022</v>
      </c>
      <c r="T30" s="729" t="str">
        <f t="shared" si="26"/>
        <v>12 2022</v>
      </c>
      <c r="U30" s="437"/>
      <c r="V30" s="662" t="str">
        <f t="shared" ref="V30:AF30" si="27">TEXT(V$2,"00")&amp;" "&amp;V$1</f>
        <v>02 2022</v>
      </c>
      <c r="W30" s="662" t="str">
        <f t="shared" si="27"/>
        <v>03 2022</v>
      </c>
      <c r="X30" s="662" t="str">
        <f t="shared" si="27"/>
        <v>04 2022</v>
      </c>
      <c r="Y30" s="662" t="str">
        <f t="shared" si="27"/>
        <v>05 2022</v>
      </c>
      <c r="Z30" s="662" t="str">
        <f t="shared" si="27"/>
        <v>06 2022</v>
      </c>
      <c r="AA30" s="662" t="str">
        <f t="shared" si="27"/>
        <v>07 2022</v>
      </c>
      <c r="AB30" s="662" t="str">
        <f t="shared" si="27"/>
        <v>08 2022</v>
      </c>
      <c r="AC30" s="662" t="str">
        <f t="shared" si="27"/>
        <v>09 2022</v>
      </c>
      <c r="AD30" s="662" t="str">
        <f t="shared" si="27"/>
        <v>10 2022</v>
      </c>
      <c r="AE30" s="662" t="str">
        <f t="shared" si="27"/>
        <v>11 2022</v>
      </c>
      <c r="AF30" s="662" t="str">
        <f t="shared" si="27"/>
        <v>12 2022</v>
      </c>
      <c r="AG30" s="711"/>
      <c r="AH30" s="729" t="str">
        <f ca="1">AH$2&amp;" "&amp;AH$1</f>
        <v>3 YTD 2022</v>
      </c>
      <c r="AI30" s="730" t="str">
        <f ca="1">AI$2&amp;" "&amp;AI$1</f>
        <v>3 YTD 2022</v>
      </c>
      <c r="AJ30" s="694" t="str">
        <f ca="1">AJ$2&amp;" "&amp;AJ$1</f>
        <v>3 YTD 2022</v>
      </c>
      <c r="AK30" s="437"/>
      <c r="AL30" s="661" t="str">
        <f>AL$2&amp;" "&amp;AL$1</f>
        <v>12 YTD 2021</v>
      </c>
      <c r="AM30" s="730" t="str">
        <f>AM$2&amp;" "&amp;AM$1</f>
        <v>12 YTD 2022</v>
      </c>
    </row>
    <row r="31" spans="1:39" s="357" customFormat="1" x14ac:dyDescent="0.3">
      <c r="B31" s="727"/>
      <c r="C31" s="663"/>
      <c r="D31" s="437"/>
      <c r="E31" s="707" t="s">
        <v>245</v>
      </c>
      <c r="F31" s="729" t="s">
        <v>245</v>
      </c>
      <c r="G31" s="708" t="s">
        <v>115</v>
      </c>
      <c r="H31" s="437"/>
      <c r="I31" s="729" t="s">
        <v>245</v>
      </c>
      <c r="J31" s="729" t="s">
        <v>245</v>
      </c>
      <c r="K31" s="729" t="s">
        <v>245</v>
      </c>
      <c r="L31" s="729" t="s">
        <v>245</v>
      </c>
      <c r="M31" s="729" t="s">
        <v>245</v>
      </c>
      <c r="N31" s="729" t="s">
        <v>245</v>
      </c>
      <c r="O31" s="729" t="s">
        <v>245</v>
      </c>
      <c r="P31" s="729" t="s">
        <v>245</v>
      </c>
      <c r="Q31" s="729" t="s">
        <v>245</v>
      </c>
      <c r="R31" s="729" t="s">
        <v>245</v>
      </c>
      <c r="S31" s="729" t="s">
        <v>245</v>
      </c>
      <c r="T31" s="729" t="s">
        <v>245</v>
      </c>
      <c r="U31" s="437"/>
      <c r="V31" s="709" t="s">
        <v>564</v>
      </c>
      <c r="W31" s="709" t="s">
        <v>564</v>
      </c>
      <c r="X31" s="709" t="s">
        <v>564</v>
      </c>
      <c r="Y31" s="720" t="s">
        <v>564</v>
      </c>
      <c r="Z31" s="720" t="s">
        <v>564</v>
      </c>
      <c r="AA31" s="720" t="s">
        <v>564</v>
      </c>
      <c r="AB31" s="720" t="s">
        <v>564</v>
      </c>
      <c r="AC31" s="720" t="s">
        <v>564</v>
      </c>
      <c r="AD31" s="720" t="s">
        <v>564</v>
      </c>
      <c r="AE31" s="720" t="s">
        <v>564</v>
      </c>
      <c r="AF31" s="720" t="s">
        <v>564</v>
      </c>
      <c r="AG31" s="711"/>
      <c r="AH31" s="729" t="s">
        <v>654</v>
      </c>
      <c r="AI31" s="730" t="s">
        <v>655</v>
      </c>
      <c r="AJ31" s="695" t="s">
        <v>652</v>
      </c>
      <c r="AK31" s="437"/>
      <c r="AL31" s="661" t="s">
        <v>654</v>
      </c>
      <c r="AM31" s="730" t="s">
        <v>655</v>
      </c>
    </row>
    <row r="32" spans="1:39" s="686" customFormat="1" x14ac:dyDescent="0.3">
      <c r="B32" s="854" t="s">
        <v>787</v>
      </c>
      <c r="C32" s="687"/>
      <c r="D32" s="437"/>
      <c r="E32" s="698"/>
      <c r="F32" s="698"/>
      <c r="G32" s="699"/>
      <c r="H32" s="437"/>
      <c r="I32" s="699"/>
      <c r="J32" s="699"/>
      <c r="K32" s="699"/>
      <c r="L32" s="699"/>
      <c r="M32" s="699"/>
      <c r="N32" s="698"/>
      <c r="O32" s="698"/>
      <c r="P32" s="698"/>
      <c r="Q32" s="698"/>
      <c r="R32" s="698"/>
      <c r="S32" s="698"/>
      <c r="T32" s="698"/>
      <c r="U32" s="437"/>
      <c r="V32" s="700"/>
      <c r="W32" s="700"/>
      <c r="X32" s="700"/>
      <c r="Y32" s="698"/>
      <c r="Z32" s="698"/>
      <c r="AA32" s="698"/>
      <c r="AB32" s="698"/>
      <c r="AC32" s="698"/>
      <c r="AD32" s="698"/>
      <c r="AE32" s="698"/>
      <c r="AF32" s="688"/>
      <c r="AG32" s="688"/>
      <c r="AH32" s="689"/>
      <c r="AI32" s="690"/>
      <c r="AK32" s="437"/>
      <c r="AL32" s="689"/>
      <c r="AM32" s="691"/>
    </row>
    <row r="33" spans="1:39" x14ac:dyDescent="0.3">
      <c r="A33" s="55" t="s">
        <v>171</v>
      </c>
      <c r="B33" s="725" t="s">
        <v>779</v>
      </c>
      <c r="C33" s="850" t="s">
        <v>653</v>
      </c>
      <c r="E33" s="697">
        <f>$AL33/E$3</f>
        <v>0</v>
      </c>
      <c r="F33" s="697">
        <f ca="1">IFERROR(1/F$3,1)*SUMIFS(Data!$AD$3:$AD$305,Data!$Y$3:$Y$305,F$1,Data!$Z$3:$Z$305,IF(RIGHT(F$2,3)="YTD","&lt;="&amp;LEFT(F$2,2)*1,F$2),Data!$K$3:$K$305,$B33)</f>
        <v>0</v>
      </c>
      <c r="G33" s="697">
        <f>AM33/12</f>
        <v>0</v>
      </c>
      <c r="H33" s="719"/>
      <c r="I33" s="710">
        <f>IFERROR(1/I$3,1)*SUMIFS(tbl_DCFC[F Montant HT],tbl_DCFC[Revenue_Year],I$1,tbl_DCFC[Revenue_Month],IF(RIGHT(I$2,3)="YTD","&lt;="&amp;LEFT(I$2,2)*1,I$2),tbl_DCFC[BU_Key],$A33)</f>
        <v>0</v>
      </c>
      <c r="J33" s="710">
        <f>IFERROR(1/J$3,1)*SUMIFS(tbl_DCFC[F Montant HT],tbl_DCFC[Revenue_Year],J$1,tbl_DCFC[Revenue_Month],IF(RIGHT(J$2,3)="YTD","&lt;="&amp;LEFT(J$2,2)*1,J$2),tbl_DCFC[BU_Key],$A33)</f>
        <v>0</v>
      </c>
      <c r="K33" s="710">
        <f>IFERROR(1/K$3,1)*SUMIFS(tbl_DCFC[F Montant HT],tbl_DCFC[Revenue_Year],K$1,tbl_DCFC[Revenue_Month],IF(RIGHT(K$2,3)="YTD","&lt;="&amp;LEFT(K$2,2)*1,K$2),tbl_DCFC[BU_Key],$A33)</f>
        <v>8579</v>
      </c>
      <c r="L33" s="710">
        <f>IFERROR(1/L$3,1)*SUMIFS(tbl_DCFC[F Montant HT],tbl_DCFC[Revenue_Year],L$1,tbl_DCFC[Revenue_Month],IF(RIGHT(L$2,3)="YTD","&lt;="&amp;LEFT(L$2,2)*1,L$2),tbl_DCFC[BU_Key],$A33)</f>
        <v>0</v>
      </c>
      <c r="M33" s="710">
        <f>IFERROR(1/M$3,1)*SUMIFS(tbl_DCFC[F Montant HT],tbl_DCFC[Revenue_Year],M$1,tbl_DCFC[Revenue_Month],IF(RIGHT(M$2,3)="YTD","&lt;="&amp;LEFT(M$2,2)*1,M$2),tbl_DCFC[BU_Key],$A33)</f>
        <v>0</v>
      </c>
      <c r="N33" s="710">
        <f>IFERROR(1/N$3,1)*SUMIFS(tbl_DCFC[F Montant HT],tbl_DCFC[Revenue_Year],N$1,tbl_DCFC[Revenue_Month],IF(RIGHT(N$2,3)="YTD","&lt;="&amp;LEFT(N$2,2)*1,N$2),tbl_DCFC[BU_Key],$A33)</f>
        <v>0</v>
      </c>
      <c r="O33" s="710">
        <f>IFERROR(1/O$3,1)*SUMIFS(tbl_DCFC[F Montant HT],tbl_DCFC[Revenue_Year],O$1,tbl_DCFC[Revenue_Month],IF(RIGHT(O$2,3)="YTD","&lt;="&amp;LEFT(O$2,2)*1,O$2),tbl_DCFC[BU_Key],$A33)</f>
        <v>0</v>
      </c>
      <c r="P33" s="710">
        <f>IFERROR(1/P$3,1)*SUMIFS(tbl_DCFC[F Montant HT],tbl_DCFC[Revenue_Year],P$1,tbl_DCFC[Revenue_Month],IF(RIGHT(P$2,3)="YTD","&lt;="&amp;LEFT(P$2,2)*1,P$2),tbl_DCFC[BU_Key],$A33)</f>
        <v>0</v>
      </c>
      <c r="Q33" s="710">
        <f>IFERROR(1/Q$3,1)*SUMIFS(tbl_DCFC[F Montant HT],tbl_DCFC[Revenue_Year],Q$1,tbl_DCFC[Revenue_Month],IF(RIGHT(Q$2,3)="YTD","&lt;="&amp;LEFT(Q$2,2)*1,Q$2),tbl_DCFC[BU_Key],$A33)</f>
        <v>0</v>
      </c>
      <c r="R33" s="710">
        <f>IFERROR(1/R$3,1)*SUMIFS(tbl_DCFC[F Montant HT],tbl_DCFC[Revenue_Year],R$1,tbl_DCFC[Revenue_Month],IF(RIGHT(R$2,3)="YTD","&lt;="&amp;LEFT(R$2,2)*1,R$2),tbl_DCFC[BU_Key],$A33)</f>
        <v>0</v>
      </c>
      <c r="S33" s="710">
        <f>IFERROR(1/S$3,1)*SUMIFS(tbl_DCFC[F Montant HT],tbl_DCFC[Revenue_Year],S$1,tbl_DCFC[Revenue_Month],IF(RIGHT(S$2,3)="YTD","&lt;="&amp;LEFT(S$2,2)*1,S$2),tbl_DCFC[BU_Key],$A33)</f>
        <v>0</v>
      </c>
      <c r="T33" s="710">
        <f>IFERROR(1/T$3,1)*SUMIFS(tbl_DCFC[F Montant HT],tbl_DCFC[Revenue_Year],T$1,tbl_DCFC[Revenue_Month],IF(RIGHT(T$2,3)="YTD","&lt;="&amp;LEFT(T$2,2)*1,T$2),tbl_DCFC[BU_Key],$A33)</f>
        <v>0</v>
      </c>
      <c r="V33" s="697">
        <f t="shared" ref="V33:X36" si="28">E33</f>
        <v>0</v>
      </c>
      <c r="W33" s="697">
        <f t="shared" ca="1" si="28"/>
        <v>0</v>
      </c>
      <c r="X33" s="697">
        <f t="shared" si="28"/>
        <v>0</v>
      </c>
      <c r="Y33" s="697">
        <f>$G33</f>
        <v>0</v>
      </c>
      <c r="Z33" s="697">
        <f t="shared" ref="Z33:AF33" si="29">$G33</f>
        <v>0</v>
      </c>
      <c r="AA33" s="697">
        <f t="shared" si="29"/>
        <v>0</v>
      </c>
      <c r="AB33" s="697">
        <f t="shared" si="29"/>
        <v>0</v>
      </c>
      <c r="AC33" s="697">
        <f t="shared" si="29"/>
        <v>0</v>
      </c>
      <c r="AD33" s="697">
        <f t="shared" si="29"/>
        <v>0</v>
      </c>
      <c r="AE33" s="697">
        <f t="shared" si="29"/>
        <v>0</v>
      </c>
      <c r="AF33" s="697">
        <f t="shared" si="29"/>
        <v>0</v>
      </c>
      <c r="AG33" s="697"/>
      <c r="AH33" s="710">
        <f ca="1">IFERROR(1/AH$3,1)*SUMIFS(tbl_DCFC[F Montant HT],tbl_DCFC[Revenue_Year],AH$1,tbl_DCFC[Revenue_Month],IF(RIGHT(AH$2,3)="YTD","&lt;="&amp;LEFT(AH$2,2)*1,AH$2),tbl_DCFC[BU_Key],$A33)</f>
        <v>8579</v>
      </c>
      <c r="AI33" s="697">
        <f t="shared" ref="AI33" ca="1" si="30">AM33/12*$C$5</f>
        <v>0</v>
      </c>
      <c r="AJ33" s="716">
        <f t="shared" ref="AJ33:AJ36" ca="1" si="31">AH33-AI33</f>
        <v>8579</v>
      </c>
      <c r="AL33" s="710">
        <f>IFERROR(1/AL$3,1)*SUMIFS(tbl_DCFC[F Montant HT],tbl_DCFC[Revenue_Year],AL$1,tbl_DCFC[Revenue_Month],IF(RIGHT(AL$2,3)="YTD","&lt;="&amp;LEFT(AL$2,2)*1,AL$2),tbl_DCFC[BU_Key],$A33)</f>
        <v>0</v>
      </c>
      <c r="AM33" s="697">
        <v>0</v>
      </c>
    </row>
    <row r="34" spans="1:39" x14ac:dyDescent="0.3">
      <c r="A34" s="437" t="s">
        <v>777</v>
      </c>
      <c r="B34" s="725" t="s">
        <v>780</v>
      </c>
      <c r="C34" s="850" t="s">
        <v>653</v>
      </c>
      <c r="E34" s="697">
        <f t="shared" ref="E34:E36" si="32">$AL34/E$3</f>
        <v>0</v>
      </c>
      <c r="F34" s="697">
        <f ca="1">IFERROR(1/F$3,1)*SUMIFS(Data!$S$3:$S$305,Data!$O$3:$O$305,F$1,Data!$P$3:$P$305,IF(RIGHT(F$2,3)="YTD","&lt;="&amp;LEFT(F$2,2)*1,F$2),Data!$K$3:$K$305,$B34)</f>
        <v>0</v>
      </c>
      <c r="G34" s="697">
        <f t="shared" ref="G34" si="33">AM34/12</f>
        <v>0</v>
      </c>
      <c r="I34" s="697">
        <f>IFERROR(1/I$3,1)*SUMIFS(tbl_DCFC[F Montant HT],tbl_DCFC[Revenue_Year],I$1,tbl_DCFC[Revenue_Month],IF(RIGHT(I$2,3)="YTD","&lt;="&amp;LEFT(I$2,2)*1,I$2),tbl_DCFC[BU_Key],$A34)</f>
        <v>2750</v>
      </c>
      <c r="J34" s="697">
        <f>IFERROR(1/J$3,1)*SUMIFS(tbl_DCFC[F Montant HT],tbl_DCFC[Revenue_Year],J$1,tbl_DCFC[Revenue_Month],IF(RIGHT(J$2,3)="YTD","&lt;="&amp;LEFT(J$2,2)*1,J$2),tbl_DCFC[BU_Key],$A34)</f>
        <v>7661</v>
      </c>
      <c r="K34" s="697">
        <f>IFERROR(1/K$3,1)*SUMIFS(tbl_DCFC[F Montant HT],tbl_DCFC[Revenue_Year],K$1,tbl_DCFC[Revenue_Month],IF(RIGHT(K$2,3)="YTD","&lt;="&amp;LEFT(K$2,2)*1,K$2),tbl_DCFC[BU_Key],$A34)</f>
        <v>0</v>
      </c>
      <c r="L34" s="697">
        <f>IFERROR(1/L$3,1)*SUMIFS(tbl_DCFC[F Montant HT],tbl_DCFC[Revenue_Year],L$1,tbl_DCFC[Revenue_Month],IF(RIGHT(L$2,3)="YTD","&lt;="&amp;LEFT(L$2,2)*1,L$2),tbl_DCFC[BU_Key],$A34)</f>
        <v>186</v>
      </c>
      <c r="M34" s="697">
        <f>IFERROR(1/M$3,1)*SUMIFS(tbl_DCFC[F Montant HT],tbl_DCFC[Revenue_Year],M$1,tbl_DCFC[Revenue_Month],IF(RIGHT(M$2,3)="YTD","&lt;="&amp;LEFT(M$2,2)*1,M$2),tbl_DCFC[BU_Key],$A34)</f>
        <v>0</v>
      </c>
      <c r="N34" s="697">
        <f>IFERROR(1/N$3,1)*SUMIFS(tbl_DCFC[F Montant HT],tbl_DCFC[Revenue_Year],N$1,tbl_DCFC[Revenue_Month],IF(RIGHT(N$2,3)="YTD","&lt;="&amp;LEFT(N$2,2)*1,N$2),tbl_DCFC[BU_Key],$A34)</f>
        <v>0</v>
      </c>
      <c r="O34" s="697">
        <f>IFERROR(1/O$3,1)*SUMIFS(tbl_DCFC[F Montant HT],tbl_DCFC[Revenue_Year],O$1,tbl_DCFC[Revenue_Month],IF(RIGHT(O$2,3)="YTD","&lt;="&amp;LEFT(O$2,2)*1,O$2),tbl_DCFC[BU_Key],$A34)</f>
        <v>0</v>
      </c>
      <c r="P34" s="697">
        <f>IFERROR(1/P$3,1)*SUMIFS(tbl_DCFC[F Montant HT],tbl_DCFC[Revenue_Year],P$1,tbl_DCFC[Revenue_Month],IF(RIGHT(P$2,3)="YTD","&lt;="&amp;LEFT(P$2,2)*1,P$2),tbl_DCFC[BU_Key],$A34)</f>
        <v>0</v>
      </c>
      <c r="Q34" s="697">
        <f>IFERROR(1/Q$3,1)*SUMIFS(tbl_DCFC[F Montant HT],tbl_DCFC[Revenue_Year],Q$1,tbl_DCFC[Revenue_Month],IF(RIGHT(Q$2,3)="YTD","&lt;="&amp;LEFT(Q$2,2)*1,Q$2),tbl_DCFC[BU_Key],$A34)</f>
        <v>0</v>
      </c>
      <c r="R34" s="697">
        <f>IFERROR(1/R$3,1)*SUMIFS(tbl_DCFC[F Montant HT],tbl_DCFC[Revenue_Year],R$1,tbl_DCFC[Revenue_Month],IF(RIGHT(R$2,3)="YTD","&lt;="&amp;LEFT(R$2,2)*1,R$2),tbl_DCFC[BU_Key],$A34)</f>
        <v>0</v>
      </c>
      <c r="S34" s="697">
        <f>IFERROR(1/S$3,1)*SUMIFS(tbl_DCFC[F Montant HT],tbl_DCFC[Revenue_Year],S$1,tbl_DCFC[Revenue_Month],IF(RIGHT(S$2,3)="YTD","&lt;="&amp;LEFT(S$2,2)*1,S$2),tbl_DCFC[BU_Key],$A34)</f>
        <v>0</v>
      </c>
      <c r="T34" s="697">
        <f>IFERROR(1/T$3,1)*SUMIFS(tbl_DCFC[F Montant HT],tbl_DCFC[Revenue_Year],T$1,tbl_DCFC[Revenue_Month],IF(RIGHT(T$2,3)="YTD","&lt;="&amp;LEFT(T$2,2)*1,T$2),tbl_DCFC[BU_Key],$A34)</f>
        <v>0</v>
      </c>
      <c r="V34" s="697">
        <f t="shared" si="28"/>
        <v>0</v>
      </c>
      <c r="W34" s="697">
        <f t="shared" ca="1" si="28"/>
        <v>0</v>
      </c>
      <c r="X34" s="697">
        <f t="shared" si="28"/>
        <v>0</v>
      </c>
      <c r="Y34" s="697">
        <f t="shared" ref="Y34:AF36" si="34">$G34</f>
        <v>0</v>
      </c>
      <c r="Z34" s="697">
        <f t="shared" si="34"/>
        <v>0</v>
      </c>
      <c r="AA34" s="697">
        <f t="shared" si="34"/>
        <v>0</v>
      </c>
      <c r="AB34" s="697">
        <f t="shared" si="34"/>
        <v>0</v>
      </c>
      <c r="AC34" s="697">
        <f t="shared" si="34"/>
        <v>0</v>
      </c>
      <c r="AD34" s="697">
        <f t="shared" si="34"/>
        <v>0</v>
      </c>
      <c r="AE34" s="697">
        <f t="shared" si="34"/>
        <v>0</v>
      </c>
      <c r="AF34" s="697">
        <f t="shared" si="34"/>
        <v>0</v>
      </c>
      <c r="AG34" s="697"/>
      <c r="AH34" s="697">
        <f ca="1">IFERROR(1/AH$3,1)*SUMIFS(tbl_DCFC[F Montant HT],tbl_DCFC[Revenue_Year],AH$1,tbl_DCFC[Revenue_Month],IF(RIGHT(AH$2,3)="YTD","&lt;="&amp;LEFT(AH$2,2)*1,AH$2),tbl_DCFC[BU_Key],$A34)</f>
        <v>10411</v>
      </c>
      <c r="AI34" s="697">
        <f t="shared" ref="AI34:AI36" ca="1" si="35">AM34/12*LEFT(AI$2,2)*1</f>
        <v>0</v>
      </c>
      <c r="AJ34" s="716">
        <f t="shared" ca="1" si="31"/>
        <v>10411</v>
      </c>
      <c r="AL34" s="697">
        <f>IFERROR(1/AL$3,1)*SUMIFS(tbl_DCFC[F Montant HT],tbl_DCFC[Revenue_Year],AL$1,tbl_DCFC[Revenue_Month],IF(RIGHT(AL$2,3)="YTD","&lt;="&amp;LEFT(AL$2,2)*1,AL$2),tbl_DCFC[BU_Key],$A34)</f>
        <v>0</v>
      </c>
      <c r="AM34" s="697">
        <v>0</v>
      </c>
    </row>
    <row r="35" spans="1:39" x14ac:dyDescent="0.3">
      <c r="A35" s="55" t="s">
        <v>778</v>
      </c>
      <c r="B35" s="725" t="s">
        <v>781</v>
      </c>
      <c r="C35" s="850" t="s">
        <v>653</v>
      </c>
      <c r="E35" s="697">
        <f t="shared" si="32"/>
        <v>0</v>
      </c>
      <c r="F35" s="697">
        <f ca="1">IFERROR(1/F$3,1)*SUMIFS(Data!$S$3:$S$305,Data!$O$3:$O$305,F$1,Data!$P$3:$P$305,IF(RIGHT(F$2,3)="YTD","&lt;="&amp;LEFT(F$2,2)*1,F$2),Data!$K$3:$K$305,$B35)</f>
        <v>0</v>
      </c>
      <c r="G35" s="697">
        <f>AM35/12</f>
        <v>58333.333333333336</v>
      </c>
      <c r="I35" s="697">
        <f>IFERROR(1/I$3,1)*SUMIFS(tbl_DCFC[F Montant HT],tbl_DCFC[Revenue_Year],I$1,tbl_DCFC[Revenue_Month],IF(RIGHT(I$2,3)="YTD","&lt;="&amp;LEFT(I$2,2)*1,I$2),tbl_DCFC[BU_Key],$A35)</f>
        <v>6606</v>
      </c>
      <c r="J35" s="697">
        <f>IFERROR(1/J$3,1)*SUMIFS(tbl_DCFC[F Montant HT],tbl_DCFC[Revenue_Year],J$1,tbl_DCFC[Revenue_Month],IF(RIGHT(J$2,3)="YTD","&lt;="&amp;LEFT(J$2,2)*1,J$2),tbl_DCFC[BU_Key],$A35)</f>
        <v>27612</v>
      </c>
      <c r="K35" s="697">
        <f>IFERROR(1/K$3,1)*SUMIFS(tbl_DCFC[F Montant HT],tbl_DCFC[Revenue_Year],K$1,tbl_DCFC[Revenue_Month],IF(RIGHT(K$2,3)="YTD","&lt;="&amp;LEFT(K$2,2)*1,K$2),tbl_DCFC[BU_Key],$A35)</f>
        <v>40313.5</v>
      </c>
      <c r="L35" s="697">
        <f>IFERROR(1/L$3,1)*SUMIFS(tbl_DCFC[F Montant HT],tbl_DCFC[Revenue_Year],L$1,tbl_DCFC[Revenue_Month],IF(RIGHT(L$2,3)="YTD","&lt;="&amp;LEFT(L$2,2)*1,L$2),tbl_DCFC[BU_Key],$A35)</f>
        <v>15508</v>
      </c>
      <c r="M35" s="697">
        <f>IFERROR(1/M$3,1)*SUMIFS(tbl_DCFC[F Montant HT],tbl_DCFC[Revenue_Year],M$1,tbl_DCFC[Revenue_Month],IF(RIGHT(M$2,3)="YTD","&lt;="&amp;LEFT(M$2,2)*1,M$2),tbl_DCFC[BU_Key],$A35)</f>
        <v>0</v>
      </c>
      <c r="N35" s="697">
        <f>IFERROR(1/N$3,1)*SUMIFS(tbl_DCFC[F Montant HT],tbl_DCFC[Revenue_Year],N$1,tbl_DCFC[Revenue_Month],IF(RIGHT(N$2,3)="YTD","&lt;="&amp;LEFT(N$2,2)*1,N$2),tbl_DCFC[BU_Key],$A35)</f>
        <v>0</v>
      </c>
      <c r="O35" s="697">
        <f>IFERROR(1/O$3,1)*SUMIFS(tbl_DCFC[F Montant HT],tbl_DCFC[Revenue_Year],O$1,tbl_DCFC[Revenue_Month],IF(RIGHT(O$2,3)="YTD","&lt;="&amp;LEFT(O$2,2)*1,O$2),tbl_DCFC[BU_Key],$A35)</f>
        <v>0</v>
      </c>
      <c r="P35" s="697">
        <f>IFERROR(1/P$3,1)*SUMIFS(tbl_DCFC[F Montant HT],tbl_DCFC[Revenue_Year],P$1,tbl_DCFC[Revenue_Month],IF(RIGHT(P$2,3)="YTD","&lt;="&amp;LEFT(P$2,2)*1,P$2),tbl_DCFC[BU_Key],$A35)</f>
        <v>0</v>
      </c>
      <c r="Q35" s="697">
        <f>IFERROR(1/Q$3,1)*SUMIFS(tbl_DCFC[F Montant HT],tbl_DCFC[Revenue_Year],Q$1,tbl_DCFC[Revenue_Month],IF(RIGHT(Q$2,3)="YTD","&lt;="&amp;LEFT(Q$2,2)*1,Q$2),tbl_DCFC[BU_Key],$A35)</f>
        <v>0</v>
      </c>
      <c r="R35" s="697">
        <f>IFERROR(1/R$3,1)*SUMIFS(tbl_DCFC[F Montant HT],tbl_DCFC[Revenue_Year],R$1,tbl_DCFC[Revenue_Month],IF(RIGHT(R$2,3)="YTD","&lt;="&amp;LEFT(R$2,2)*1,R$2),tbl_DCFC[BU_Key],$A35)</f>
        <v>0</v>
      </c>
      <c r="S35" s="697">
        <f>IFERROR(1/S$3,1)*SUMIFS(tbl_DCFC[F Montant HT],tbl_DCFC[Revenue_Year],S$1,tbl_DCFC[Revenue_Month],IF(RIGHT(S$2,3)="YTD","&lt;="&amp;LEFT(S$2,2)*1,S$2),tbl_DCFC[BU_Key],$A35)</f>
        <v>0</v>
      </c>
      <c r="T35" s="697">
        <f>IFERROR(1/T$3,1)*SUMIFS(tbl_DCFC[F Montant HT],tbl_DCFC[Revenue_Year],T$1,tbl_DCFC[Revenue_Month],IF(RIGHT(T$2,3)="YTD","&lt;="&amp;LEFT(T$2,2)*1,T$2),tbl_DCFC[BU_Key],$A35)</f>
        <v>0</v>
      </c>
      <c r="V35" s="697">
        <f t="shared" si="28"/>
        <v>0</v>
      </c>
      <c r="W35" s="697">
        <f t="shared" ca="1" si="28"/>
        <v>0</v>
      </c>
      <c r="X35" s="697">
        <f t="shared" si="28"/>
        <v>58333.333333333336</v>
      </c>
      <c r="Y35" s="697">
        <f>$G35</f>
        <v>58333.333333333336</v>
      </c>
      <c r="Z35" s="697">
        <f t="shared" si="34"/>
        <v>58333.333333333336</v>
      </c>
      <c r="AA35" s="697">
        <f t="shared" si="34"/>
        <v>58333.333333333336</v>
      </c>
      <c r="AB35" s="697">
        <f t="shared" si="34"/>
        <v>58333.333333333336</v>
      </c>
      <c r="AC35" s="697">
        <f t="shared" si="34"/>
        <v>58333.333333333336</v>
      </c>
      <c r="AD35" s="697">
        <f t="shared" si="34"/>
        <v>58333.333333333336</v>
      </c>
      <c r="AE35" s="697">
        <f t="shared" si="34"/>
        <v>58333.333333333336</v>
      </c>
      <c r="AF35" s="697">
        <f t="shared" si="34"/>
        <v>58333.333333333336</v>
      </c>
      <c r="AG35" s="697"/>
      <c r="AH35" s="697">
        <f ca="1">IFERROR(1/AH$3,1)*SUMIFS(tbl_DCFC[F Montant HT],tbl_DCFC[Revenue_Year],AH$1,tbl_DCFC[Revenue_Month],IF(RIGHT(AH$2,3)="YTD","&lt;="&amp;LEFT(AH$2,2)*1,AH$2),tbl_DCFC[BU_Key],$A35)</f>
        <v>74531.5</v>
      </c>
      <c r="AI35" s="697">
        <f t="shared" ca="1" si="35"/>
        <v>175000</v>
      </c>
      <c r="AJ35" s="716">
        <f t="shared" ca="1" si="31"/>
        <v>-100468.5</v>
      </c>
      <c r="AL35" s="697">
        <f>IFERROR(1/AL$3,1)*SUMIFS(tbl_DCFC[F Montant HT],tbl_DCFC[Revenue_Year],AL$1,tbl_DCFC[Revenue_Month],IF(RIGHT(AL$2,3)="YTD","&lt;="&amp;LEFT(AL$2,2)*1,AL$2),tbl_DCFC[BU_Key],$A35)</f>
        <v>0</v>
      </c>
      <c r="AM35" s="697">
        <v>700000</v>
      </c>
    </row>
    <row r="36" spans="1:39" s="686" customFormat="1" x14ac:dyDescent="0.3">
      <c r="A36" s="686" t="s">
        <v>785</v>
      </c>
      <c r="B36" s="725" t="s">
        <v>786</v>
      </c>
      <c r="C36" s="687"/>
      <c r="D36" s="437"/>
      <c r="E36" s="697">
        <f t="shared" si="32"/>
        <v>0</v>
      </c>
      <c r="F36" s="697">
        <f ca="1">IFERROR(1/F$3,1)*SUMIFS(Data!$S$3:$S$305,Data!$O$3:$O$305,F$1,Data!$P$3:$P$305,IF(RIGHT(F$2,3)="YTD","&lt;="&amp;LEFT(F$2,2)*1,F$2),Data!$K$3:$K$305,$B36)</f>
        <v>0</v>
      </c>
      <c r="G36" s="697">
        <f>AM36/12</f>
        <v>0</v>
      </c>
      <c r="H36" s="437"/>
      <c r="I36" s="697">
        <f>IFERROR(1/I$3,1)*SUMIFS(tbl_DCFC[F Montant HT],tbl_DCFC[Revenue_Year],I$1,tbl_DCFC[Revenue_Month],IF(RIGHT(I$2,3)="YTD","&lt;="&amp;LEFT(I$2,2)*1,I$2),tbl_DCFC[BU_Key],$A36)</f>
        <v>0</v>
      </c>
      <c r="J36" s="697">
        <f>IFERROR(1/J$3,1)*SUMIFS(tbl_DCFC[F Montant HT],tbl_DCFC[Revenue_Year],J$1,tbl_DCFC[Revenue_Month],IF(RIGHT(J$2,3)="YTD","&lt;="&amp;LEFT(J$2,2)*1,J$2),tbl_DCFC[BU_Key],$A36)</f>
        <v>0</v>
      </c>
      <c r="K36" s="697">
        <f>IFERROR(1/K$3,1)*SUMIFS(tbl_DCFC[F Montant HT],tbl_DCFC[Revenue_Year],K$1,tbl_DCFC[Revenue_Month],IF(RIGHT(K$2,3)="YTD","&lt;="&amp;LEFT(K$2,2)*1,K$2),tbl_DCFC[BU_Key],$A36)</f>
        <v>0</v>
      </c>
      <c r="L36" s="697">
        <f>IFERROR(1/L$3,1)*SUMIFS(tbl_DCFC[F Montant HT],tbl_DCFC[Revenue_Year],L$1,tbl_DCFC[Revenue_Month],IF(RIGHT(L$2,3)="YTD","&lt;="&amp;LEFT(L$2,2)*1,L$2),tbl_DCFC[BU_Key],$A36)</f>
        <v>0</v>
      </c>
      <c r="M36" s="697">
        <f>IFERROR(1/M$3,1)*SUMIFS(tbl_DCFC[F Montant HT],tbl_DCFC[Revenue_Year],M$1,tbl_DCFC[Revenue_Month],IF(RIGHT(M$2,3)="YTD","&lt;="&amp;LEFT(M$2,2)*1,M$2),tbl_DCFC[BU_Key],$A36)</f>
        <v>0</v>
      </c>
      <c r="N36" s="697">
        <f>IFERROR(1/N$3,1)*SUMIFS(tbl_DCFC[F Montant HT],tbl_DCFC[Revenue_Year],N$1,tbl_DCFC[Revenue_Month],IF(RIGHT(N$2,3)="YTD","&lt;="&amp;LEFT(N$2,2)*1,N$2),tbl_DCFC[BU_Key],$A36)</f>
        <v>0</v>
      </c>
      <c r="O36" s="697">
        <f>IFERROR(1/O$3,1)*SUMIFS(tbl_DCFC[F Montant HT],tbl_DCFC[Revenue_Year],O$1,tbl_DCFC[Revenue_Month],IF(RIGHT(O$2,3)="YTD","&lt;="&amp;LEFT(O$2,2)*1,O$2),tbl_DCFC[BU_Key],$A36)</f>
        <v>0</v>
      </c>
      <c r="P36" s="697">
        <f>IFERROR(1/P$3,1)*SUMIFS(tbl_DCFC[F Montant HT],tbl_DCFC[Revenue_Year],P$1,tbl_DCFC[Revenue_Month],IF(RIGHT(P$2,3)="YTD","&lt;="&amp;LEFT(P$2,2)*1,P$2),tbl_DCFC[BU_Key],$A36)</f>
        <v>0</v>
      </c>
      <c r="Q36" s="697">
        <f>IFERROR(1/Q$3,1)*SUMIFS(tbl_DCFC[F Montant HT],tbl_DCFC[Revenue_Year],Q$1,tbl_DCFC[Revenue_Month],IF(RIGHT(Q$2,3)="YTD","&lt;="&amp;LEFT(Q$2,2)*1,Q$2),tbl_DCFC[BU_Key],$A36)</f>
        <v>0</v>
      </c>
      <c r="R36" s="697">
        <f>IFERROR(1/R$3,1)*SUMIFS(tbl_DCFC[F Montant HT],tbl_DCFC[Revenue_Year],R$1,tbl_DCFC[Revenue_Month],IF(RIGHT(R$2,3)="YTD","&lt;="&amp;LEFT(R$2,2)*1,R$2),tbl_DCFC[BU_Key],$A36)</f>
        <v>0</v>
      </c>
      <c r="S36" s="710">
        <f>IFERROR(1/S$3,1)*SUMIFS(tbl_DCFC[F Montant HT],tbl_DCFC[Revenue_Year],S$1,tbl_DCFC[Revenue_Month],IF(RIGHT(S$2,3)="YTD","&lt;="&amp;LEFT(S$2,2)*1,S$2),tbl_DCFC[BU_Key],$A36)</f>
        <v>0</v>
      </c>
      <c r="T36" s="710">
        <f>IFERROR(1/T$3,1)*SUMIFS(tbl_DCFC[F Montant HT],tbl_DCFC[Revenue_Year],T$1,tbl_DCFC[Revenue_Month],IF(RIGHT(T$2,3)="YTD","&lt;="&amp;LEFT(T$2,2)*1,T$2),tbl_DCFC[BU_Key],$A36)</f>
        <v>0</v>
      </c>
      <c r="U36" s="437"/>
      <c r="V36" s="697">
        <f t="shared" si="28"/>
        <v>0</v>
      </c>
      <c r="W36" s="697">
        <f t="shared" ca="1" si="28"/>
        <v>0</v>
      </c>
      <c r="X36" s="697">
        <f t="shared" si="28"/>
        <v>0</v>
      </c>
      <c r="Y36" s="697">
        <f t="shared" si="34"/>
        <v>0</v>
      </c>
      <c r="Z36" s="697">
        <f t="shared" si="34"/>
        <v>0</v>
      </c>
      <c r="AA36" s="697">
        <f t="shared" si="34"/>
        <v>0</v>
      </c>
      <c r="AB36" s="697">
        <f t="shared" si="34"/>
        <v>0</v>
      </c>
      <c r="AC36" s="697">
        <f t="shared" si="34"/>
        <v>0</v>
      </c>
      <c r="AD36" s="697">
        <f t="shared" si="34"/>
        <v>0</v>
      </c>
      <c r="AE36" s="697">
        <f t="shared" si="34"/>
        <v>0</v>
      </c>
      <c r="AF36" s="697">
        <f t="shared" si="34"/>
        <v>0</v>
      </c>
      <c r="AG36" s="697"/>
      <c r="AH36" s="710">
        <f ca="1">IFERROR(1/AH$3,1)*SUMIFS(tbl_DCFC[F Montant HT],tbl_DCFC[Revenue_Year],AH$1,tbl_DCFC[Revenue_Month],IF(RIGHT(AH$2,3)="YTD","&lt;="&amp;LEFT(AH$2,2)*1,AH$2),tbl_DCFC[BU_Key],$A36)</f>
        <v>0</v>
      </c>
      <c r="AI36" s="697">
        <f t="shared" ca="1" si="35"/>
        <v>0</v>
      </c>
      <c r="AJ36" s="716">
        <f t="shared" ca="1" si="31"/>
        <v>0</v>
      </c>
      <c r="AK36" s="437"/>
      <c r="AL36" s="710">
        <f>IFERROR(1/AL$3,1)*SUMIFS(tbl_DCFC[F Montant HT],tbl_DCFC[Revenue_Year],AL$1,tbl_DCFC[Revenue_Month],IF(RIGHT(AL$2,3)="YTD","&lt;="&amp;LEFT(AL$2,2)*1,AL$2),tbl_DCFC[BU_Key],$A36)</f>
        <v>0</v>
      </c>
      <c r="AM36" s="711">
        <v>0</v>
      </c>
    </row>
    <row r="37" spans="1:39" s="686" customFormat="1" x14ac:dyDescent="0.3">
      <c r="B37" s="731"/>
      <c r="C37" s="687"/>
      <c r="D37" s="437"/>
      <c r="E37" s="698"/>
      <c r="F37" s="698"/>
      <c r="G37" s="699"/>
      <c r="H37" s="437"/>
      <c r="I37" s="699"/>
      <c r="J37" s="699"/>
      <c r="K37" s="699"/>
      <c r="L37" s="699"/>
      <c r="M37" s="699"/>
      <c r="N37" s="698"/>
      <c r="O37" s="698"/>
      <c r="P37" s="698"/>
      <c r="Q37" s="698"/>
      <c r="R37" s="698"/>
      <c r="S37" s="698"/>
      <c r="T37" s="698"/>
      <c r="U37" s="437"/>
      <c r="V37" s="700"/>
      <c r="W37" s="700"/>
      <c r="X37" s="700"/>
      <c r="Y37" s="698"/>
      <c r="Z37" s="698"/>
      <c r="AA37" s="698"/>
      <c r="AB37" s="698"/>
      <c r="AC37" s="698"/>
      <c r="AD37" s="698"/>
      <c r="AE37" s="698"/>
      <c r="AF37" s="688"/>
      <c r="AG37" s="688"/>
      <c r="AH37" s="689"/>
      <c r="AI37" s="690"/>
      <c r="AK37" s="437"/>
      <c r="AL37" s="689"/>
      <c r="AM37" s="691"/>
    </row>
    <row r="38" spans="1:39" s="685" customFormat="1" hidden="1" outlineLevel="1" x14ac:dyDescent="0.3">
      <c r="B38" s="731" t="s">
        <v>139</v>
      </c>
      <c r="C38" s="666"/>
      <c r="D38" s="437"/>
      <c r="E38" s="701"/>
      <c r="F38" s="701"/>
      <c r="G38" s="701"/>
      <c r="H38" s="437"/>
      <c r="I38" s="701"/>
      <c r="J38" s="701"/>
      <c r="K38" s="701"/>
      <c r="L38" s="701"/>
      <c r="M38" s="701"/>
      <c r="N38" s="701"/>
      <c r="O38" s="701"/>
      <c r="P38" s="701"/>
      <c r="Q38" s="701"/>
      <c r="R38" s="701"/>
      <c r="S38" s="701"/>
      <c r="T38" s="701"/>
      <c r="U38" s="437"/>
      <c r="V38" s="701"/>
      <c r="W38" s="701"/>
      <c r="X38" s="701"/>
      <c r="Y38" s="711"/>
      <c r="Z38" s="711"/>
      <c r="AA38" s="711"/>
      <c r="AB38" s="711"/>
      <c r="AC38" s="711"/>
      <c r="AD38" s="711"/>
      <c r="AE38" s="711"/>
      <c r="AF38" s="711"/>
      <c r="AG38" s="711"/>
      <c r="AH38" s="711"/>
      <c r="AI38" s="711"/>
      <c r="AJ38" s="715"/>
      <c r="AK38" s="437"/>
      <c r="AL38" s="711"/>
      <c r="AM38" s="711"/>
    </row>
    <row r="39" spans="1:39" hidden="1" outlineLevel="1" x14ac:dyDescent="0.3">
      <c r="A39" s="55" t="s">
        <v>585</v>
      </c>
      <c r="B39" s="723" t="s">
        <v>580</v>
      </c>
      <c r="C39" s="666" t="s">
        <v>653</v>
      </c>
      <c r="E39" s="697">
        <f>$AL39/E$3</f>
        <v>57441.666666666664</v>
      </c>
      <c r="F39" s="697">
        <f ca="1">IFERROR(1/F$3,1)*SUMIFS(Data!$AD$3:$AD$305,Data!$Y$3:$Y$305,F$1,Data!$Z$3:$Z$305,IF(RIGHT(F$2,3)="YTD","&lt;="&amp;LEFT(F$2,2)*1,F$2),Data!$K$3:$K$305,$B39)</f>
        <v>2859.6666666666665</v>
      </c>
      <c r="G39" s="697">
        <f>AM39/12</f>
        <v>30833.333333333332</v>
      </c>
      <c r="H39" s="719"/>
      <c r="I39" s="710">
        <f>IFERROR(1/I$3,1)*SUMIFS(Data!$AD$3:$AD$305,Data!$Y$3:$Y$305,I$1,Data!$Z$3:$Z$305,IF(RIGHT(I$2,3)="YTD","&lt;="&amp;LEFT(I$2,2)*1,I$2),Data!$K$3:$K$305,$B39)</f>
        <v>0</v>
      </c>
      <c r="J39" s="710">
        <f>IFERROR(1/J$3,1)*SUMIFS(Data!$AD$3:$AD$305,Data!$Y$3:$Y$305,J$1,Data!$Z$3:$Z$305,IF(RIGHT(J$2,3)="YTD","&lt;="&amp;LEFT(J$2,2)*1,J$2),Data!$K$3:$K$305,$B39)</f>
        <v>0</v>
      </c>
      <c r="K39" s="710">
        <f>IFERROR(1/K$3,1)*SUMIFS(Data!$AD$3:$AD$305,Data!$Y$3:$Y$305,K$1,Data!$Z$3:$Z$305,IF(RIGHT(K$2,3)="YTD","&lt;="&amp;LEFT(K$2,2)*1,K$2),Data!$K$3:$K$305,$B39)</f>
        <v>8579</v>
      </c>
      <c r="L39" s="710">
        <f>IFERROR(1/L$3,1)*SUMIFS(Data!$AD$3:$AD$305,Data!$Y$3:$Y$305,L$1,Data!$Z$3:$Z$305,IF(RIGHT(L$2,3)="YTD","&lt;="&amp;LEFT(L$2,2)*1,L$2),Data!$K$3:$K$305,$B39)</f>
        <v>0</v>
      </c>
      <c r="M39" s="710">
        <f>IFERROR(1/M$3,1)*SUMIFS(Data!$AD$3:$AD$305,Data!$Y$3:$Y$305,M$1,Data!$Z$3:$Z$305,IF(RIGHT(M$2,3)="YTD","&lt;="&amp;LEFT(M$2,2)*1,M$2),Data!$K$3:$K$305,$B39)</f>
        <v>0</v>
      </c>
      <c r="N39" s="710">
        <f>IFERROR(1/N$3,1)*SUMIFS(Data!$AD$3:$AD$305,Data!$Y$3:$Y$305,N$1,Data!$Z$3:$Z$305,IF(RIGHT(N$2,3)="YTD","&lt;="&amp;LEFT(N$2,2)*1,N$2),Data!$K$3:$K$305,$B39)</f>
        <v>0</v>
      </c>
      <c r="O39" s="710">
        <f>IFERROR(1/O$3,1)*SUMIFS(Data!$AD$3:$AD$305,Data!$Y$3:$Y$305,O$1,Data!$Z$3:$Z$305,IF(RIGHT(O$2,3)="YTD","&lt;="&amp;LEFT(O$2,2)*1,O$2),Data!$K$3:$K$305,$B39)</f>
        <v>0</v>
      </c>
      <c r="P39" s="710">
        <f>IFERROR(1/P$3,1)*SUMIFS(Data!$AD$3:$AD$305,Data!$Y$3:$Y$305,P$1,Data!$Z$3:$Z$305,IF(RIGHT(P$2,3)="YTD","&lt;="&amp;LEFT(P$2,2)*1,P$2),Data!$K$3:$K$305,$B39)</f>
        <v>0</v>
      </c>
      <c r="Q39" s="710">
        <f>IFERROR(1/Q$3,1)*SUMIFS(Data!$AD$3:$AD$305,Data!$Y$3:$Y$305,Q$1,Data!$Z$3:$Z$305,IF(RIGHT(Q$2,3)="YTD","&lt;="&amp;LEFT(Q$2,2)*1,Q$2),Data!$K$3:$K$305,$B39)</f>
        <v>0</v>
      </c>
      <c r="R39" s="710">
        <f>IFERROR(1/R$3,1)*SUMIFS(Data!$AD$3:$AD$305,Data!$Y$3:$Y$305,R$1,Data!$Z$3:$Z$305,IF(RIGHT(R$2,3)="YTD","&lt;="&amp;LEFT(R$2,2)*1,R$2),Data!$K$3:$K$305,$B39)</f>
        <v>0</v>
      </c>
      <c r="S39" s="710">
        <f>IFERROR(1/S$3,1)*SUMIFS(Data!$AD$3:$AD$305,Data!$Y$3:$Y$305,S$1,Data!$Z$3:$Z$305,IF(RIGHT(S$2,3)="YTD","&lt;="&amp;LEFT(S$2,2)*1,S$2),Data!$K$3:$K$305,$B39)</f>
        <v>0</v>
      </c>
      <c r="T39" s="710">
        <f>IFERROR(1/T$3,1)*SUMIFS(Data!$AD$3:$AD$305,Data!$Y$3:$Y$305,T$1,Data!$Z$3:$Z$305,IF(RIGHT(T$2,3)="YTD","&lt;="&amp;LEFT(T$2,2)*1,T$2),Data!$K$3:$K$305,$B39)</f>
        <v>0</v>
      </c>
      <c r="V39" s="697">
        <f t="shared" ref="V39:V48" si="36">E39</f>
        <v>57441.666666666664</v>
      </c>
      <c r="W39" s="697">
        <f t="shared" ref="W39:W48" ca="1" si="37">F39</f>
        <v>2859.6666666666665</v>
      </c>
      <c r="X39" s="697">
        <f t="shared" ref="X39:X48" si="38">G39</f>
        <v>30833.333333333332</v>
      </c>
      <c r="Y39" s="697">
        <f>$G39</f>
        <v>30833.333333333332</v>
      </c>
      <c r="Z39" s="697">
        <f t="shared" ref="Z39:AF39" si="39">$G39</f>
        <v>30833.333333333332</v>
      </c>
      <c r="AA39" s="697">
        <f t="shared" si="39"/>
        <v>30833.333333333332</v>
      </c>
      <c r="AB39" s="697">
        <f t="shared" si="39"/>
        <v>30833.333333333332</v>
      </c>
      <c r="AC39" s="697">
        <f t="shared" si="39"/>
        <v>30833.333333333332</v>
      </c>
      <c r="AD39" s="697">
        <f t="shared" si="39"/>
        <v>30833.333333333332</v>
      </c>
      <c r="AE39" s="697">
        <f t="shared" si="39"/>
        <v>30833.333333333332</v>
      </c>
      <c r="AF39" s="697">
        <f t="shared" si="39"/>
        <v>30833.333333333332</v>
      </c>
      <c r="AG39" s="697"/>
      <c r="AH39" s="697">
        <f ca="1">IFERROR(1/AH$3,1)*SUMIFS(Data!$AD$3:$AD$305,Data!$Y$3:$Y$305,AH$1,Data!$Z$3:$Z$305,IF(RIGHT(AH$2,3)="YTD","&lt;="&amp;LEFT(AH$2,2)*1,AH$2),Data!$K$3:$K$305,$B15)</f>
        <v>8579</v>
      </c>
      <c r="AI39" s="697">
        <f t="shared" ref="AI39:AI48" ca="1" si="40">AM39/12*$C$5</f>
        <v>123333.33333333333</v>
      </c>
      <c r="AJ39" s="716">
        <f t="shared" ref="AJ39:AJ48" ca="1" si="41">AH39-AI39</f>
        <v>-114754.33333333333</v>
      </c>
      <c r="AL39" s="697">
        <v>689300</v>
      </c>
      <c r="AM39" s="711">
        <v>370000</v>
      </c>
    </row>
    <row r="40" spans="1:39" hidden="1" outlineLevel="1" x14ac:dyDescent="0.3">
      <c r="A40" s="437" t="s">
        <v>586</v>
      </c>
      <c r="B40" s="723" t="s">
        <v>582</v>
      </c>
      <c r="C40" s="666" t="s">
        <v>653</v>
      </c>
      <c r="E40" s="697">
        <f t="shared" ref="E40:E50" si="42">$AL40/E$3</f>
        <v>1674.6666666666667</v>
      </c>
      <c r="F40" s="697">
        <f ca="1">IFERROR(1/F$3,1)*SUMIFS(Data!$AD$3:$AD$305,Data!$Y$3:$Y$305,F$1,Data!$Z$3:$Z$305,IF(RIGHT(F$2,3)="YTD","&lt;="&amp;LEFT(F$2,2)*1,F$2),Data!$K$3:$K$305,$B40)</f>
        <v>0</v>
      </c>
      <c r="G40" s="697">
        <f t="shared" ref="G40:G50" si="43">AM40/12</f>
        <v>0</v>
      </c>
      <c r="H40" s="719"/>
      <c r="I40" s="710">
        <f>IFERROR(1/I$3,1)*SUMIFS(Data!$AD$3:$AD$305,Data!$Y$3:$Y$305,I$1,Data!$Z$3:$Z$305,IF(RIGHT(I$2,3)="YTD","&lt;="&amp;LEFT(I$2,2)*1,I$2),Data!$K$3:$K$305,$B40)</f>
        <v>0</v>
      </c>
      <c r="J40" s="710">
        <f>IFERROR(1/J$3,1)*SUMIFS(Data!$AD$3:$AD$305,Data!$Y$3:$Y$305,J$1,Data!$Z$3:$Z$305,IF(RIGHT(J$2,3)="YTD","&lt;="&amp;LEFT(J$2,2)*1,J$2),Data!$K$3:$K$305,$B40)</f>
        <v>0</v>
      </c>
      <c r="K40" s="710">
        <f>IFERROR(1/K$3,1)*SUMIFS(Data!$AD$3:$AD$305,Data!$Y$3:$Y$305,K$1,Data!$Z$3:$Z$305,IF(RIGHT(K$2,3)="YTD","&lt;="&amp;LEFT(K$2,2)*1,K$2),Data!$K$3:$K$305,$B40)</f>
        <v>0</v>
      </c>
      <c r="L40" s="710">
        <f>IFERROR(1/L$3,1)*SUMIFS(Data!$AD$3:$AD$305,Data!$Y$3:$Y$305,L$1,Data!$Z$3:$Z$305,IF(RIGHT(L$2,3)="YTD","&lt;="&amp;LEFT(L$2,2)*1,L$2),Data!$K$3:$K$305,$B40)</f>
        <v>0</v>
      </c>
      <c r="M40" s="710">
        <f>IFERROR(1/M$3,1)*SUMIFS(Data!$AD$3:$AD$305,Data!$Y$3:$Y$305,M$1,Data!$Z$3:$Z$305,IF(RIGHT(M$2,3)="YTD","&lt;="&amp;LEFT(M$2,2)*1,M$2),Data!$K$3:$K$305,$B40)</f>
        <v>0</v>
      </c>
      <c r="N40" s="710">
        <f>IFERROR(1/N$3,1)*SUMIFS(Data!$AD$3:$AD$305,Data!$Y$3:$Y$305,N$1,Data!$Z$3:$Z$305,IF(RIGHT(N$2,3)="YTD","&lt;="&amp;LEFT(N$2,2)*1,N$2),Data!$K$3:$K$305,$B40)</f>
        <v>0</v>
      </c>
      <c r="O40" s="710">
        <f>IFERROR(1/O$3,1)*SUMIFS(Data!$AD$3:$AD$305,Data!$Y$3:$Y$305,O$1,Data!$Z$3:$Z$305,IF(RIGHT(O$2,3)="YTD","&lt;="&amp;LEFT(O$2,2)*1,O$2),Data!$K$3:$K$305,$B40)</f>
        <v>0</v>
      </c>
      <c r="P40" s="710">
        <f>IFERROR(1/P$3,1)*SUMIFS(Data!$AD$3:$AD$305,Data!$Y$3:$Y$305,P$1,Data!$Z$3:$Z$305,IF(RIGHT(P$2,3)="YTD","&lt;="&amp;LEFT(P$2,2)*1,P$2),Data!$K$3:$K$305,$B40)</f>
        <v>0</v>
      </c>
      <c r="Q40" s="710">
        <f>IFERROR(1/Q$3,1)*SUMIFS(Data!$AD$3:$AD$305,Data!$Y$3:$Y$305,Q$1,Data!$Z$3:$Z$305,IF(RIGHT(Q$2,3)="YTD","&lt;="&amp;LEFT(Q$2,2)*1,Q$2),Data!$K$3:$K$305,$B40)</f>
        <v>0</v>
      </c>
      <c r="R40" s="710">
        <f>IFERROR(1/R$3,1)*SUMIFS(Data!$AD$3:$AD$305,Data!$Y$3:$Y$305,R$1,Data!$Z$3:$Z$305,IF(RIGHT(R$2,3)="YTD","&lt;="&amp;LEFT(R$2,2)*1,R$2),Data!$K$3:$K$305,$B40)</f>
        <v>0</v>
      </c>
      <c r="S40" s="710">
        <f>IFERROR(1/S$3,1)*SUMIFS(Data!$AD$3:$AD$305,Data!$Y$3:$Y$305,S$1,Data!$Z$3:$Z$305,IF(RIGHT(S$2,3)="YTD","&lt;="&amp;LEFT(S$2,2)*1,S$2),Data!$K$3:$K$305,$B40)</f>
        <v>0</v>
      </c>
      <c r="T40" s="710">
        <f>IFERROR(1/T$3,1)*SUMIFS(Data!$AD$3:$AD$305,Data!$Y$3:$Y$305,T$1,Data!$Z$3:$Z$305,IF(RIGHT(T$2,3)="YTD","&lt;="&amp;LEFT(T$2,2)*1,T$2),Data!$K$3:$K$305,$B40)</f>
        <v>0</v>
      </c>
      <c r="V40" s="697">
        <f t="shared" si="36"/>
        <v>1674.6666666666667</v>
      </c>
      <c r="W40" s="697">
        <f t="shared" ca="1" si="37"/>
        <v>0</v>
      </c>
      <c r="X40" s="697">
        <f t="shared" si="38"/>
        <v>0</v>
      </c>
      <c r="Y40" s="697">
        <f t="shared" ref="Y40:AF48" si="44">$G40</f>
        <v>0</v>
      </c>
      <c r="Z40" s="697">
        <f t="shared" si="44"/>
        <v>0</v>
      </c>
      <c r="AA40" s="697">
        <f t="shared" si="44"/>
        <v>0</v>
      </c>
      <c r="AB40" s="697">
        <f t="shared" si="44"/>
        <v>0</v>
      </c>
      <c r="AC40" s="697">
        <f t="shared" si="44"/>
        <v>0</v>
      </c>
      <c r="AD40" s="697">
        <f t="shared" si="44"/>
        <v>0</v>
      </c>
      <c r="AE40" s="697">
        <f t="shared" si="44"/>
        <v>0</v>
      </c>
      <c r="AF40" s="697">
        <f t="shared" si="44"/>
        <v>0</v>
      </c>
      <c r="AG40" s="697"/>
      <c r="AH40" s="697">
        <f ca="1">IFERROR(1/AH$3,1)*SUMIFS(Data!$AD$3:$AD$305,Data!$Y$3:$Y$305,AH$1,Data!$Z$3:$Z$305,IF(RIGHT(AH$2,3)="YTD","&lt;="&amp;LEFT(AH$2,2)*1,AH$2),Data!$K$3:$K$305,$B16)</f>
        <v>0</v>
      </c>
      <c r="AI40" s="697">
        <f t="shared" ca="1" si="40"/>
        <v>0</v>
      </c>
      <c r="AJ40" s="716">
        <f t="shared" ca="1" si="41"/>
        <v>0</v>
      </c>
      <c r="AL40" s="697">
        <v>20096</v>
      </c>
      <c r="AM40" s="697">
        <v>0</v>
      </c>
    </row>
    <row r="41" spans="1:39" hidden="1" outlineLevel="1" x14ac:dyDescent="0.3">
      <c r="B41" s="723" t="s">
        <v>579</v>
      </c>
      <c r="C41" s="666" t="s">
        <v>653</v>
      </c>
      <c r="E41" s="697">
        <f t="shared" si="42"/>
        <v>422.91666666666669</v>
      </c>
      <c r="F41" s="697">
        <f ca="1">IFERROR(1/F$3,1)*SUMIFS(Data!$AD$3:$AD$305,Data!$Y$3:$Y$305,F$1,Data!$Z$3:$Z$305,IF(RIGHT(F$2,3)="YTD","&lt;="&amp;LEFT(F$2,2)*1,F$2),Data!$K$3:$K$305,$B41)</f>
        <v>916.66666666666663</v>
      </c>
      <c r="G41" s="697">
        <f t="shared" si="43"/>
        <v>0</v>
      </c>
      <c r="H41" s="719"/>
      <c r="I41" s="710">
        <f>IFERROR(1/I$3,1)*SUMIFS(Data!$AD$3:$AD$305,Data!$Y$3:$Y$305,I$1,Data!$Z$3:$Z$305,IF(RIGHT(I$2,3)="YTD","&lt;="&amp;LEFT(I$2,2)*1,I$2),Data!$K$3:$K$305,$B41)</f>
        <v>2750</v>
      </c>
      <c r="J41" s="710">
        <f>IFERROR(1/J$3,1)*SUMIFS(Data!$AD$3:$AD$305,Data!$Y$3:$Y$305,J$1,Data!$Z$3:$Z$305,IF(RIGHT(J$2,3)="YTD","&lt;="&amp;LEFT(J$2,2)*1,J$2),Data!$K$3:$K$305,$B41)</f>
        <v>0</v>
      </c>
      <c r="K41" s="710">
        <f>IFERROR(1/K$3,1)*SUMIFS(Data!$AD$3:$AD$305,Data!$Y$3:$Y$305,K$1,Data!$Z$3:$Z$305,IF(RIGHT(K$2,3)="YTD","&lt;="&amp;LEFT(K$2,2)*1,K$2),Data!$K$3:$K$305,$B41)</f>
        <v>0</v>
      </c>
      <c r="L41" s="710">
        <f>IFERROR(1/L$3,1)*SUMIFS(Data!$AD$3:$AD$305,Data!$Y$3:$Y$305,L$1,Data!$Z$3:$Z$305,IF(RIGHT(L$2,3)="YTD","&lt;="&amp;LEFT(L$2,2)*1,L$2),Data!$K$3:$K$305,$B41)</f>
        <v>0</v>
      </c>
      <c r="M41" s="710">
        <f>IFERROR(1/M$3,1)*SUMIFS(Data!$AD$3:$AD$305,Data!$Y$3:$Y$305,M$1,Data!$Z$3:$Z$305,IF(RIGHT(M$2,3)="YTD","&lt;="&amp;LEFT(M$2,2)*1,M$2),Data!$K$3:$K$305,$B41)</f>
        <v>0</v>
      </c>
      <c r="N41" s="710">
        <f>IFERROR(1/N$3,1)*SUMIFS(Data!$AD$3:$AD$305,Data!$Y$3:$Y$305,N$1,Data!$Z$3:$Z$305,IF(RIGHT(N$2,3)="YTD","&lt;="&amp;LEFT(N$2,2)*1,N$2),Data!$K$3:$K$305,$B41)</f>
        <v>0</v>
      </c>
      <c r="O41" s="710">
        <f>IFERROR(1/O$3,1)*SUMIFS(Data!$AD$3:$AD$305,Data!$Y$3:$Y$305,O$1,Data!$Z$3:$Z$305,IF(RIGHT(O$2,3)="YTD","&lt;="&amp;LEFT(O$2,2)*1,O$2),Data!$K$3:$K$305,$B41)</f>
        <v>0</v>
      </c>
      <c r="P41" s="710">
        <f>IFERROR(1/P$3,1)*SUMIFS(Data!$AD$3:$AD$305,Data!$Y$3:$Y$305,P$1,Data!$Z$3:$Z$305,IF(RIGHT(P$2,3)="YTD","&lt;="&amp;LEFT(P$2,2)*1,P$2),Data!$K$3:$K$305,$B41)</f>
        <v>0</v>
      </c>
      <c r="Q41" s="710">
        <f>IFERROR(1/Q$3,1)*SUMIFS(Data!$AD$3:$AD$305,Data!$Y$3:$Y$305,Q$1,Data!$Z$3:$Z$305,IF(RIGHT(Q$2,3)="YTD","&lt;="&amp;LEFT(Q$2,2)*1,Q$2),Data!$K$3:$K$305,$B41)</f>
        <v>0</v>
      </c>
      <c r="R41" s="710">
        <f>IFERROR(1/R$3,1)*SUMIFS(Data!$AD$3:$AD$305,Data!$Y$3:$Y$305,R$1,Data!$Z$3:$Z$305,IF(RIGHT(R$2,3)="YTD","&lt;="&amp;LEFT(R$2,2)*1,R$2),Data!$K$3:$K$305,$B41)</f>
        <v>0</v>
      </c>
      <c r="S41" s="710">
        <f>IFERROR(1/S$3,1)*SUMIFS(Data!$AD$3:$AD$305,Data!$Y$3:$Y$305,S$1,Data!$Z$3:$Z$305,IF(RIGHT(S$2,3)="YTD","&lt;="&amp;LEFT(S$2,2)*1,S$2),Data!$K$3:$K$305,$B41)</f>
        <v>0</v>
      </c>
      <c r="T41" s="710">
        <f>IFERROR(1/T$3,1)*SUMIFS(Data!$AD$3:$AD$305,Data!$Y$3:$Y$305,T$1,Data!$Z$3:$Z$305,IF(RIGHT(T$2,3)="YTD","&lt;="&amp;LEFT(T$2,2)*1,T$2),Data!$K$3:$K$305,$B41)</f>
        <v>0</v>
      </c>
      <c r="V41" s="697">
        <f t="shared" si="36"/>
        <v>422.91666666666669</v>
      </c>
      <c r="W41" s="697">
        <f t="shared" ca="1" si="37"/>
        <v>916.66666666666663</v>
      </c>
      <c r="X41" s="697">
        <f t="shared" si="38"/>
        <v>0</v>
      </c>
      <c r="Y41" s="697">
        <f t="shared" si="44"/>
        <v>0</v>
      </c>
      <c r="Z41" s="697">
        <f t="shared" si="44"/>
        <v>0</v>
      </c>
      <c r="AA41" s="697">
        <f t="shared" si="44"/>
        <v>0</v>
      </c>
      <c r="AB41" s="697">
        <f t="shared" si="44"/>
        <v>0</v>
      </c>
      <c r="AC41" s="697">
        <f t="shared" si="44"/>
        <v>0</v>
      </c>
      <c r="AD41" s="697">
        <f t="shared" si="44"/>
        <v>0</v>
      </c>
      <c r="AE41" s="697">
        <f t="shared" si="44"/>
        <v>0</v>
      </c>
      <c r="AF41" s="697">
        <f t="shared" si="44"/>
        <v>0</v>
      </c>
      <c r="AG41" s="697"/>
      <c r="AH41" s="697">
        <f ca="1">IFERROR(1/AH$3,1)*SUMIFS(Data!$AD$3:$AD$305,Data!$Y$3:$Y$305,AH$1,Data!$Z$3:$Z$305,IF(RIGHT(AH$2,3)="YTD","&lt;="&amp;LEFT(AH$2,2)*1,AH$2),Data!$K$3:$K$305,$B17)</f>
        <v>2750</v>
      </c>
      <c r="AI41" s="697">
        <f t="shared" ca="1" si="40"/>
        <v>0</v>
      </c>
      <c r="AJ41" s="716">
        <f t="shared" ca="1" si="41"/>
        <v>2750</v>
      </c>
      <c r="AL41" s="697">
        <v>5075</v>
      </c>
      <c r="AM41" s="697">
        <v>0</v>
      </c>
    </row>
    <row r="42" spans="1:39" hidden="1" outlineLevel="1" x14ac:dyDescent="0.3">
      <c r="A42" s="437" t="s">
        <v>587</v>
      </c>
      <c r="B42" s="723" t="s">
        <v>581</v>
      </c>
      <c r="C42" s="666" t="s">
        <v>653</v>
      </c>
      <c r="E42" s="697">
        <f t="shared" si="42"/>
        <v>3145.2083333333335</v>
      </c>
      <c r="F42" s="697">
        <f ca="1">IFERROR(1/F$3,1)*SUMIFS(Data!$AD$3:$AD$305,Data!$Y$3:$Y$305,F$1,Data!$Z$3:$Z$305,IF(RIGHT(F$2,3)="YTD","&lt;="&amp;LEFT(F$2,2)*1,F$2),Data!$K$3:$K$305,$B42)</f>
        <v>0</v>
      </c>
      <c r="G42" s="697">
        <f t="shared" si="43"/>
        <v>0</v>
      </c>
      <c r="H42" s="719"/>
      <c r="I42" s="710">
        <f>IFERROR(1/I$3,1)*SUMIFS(Data!$AD$3:$AD$305,Data!$Y$3:$Y$305,I$1,Data!$Z$3:$Z$305,IF(RIGHT(I$2,3)="YTD","&lt;="&amp;LEFT(I$2,2)*1,I$2),Data!$K$3:$K$305,$B42)</f>
        <v>0</v>
      </c>
      <c r="J42" s="710">
        <f>IFERROR(1/J$3,1)*SUMIFS(Data!$AD$3:$AD$305,Data!$Y$3:$Y$305,J$1,Data!$Z$3:$Z$305,IF(RIGHT(J$2,3)="YTD","&lt;="&amp;LEFT(J$2,2)*1,J$2),Data!$K$3:$K$305,$B42)</f>
        <v>0</v>
      </c>
      <c r="K42" s="710">
        <f>IFERROR(1/K$3,1)*SUMIFS(Data!$AD$3:$AD$305,Data!$Y$3:$Y$305,K$1,Data!$Z$3:$Z$305,IF(RIGHT(K$2,3)="YTD","&lt;="&amp;LEFT(K$2,2)*1,K$2),Data!$K$3:$K$305,$B42)</f>
        <v>0</v>
      </c>
      <c r="L42" s="710">
        <f>IFERROR(1/L$3,1)*SUMIFS(Data!$AD$3:$AD$305,Data!$Y$3:$Y$305,L$1,Data!$Z$3:$Z$305,IF(RIGHT(L$2,3)="YTD","&lt;="&amp;LEFT(L$2,2)*1,L$2),Data!$K$3:$K$305,$B42)</f>
        <v>0</v>
      </c>
      <c r="M42" s="710">
        <f>IFERROR(1/M$3,1)*SUMIFS(Data!$AD$3:$AD$305,Data!$Y$3:$Y$305,M$1,Data!$Z$3:$Z$305,IF(RIGHT(M$2,3)="YTD","&lt;="&amp;LEFT(M$2,2)*1,M$2),Data!$K$3:$K$305,$B42)</f>
        <v>0</v>
      </c>
      <c r="N42" s="710">
        <f>IFERROR(1/N$3,1)*SUMIFS(Data!$AD$3:$AD$305,Data!$Y$3:$Y$305,N$1,Data!$Z$3:$Z$305,IF(RIGHT(N$2,3)="YTD","&lt;="&amp;LEFT(N$2,2)*1,N$2),Data!$K$3:$K$305,$B42)</f>
        <v>0</v>
      </c>
      <c r="O42" s="710">
        <f>IFERROR(1/O$3,1)*SUMIFS(Data!$AD$3:$AD$305,Data!$Y$3:$Y$305,O$1,Data!$Z$3:$Z$305,IF(RIGHT(O$2,3)="YTD","&lt;="&amp;LEFT(O$2,2)*1,O$2),Data!$K$3:$K$305,$B42)</f>
        <v>0</v>
      </c>
      <c r="P42" s="710">
        <f>IFERROR(1/P$3,1)*SUMIFS(Data!$AD$3:$AD$305,Data!$Y$3:$Y$305,P$1,Data!$Z$3:$Z$305,IF(RIGHT(P$2,3)="YTD","&lt;="&amp;LEFT(P$2,2)*1,P$2),Data!$K$3:$K$305,$B42)</f>
        <v>0</v>
      </c>
      <c r="Q42" s="710">
        <f>IFERROR(1/Q$3,1)*SUMIFS(Data!$AD$3:$AD$305,Data!$Y$3:$Y$305,Q$1,Data!$Z$3:$Z$305,IF(RIGHT(Q$2,3)="YTD","&lt;="&amp;LEFT(Q$2,2)*1,Q$2),Data!$K$3:$K$305,$B42)</f>
        <v>0</v>
      </c>
      <c r="R42" s="710">
        <f>IFERROR(1/R$3,1)*SUMIFS(Data!$AD$3:$AD$305,Data!$Y$3:$Y$305,R$1,Data!$Z$3:$Z$305,IF(RIGHT(R$2,3)="YTD","&lt;="&amp;LEFT(R$2,2)*1,R$2),Data!$K$3:$K$305,$B42)</f>
        <v>0</v>
      </c>
      <c r="S42" s="710">
        <f>IFERROR(1/S$3,1)*SUMIFS(Data!$AD$3:$AD$305,Data!$Y$3:$Y$305,S$1,Data!$Z$3:$Z$305,IF(RIGHT(S$2,3)="YTD","&lt;="&amp;LEFT(S$2,2)*1,S$2),Data!$K$3:$K$305,$B42)</f>
        <v>0</v>
      </c>
      <c r="T42" s="710">
        <f>IFERROR(1/T$3,1)*SUMIFS(Data!$AD$3:$AD$305,Data!$Y$3:$Y$305,T$1,Data!$Z$3:$Z$305,IF(RIGHT(T$2,3)="YTD","&lt;="&amp;LEFT(T$2,2)*1,T$2),Data!$K$3:$K$305,$B42)</f>
        <v>0</v>
      </c>
      <c r="V42" s="697">
        <f t="shared" si="36"/>
        <v>3145.2083333333335</v>
      </c>
      <c r="W42" s="697">
        <f t="shared" ca="1" si="37"/>
        <v>0</v>
      </c>
      <c r="X42" s="697">
        <f t="shared" si="38"/>
        <v>0</v>
      </c>
      <c r="Y42" s="697">
        <f t="shared" si="44"/>
        <v>0</v>
      </c>
      <c r="Z42" s="697">
        <f t="shared" si="44"/>
        <v>0</v>
      </c>
      <c r="AA42" s="697">
        <f t="shared" si="44"/>
        <v>0</v>
      </c>
      <c r="AB42" s="697">
        <f t="shared" si="44"/>
        <v>0</v>
      </c>
      <c r="AC42" s="697">
        <f t="shared" si="44"/>
        <v>0</v>
      </c>
      <c r="AD42" s="697">
        <f t="shared" si="44"/>
        <v>0</v>
      </c>
      <c r="AE42" s="697">
        <f t="shared" si="44"/>
        <v>0</v>
      </c>
      <c r="AF42" s="697">
        <f t="shared" si="44"/>
        <v>0</v>
      </c>
      <c r="AG42" s="697"/>
      <c r="AH42" s="697">
        <f ca="1">IFERROR(1/AH$3,1)*SUMIFS(Data!$AD$3:$AD$305,Data!$Y$3:$Y$305,AH$1,Data!$Z$3:$Z$305,IF(RIGHT(AH$2,3)="YTD","&lt;="&amp;LEFT(AH$2,2)*1,AH$2),Data!$K$3:$K$305,$B18)</f>
        <v>0</v>
      </c>
      <c r="AI42" s="697">
        <f t="shared" ca="1" si="40"/>
        <v>0</v>
      </c>
      <c r="AJ42" s="716">
        <f t="shared" ca="1" si="41"/>
        <v>0</v>
      </c>
      <c r="AL42" s="697">
        <v>37742.5</v>
      </c>
      <c r="AM42" s="697">
        <v>0</v>
      </c>
    </row>
    <row r="43" spans="1:39" hidden="1" outlineLevel="1" x14ac:dyDescent="0.3">
      <c r="A43" s="437" t="s">
        <v>588</v>
      </c>
      <c r="B43" s="723" t="s">
        <v>518</v>
      </c>
      <c r="C43" s="666" t="s">
        <v>653</v>
      </c>
      <c r="E43" s="697">
        <f t="shared" si="42"/>
        <v>22610</v>
      </c>
      <c r="F43" s="697">
        <f ca="1">IFERROR(1/F$3,1)*SUMIFS(Data!$AD$3:$AD$305,Data!$Y$3:$Y$305,F$1,Data!$Z$3:$Z$305,IF(RIGHT(F$2,3)="YTD","&lt;="&amp;LEFT(F$2,2)*1,F$2),Data!$K$3:$K$305,$B43)</f>
        <v>0</v>
      </c>
      <c r="G43" s="697">
        <f t="shared" si="43"/>
        <v>0</v>
      </c>
      <c r="H43" s="719"/>
      <c r="I43" s="710">
        <f>IFERROR(1/I$3,1)*SUMIFS(Data!$AD$3:$AD$305,Data!$Y$3:$Y$305,I$1,Data!$Z$3:$Z$305,IF(RIGHT(I$2,3)="YTD","&lt;="&amp;LEFT(I$2,2)*1,I$2),Data!$K$3:$K$305,$B43)</f>
        <v>0</v>
      </c>
      <c r="J43" s="710">
        <f>IFERROR(1/J$3,1)*SUMIFS(Data!$AD$3:$AD$305,Data!$Y$3:$Y$305,J$1,Data!$Z$3:$Z$305,IF(RIGHT(J$2,3)="YTD","&lt;="&amp;LEFT(J$2,2)*1,J$2),Data!$K$3:$K$305,$B43)</f>
        <v>0</v>
      </c>
      <c r="K43" s="710">
        <f>IFERROR(1/K$3,1)*SUMIFS(Data!$AD$3:$AD$305,Data!$Y$3:$Y$305,K$1,Data!$Z$3:$Z$305,IF(RIGHT(K$2,3)="YTD","&lt;="&amp;LEFT(K$2,2)*1,K$2),Data!$K$3:$K$305,$B43)</f>
        <v>0</v>
      </c>
      <c r="L43" s="710">
        <f>IFERROR(1/L$3,1)*SUMIFS(Data!$AD$3:$AD$305,Data!$Y$3:$Y$305,L$1,Data!$Z$3:$Z$305,IF(RIGHT(L$2,3)="YTD","&lt;="&amp;LEFT(L$2,2)*1,L$2),Data!$K$3:$K$305,$B43)</f>
        <v>0</v>
      </c>
      <c r="M43" s="710">
        <f>IFERROR(1/M$3,1)*SUMIFS(Data!$AD$3:$AD$305,Data!$Y$3:$Y$305,M$1,Data!$Z$3:$Z$305,IF(RIGHT(M$2,3)="YTD","&lt;="&amp;LEFT(M$2,2)*1,M$2),Data!$K$3:$K$305,$B43)</f>
        <v>0</v>
      </c>
      <c r="N43" s="710">
        <f>IFERROR(1/N$3,1)*SUMIFS(Data!$AD$3:$AD$305,Data!$Y$3:$Y$305,N$1,Data!$Z$3:$Z$305,IF(RIGHT(N$2,3)="YTD","&lt;="&amp;LEFT(N$2,2)*1,N$2),Data!$K$3:$K$305,$B43)</f>
        <v>0</v>
      </c>
      <c r="O43" s="710">
        <f>IFERROR(1/O$3,1)*SUMIFS(Data!$AD$3:$AD$305,Data!$Y$3:$Y$305,O$1,Data!$Z$3:$Z$305,IF(RIGHT(O$2,3)="YTD","&lt;="&amp;LEFT(O$2,2)*1,O$2),Data!$K$3:$K$305,$B43)</f>
        <v>0</v>
      </c>
      <c r="P43" s="710">
        <f>IFERROR(1/P$3,1)*SUMIFS(Data!$AD$3:$AD$305,Data!$Y$3:$Y$305,P$1,Data!$Z$3:$Z$305,IF(RIGHT(P$2,3)="YTD","&lt;="&amp;LEFT(P$2,2)*1,P$2),Data!$K$3:$K$305,$B43)</f>
        <v>0</v>
      </c>
      <c r="Q43" s="710">
        <f>IFERROR(1/Q$3,1)*SUMIFS(Data!$AD$3:$AD$305,Data!$Y$3:$Y$305,Q$1,Data!$Z$3:$Z$305,IF(RIGHT(Q$2,3)="YTD","&lt;="&amp;LEFT(Q$2,2)*1,Q$2),Data!$K$3:$K$305,$B43)</f>
        <v>0</v>
      </c>
      <c r="R43" s="710">
        <f>IFERROR(1/R$3,1)*SUMIFS(Data!$AD$3:$AD$305,Data!$Y$3:$Y$305,R$1,Data!$Z$3:$Z$305,IF(RIGHT(R$2,3)="YTD","&lt;="&amp;LEFT(R$2,2)*1,R$2),Data!$K$3:$K$305,$B43)</f>
        <v>0</v>
      </c>
      <c r="S43" s="710">
        <f>IFERROR(1/S$3,1)*SUMIFS(Data!$AD$3:$AD$305,Data!$Y$3:$Y$305,S$1,Data!$Z$3:$Z$305,IF(RIGHT(S$2,3)="YTD","&lt;="&amp;LEFT(S$2,2)*1,S$2),Data!$K$3:$K$305,$B43)</f>
        <v>0</v>
      </c>
      <c r="T43" s="710">
        <f>IFERROR(1/T$3,1)*SUMIFS(Data!$AD$3:$AD$305,Data!$Y$3:$Y$305,T$1,Data!$Z$3:$Z$305,IF(RIGHT(T$2,3)="YTD","&lt;="&amp;LEFT(T$2,2)*1,T$2),Data!$K$3:$K$305,$B43)</f>
        <v>0</v>
      </c>
      <c r="V43" s="697">
        <f t="shared" si="36"/>
        <v>22610</v>
      </c>
      <c r="W43" s="697">
        <f t="shared" ca="1" si="37"/>
        <v>0</v>
      </c>
      <c r="X43" s="697">
        <f t="shared" si="38"/>
        <v>0</v>
      </c>
      <c r="Y43" s="697">
        <f t="shared" si="44"/>
        <v>0</v>
      </c>
      <c r="Z43" s="697">
        <f t="shared" si="44"/>
        <v>0</v>
      </c>
      <c r="AA43" s="697">
        <f t="shared" si="44"/>
        <v>0</v>
      </c>
      <c r="AB43" s="697">
        <f t="shared" si="44"/>
        <v>0</v>
      </c>
      <c r="AC43" s="697">
        <f t="shared" si="44"/>
        <v>0</v>
      </c>
      <c r="AD43" s="697">
        <f t="shared" si="44"/>
        <v>0</v>
      </c>
      <c r="AE43" s="697">
        <f t="shared" si="44"/>
        <v>0</v>
      </c>
      <c r="AF43" s="697">
        <f t="shared" si="44"/>
        <v>0</v>
      </c>
      <c r="AG43" s="697"/>
      <c r="AH43" s="697">
        <f ca="1">IFERROR(1/AH$3,1)*SUMIFS(Data!$AD$3:$AD$305,Data!$Y$3:$Y$305,AH$1,Data!$Z$3:$Z$305,IF(RIGHT(AH$2,3)="YTD","&lt;="&amp;LEFT(AH$2,2)*1,AH$2),Data!$K$3:$K$305,$B19)</f>
        <v>0</v>
      </c>
      <c r="AI43" s="697">
        <f t="shared" ca="1" si="40"/>
        <v>0</v>
      </c>
      <c r="AJ43" s="716">
        <f t="shared" ca="1" si="41"/>
        <v>0</v>
      </c>
      <c r="AL43" s="697">
        <v>271320</v>
      </c>
      <c r="AM43" s="697">
        <v>0</v>
      </c>
    </row>
    <row r="44" spans="1:39" hidden="1" outlineLevel="1" x14ac:dyDescent="0.3">
      <c r="A44" s="437" t="s">
        <v>594</v>
      </c>
      <c r="B44" s="723" t="s">
        <v>569</v>
      </c>
      <c r="C44" s="666" t="s">
        <v>653</v>
      </c>
      <c r="E44" s="697">
        <f t="shared" si="42"/>
        <v>3760.8333333333335</v>
      </c>
      <c r="F44" s="697">
        <f ca="1">IFERROR(1/F$3,1)*SUMIFS(Data!$AD$3:$AD$305,Data!$Y$3:$Y$305,F$1,Data!$Z$3:$Z$305,IF(RIGHT(F$2,3)="YTD","&lt;="&amp;LEFT(F$2,2)*1,F$2),Data!$K$3:$K$305,$B44)</f>
        <v>8796.6666666666661</v>
      </c>
      <c r="G44" s="697">
        <f t="shared" si="43"/>
        <v>20833.333333333332</v>
      </c>
      <c r="H44" s="719"/>
      <c r="I44" s="710">
        <f>IFERROR(1/I$3,1)*SUMIFS(Data!$AD$3:$AD$305,Data!$Y$3:$Y$305,I$1,Data!$Z$3:$Z$305,IF(RIGHT(I$2,3)="YTD","&lt;="&amp;LEFT(I$2,2)*1,I$2),Data!$K$3:$K$305,$B44)</f>
        <v>3180</v>
      </c>
      <c r="J44" s="710">
        <f>IFERROR(1/J$3,1)*SUMIFS(Data!$AD$3:$AD$305,Data!$Y$3:$Y$305,J$1,Data!$Z$3:$Z$305,IF(RIGHT(J$2,3)="YTD","&lt;="&amp;LEFT(J$2,2)*1,J$2),Data!$K$3:$K$305,$B44)</f>
        <v>16910</v>
      </c>
      <c r="K44" s="710">
        <f>IFERROR(1/K$3,1)*SUMIFS(Data!$AD$3:$AD$305,Data!$Y$3:$Y$305,K$1,Data!$Z$3:$Z$305,IF(RIGHT(K$2,3)="YTD","&lt;="&amp;LEFT(K$2,2)*1,K$2),Data!$K$3:$K$305,$B44)</f>
        <v>6300</v>
      </c>
      <c r="L44" s="710">
        <f>IFERROR(1/L$3,1)*SUMIFS(Data!$AD$3:$AD$305,Data!$Y$3:$Y$305,L$1,Data!$Z$3:$Z$305,IF(RIGHT(L$2,3)="YTD","&lt;="&amp;LEFT(L$2,2)*1,L$2),Data!$K$3:$K$305,$B44)</f>
        <v>5950</v>
      </c>
      <c r="M44" s="710">
        <f>IFERROR(1/M$3,1)*SUMIFS(Data!$AD$3:$AD$305,Data!$Y$3:$Y$305,M$1,Data!$Z$3:$Z$305,IF(RIGHT(M$2,3)="YTD","&lt;="&amp;LEFT(M$2,2)*1,M$2),Data!$K$3:$K$305,$B44)</f>
        <v>0</v>
      </c>
      <c r="N44" s="710">
        <f>IFERROR(1/N$3,1)*SUMIFS(Data!$AD$3:$AD$305,Data!$Y$3:$Y$305,N$1,Data!$Z$3:$Z$305,IF(RIGHT(N$2,3)="YTD","&lt;="&amp;LEFT(N$2,2)*1,N$2),Data!$K$3:$K$305,$B44)</f>
        <v>0</v>
      </c>
      <c r="O44" s="710">
        <f>IFERROR(1/O$3,1)*SUMIFS(Data!$AD$3:$AD$305,Data!$Y$3:$Y$305,O$1,Data!$Z$3:$Z$305,IF(RIGHT(O$2,3)="YTD","&lt;="&amp;LEFT(O$2,2)*1,O$2),Data!$K$3:$K$305,$B44)</f>
        <v>0</v>
      </c>
      <c r="P44" s="710">
        <f>IFERROR(1/P$3,1)*SUMIFS(Data!$AD$3:$AD$305,Data!$Y$3:$Y$305,P$1,Data!$Z$3:$Z$305,IF(RIGHT(P$2,3)="YTD","&lt;="&amp;LEFT(P$2,2)*1,P$2),Data!$K$3:$K$305,$B44)</f>
        <v>0</v>
      </c>
      <c r="Q44" s="710">
        <f>IFERROR(1/Q$3,1)*SUMIFS(Data!$AD$3:$AD$305,Data!$Y$3:$Y$305,Q$1,Data!$Z$3:$Z$305,IF(RIGHT(Q$2,3)="YTD","&lt;="&amp;LEFT(Q$2,2)*1,Q$2),Data!$K$3:$K$305,$B44)</f>
        <v>0</v>
      </c>
      <c r="R44" s="710">
        <f>IFERROR(1/R$3,1)*SUMIFS(Data!$AD$3:$AD$305,Data!$Y$3:$Y$305,R$1,Data!$Z$3:$Z$305,IF(RIGHT(R$2,3)="YTD","&lt;="&amp;LEFT(R$2,2)*1,R$2),Data!$K$3:$K$305,$B44)</f>
        <v>0</v>
      </c>
      <c r="S44" s="710">
        <f>IFERROR(1/S$3,1)*SUMIFS(Data!$AD$3:$AD$305,Data!$Y$3:$Y$305,S$1,Data!$Z$3:$Z$305,IF(RIGHT(S$2,3)="YTD","&lt;="&amp;LEFT(S$2,2)*1,S$2),Data!$K$3:$K$305,$B44)</f>
        <v>0</v>
      </c>
      <c r="T44" s="710">
        <f>IFERROR(1/T$3,1)*SUMIFS(Data!$AD$3:$AD$305,Data!$Y$3:$Y$305,T$1,Data!$Z$3:$Z$305,IF(RIGHT(T$2,3)="YTD","&lt;="&amp;LEFT(T$2,2)*1,T$2),Data!$K$3:$K$305,$B44)</f>
        <v>0</v>
      </c>
      <c r="V44" s="697">
        <f t="shared" si="36"/>
        <v>3760.8333333333335</v>
      </c>
      <c r="W44" s="697">
        <f t="shared" ca="1" si="37"/>
        <v>8796.6666666666661</v>
      </c>
      <c r="X44" s="697">
        <f t="shared" si="38"/>
        <v>20833.333333333332</v>
      </c>
      <c r="Y44" s="697">
        <f t="shared" si="44"/>
        <v>20833.333333333332</v>
      </c>
      <c r="Z44" s="697">
        <f t="shared" si="44"/>
        <v>20833.333333333332</v>
      </c>
      <c r="AA44" s="697">
        <f t="shared" si="44"/>
        <v>20833.333333333332</v>
      </c>
      <c r="AB44" s="697">
        <f t="shared" si="44"/>
        <v>20833.333333333332</v>
      </c>
      <c r="AC44" s="697">
        <f t="shared" si="44"/>
        <v>20833.333333333332</v>
      </c>
      <c r="AD44" s="697">
        <f t="shared" si="44"/>
        <v>20833.333333333332</v>
      </c>
      <c r="AE44" s="697">
        <f t="shared" si="44"/>
        <v>20833.333333333332</v>
      </c>
      <c r="AF44" s="697">
        <f t="shared" si="44"/>
        <v>20833.333333333332</v>
      </c>
      <c r="AG44" s="697"/>
      <c r="AH44" s="697">
        <f ca="1">IFERROR(1/AH$3,1)*SUMIFS(Data!$AD$3:$AD$305,Data!$Y$3:$Y$305,AH$1,Data!$Z$3:$Z$305,IF(RIGHT(AH$2,3)="YTD","&lt;="&amp;LEFT(AH$2,2)*1,AH$2),Data!$K$3:$K$305,$B20)</f>
        <v>26390</v>
      </c>
      <c r="AI44" s="697">
        <f t="shared" ca="1" si="40"/>
        <v>83333.333333333328</v>
      </c>
      <c r="AJ44" s="716">
        <f t="shared" ca="1" si="41"/>
        <v>-56943.333333333328</v>
      </c>
      <c r="AL44" s="697">
        <v>45130</v>
      </c>
      <c r="AM44" s="711">
        <v>250000</v>
      </c>
    </row>
    <row r="45" spans="1:39" hidden="1" outlineLevel="1" x14ac:dyDescent="0.3">
      <c r="A45" s="55" t="s">
        <v>589</v>
      </c>
      <c r="B45" s="723" t="s">
        <v>583</v>
      </c>
      <c r="C45" s="666" t="s">
        <v>653</v>
      </c>
      <c r="E45" s="697">
        <f t="shared" si="42"/>
        <v>10592.833333333334</v>
      </c>
      <c r="F45" s="697">
        <f ca="1">IFERROR(1/F$3,1)*SUMIFS(Data!$AD$3:$AD$305,Data!$Y$3:$Y$305,F$1,Data!$Z$3:$Z$305,IF(RIGHT(F$2,3)="YTD","&lt;="&amp;LEFT(F$2,2)*1,F$2),Data!$K$3:$K$305,$B45)</f>
        <v>0</v>
      </c>
      <c r="G45" s="697">
        <f t="shared" si="43"/>
        <v>3750</v>
      </c>
      <c r="H45" s="719"/>
      <c r="I45" s="710">
        <f>IFERROR(1/I$3,1)*SUMIFS(Data!$AD$3:$AD$305,Data!$Y$3:$Y$305,I$1,Data!$Z$3:$Z$305,IF(RIGHT(I$2,3)="YTD","&lt;="&amp;LEFT(I$2,2)*1,I$2),Data!$K$3:$K$305,$B45)</f>
        <v>0</v>
      </c>
      <c r="J45" s="710">
        <f>IFERROR(1/J$3,1)*SUMIFS(Data!$AD$3:$AD$305,Data!$Y$3:$Y$305,J$1,Data!$Z$3:$Z$305,IF(RIGHT(J$2,3)="YTD","&lt;="&amp;LEFT(J$2,2)*1,J$2),Data!$K$3:$K$305,$B45)</f>
        <v>0</v>
      </c>
      <c r="K45" s="710">
        <f>IFERROR(1/K$3,1)*SUMIFS(Data!$AD$3:$AD$305,Data!$Y$3:$Y$305,K$1,Data!$Z$3:$Z$305,IF(RIGHT(K$2,3)="YTD","&lt;="&amp;LEFT(K$2,2)*1,K$2),Data!$K$3:$K$305,$B45)</f>
        <v>0</v>
      </c>
      <c r="L45" s="710">
        <f>IFERROR(1/L$3,1)*SUMIFS(Data!$AD$3:$AD$305,Data!$Y$3:$Y$305,L$1,Data!$Z$3:$Z$305,IF(RIGHT(L$2,3)="YTD","&lt;="&amp;LEFT(L$2,2)*1,L$2),Data!$K$3:$K$305,$B45)</f>
        <v>0</v>
      </c>
      <c r="M45" s="710">
        <f>IFERROR(1/M$3,1)*SUMIFS(Data!$AD$3:$AD$305,Data!$Y$3:$Y$305,M$1,Data!$Z$3:$Z$305,IF(RIGHT(M$2,3)="YTD","&lt;="&amp;LEFT(M$2,2)*1,M$2),Data!$K$3:$K$305,$B45)</f>
        <v>0</v>
      </c>
      <c r="N45" s="710">
        <f>IFERROR(1/N$3,1)*SUMIFS(Data!$AD$3:$AD$305,Data!$Y$3:$Y$305,N$1,Data!$Z$3:$Z$305,IF(RIGHT(N$2,3)="YTD","&lt;="&amp;LEFT(N$2,2)*1,N$2),Data!$K$3:$K$305,$B45)</f>
        <v>0</v>
      </c>
      <c r="O45" s="710">
        <f>IFERROR(1/O$3,1)*SUMIFS(Data!$AD$3:$AD$305,Data!$Y$3:$Y$305,O$1,Data!$Z$3:$Z$305,IF(RIGHT(O$2,3)="YTD","&lt;="&amp;LEFT(O$2,2)*1,O$2),Data!$K$3:$K$305,$B45)</f>
        <v>0</v>
      </c>
      <c r="P45" s="710">
        <f>IFERROR(1/P$3,1)*SUMIFS(Data!$AD$3:$AD$305,Data!$Y$3:$Y$305,P$1,Data!$Z$3:$Z$305,IF(RIGHT(P$2,3)="YTD","&lt;="&amp;LEFT(P$2,2)*1,P$2),Data!$K$3:$K$305,$B45)</f>
        <v>0</v>
      </c>
      <c r="Q45" s="710">
        <f>IFERROR(1/Q$3,1)*SUMIFS(Data!$AD$3:$AD$305,Data!$Y$3:$Y$305,Q$1,Data!$Z$3:$Z$305,IF(RIGHT(Q$2,3)="YTD","&lt;="&amp;LEFT(Q$2,2)*1,Q$2),Data!$K$3:$K$305,$B45)</f>
        <v>0</v>
      </c>
      <c r="R45" s="710">
        <f>IFERROR(1/R$3,1)*SUMIFS(Data!$AD$3:$AD$305,Data!$Y$3:$Y$305,R$1,Data!$Z$3:$Z$305,IF(RIGHT(R$2,3)="YTD","&lt;="&amp;LEFT(R$2,2)*1,R$2),Data!$K$3:$K$305,$B45)</f>
        <v>0</v>
      </c>
      <c r="S45" s="710">
        <f>IFERROR(1/S$3,1)*SUMIFS(Data!$AD$3:$AD$305,Data!$Y$3:$Y$305,S$1,Data!$Z$3:$Z$305,IF(RIGHT(S$2,3)="YTD","&lt;="&amp;LEFT(S$2,2)*1,S$2),Data!$K$3:$K$305,$B45)</f>
        <v>0</v>
      </c>
      <c r="T45" s="710">
        <f>IFERROR(1/T$3,1)*SUMIFS(Data!$AD$3:$AD$305,Data!$Y$3:$Y$305,T$1,Data!$Z$3:$Z$305,IF(RIGHT(T$2,3)="YTD","&lt;="&amp;LEFT(T$2,2)*1,T$2),Data!$K$3:$K$305,$B45)</f>
        <v>0</v>
      </c>
      <c r="V45" s="697">
        <f t="shared" si="36"/>
        <v>10592.833333333334</v>
      </c>
      <c r="W45" s="697">
        <f t="shared" ca="1" si="37"/>
        <v>0</v>
      </c>
      <c r="X45" s="697">
        <f t="shared" si="38"/>
        <v>3750</v>
      </c>
      <c r="Y45" s="697">
        <f t="shared" si="44"/>
        <v>3750</v>
      </c>
      <c r="Z45" s="697">
        <f t="shared" si="44"/>
        <v>3750</v>
      </c>
      <c r="AA45" s="697">
        <f t="shared" si="44"/>
        <v>3750</v>
      </c>
      <c r="AB45" s="697">
        <f t="shared" si="44"/>
        <v>3750</v>
      </c>
      <c r="AC45" s="697">
        <f t="shared" si="44"/>
        <v>3750</v>
      </c>
      <c r="AD45" s="697">
        <f t="shared" si="44"/>
        <v>3750</v>
      </c>
      <c r="AE45" s="697">
        <f t="shared" si="44"/>
        <v>3750</v>
      </c>
      <c r="AF45" s="697">
        <f t="shared" si="44"/>
        <v>3750</v>
      </c>
      <c r="AG45" s="697"/>
      <c r="AH45" s="697">
        <f ca="1">IFERROR(1/AH$3,1)*SUMIFS(Data!$AD$3:$AD$305,Data!$Y$3:$Y$305,AH$1,Data!$Z$3:$Z$305,IF(RIGHT(AH$2,3)="YTD","&lt;="&amp;LEFT(AH$2,2)*1,AH$2),Data!$K$3:$K$305,$B21)</f>
        <v>0</v>
      </c>
      <c r="AI45" s="697">
        <f t="shared" ca="1" si="40"/>
        <v>15000</v>
      </c>
      <c r="AJ45" s="716">
        <f t="shared" ca="1" si="41"/>
        <v>-15000</v>
      </c>
      <c r="AL45" s="697">
        <v>127114</v>
      </c>
      <c r="AM45" s="711">
        <v>45000</v>
      </c>
    </row>
    <row r="46" spans="1:39" hidden="1" outlineLevel="1" x14ac:dyDescent="0.3">
      <c r="A46" s="55" t="s">
        <v>590</v>
      </c>
      <c r="B46" s="723" t="s">
        <v>574</v>
      </c>
      <c r="C46" s="666" t="s">
        <v>653</v>
      </c>
      <c r="E46" s="697">
        <f>$AL46/E$3</f>
        <v>10881.333333333334</v>
      </c>
      <c r="F46" s="697">
        <f ca="1">IFERROR(1/F$3,1)*SUMIFS(Data!$AD$3:$AD$305,Data!$Y$3:$Y$305,F$1,Data!$Z$3:$Z$305,IF(RIGHT(F$2,3)="YTD","&lt;="&amp;LEFT(F$2,2)*1,F$2),Data!$K$3:$K$305,$B46)</f>
        <v>16047.166666666666</v>
      </c>
      <c r="G46" s="697">
        <f t="shared" si="43"/>
        <v>20833.333333333332</v>
      </c>
      <c r="H46" s="719"/>
      <c r="I46" s="710">
        <f>IFERROR(1/I$3,1)*SUMIFS(Data!$AD$3:$AD$305,Data!$Y$3:$Y$305,I$1,Data!$Z$3:$Z$305,IF(RIGHT(I$2,3)="YTD","&lt;="&amp;LEFT(I$2,2)*1,I$2),Data!$K$3:$K$305,$B46)</f>
        <v>3426</v>
      </c>
      <c r="J46" s="710">
        <f>IFERROR(1/J$3,1)*SUMIFS(Data!$AD$3:$AD$305,Data!$Y$3:$Y$305,J$1,Data!$Z$3:$Z$305,IF(RIGHT(J$2,3)="YTD","&lt;="&amp;LEFT(J$2,2)*1,J$2),Data!$K$3:$K$305,$B46)</f>
        <v>10702</v>
      </c>
      <c r="K46" s="710">
        <f>IFERROR(1/K$3,1)*SUMIFS(Data!$AD$3:$AD$305,Data!$Y$3:$Y$305,K$1,Data!$Z$3:$Z$305,IF(RIGHT(K$2,3)="YTD","&lt;="&amp;LEFT(K$2,2)*1,K$2),Data!$K$3:$K$305,$B46)</f>
        <v>34013.5</v>
      </c>
      <c r="L46" s="710">
        <f>IFERROR(1/L$3,1)*SUMIFS(Data!$AD$3:$AD$305,Data!$Y$3:$Y$305,L$1,Data!$Z$3:$Z$305,IF(RIGHT(L$2,3)="YTD","&lt;="&amp;LEFT(L$2,2)*1,L$2),Data!$K$3:$K$305,$B46)</f>
        <v>9558</v>
      </c>
      <c r="M46" s="710">
        <f>IFERROR(1/M$3,1)*SUMIFS(Data!$AD$3:$AD$305,Data!$Y$3:$Y$305,M$1,Data!$Z$3:$Z$305,IF(RIGHT(M$2,3)="YTD","&lt;="&amp;LEFT(M$2,2)*1,M$2),Data!$K$3:$K$305,$B46)</f>
        <v>0</v>
      </c>
      <c r="N46" s="710">
        <f>IFERROR(1/N$3,1)*SUMIFS(Data!$AD$3:$AD$305,Data!$Y$3:$Y$305,N$1,Data!$Z$3:$Z$305,IF(RIGHT(N$2,3)="YTD","&lt;="&amp;LEFT(N$2,2)*1,N$2),Data!$K$3:$K$305,$B46)</f>
        <v>0</v>
      </c>
      <c r="O46" s="710">
        <f>IFERROR(1/O$3,1)*SUMIFS(Data!$AD$3:$AD$305,Data!$Y$3:$Y$305,O$1,Data!$Z$3:$Z$305,IF(RIGHT(O$2,3)="YTD","&lt;="&amp;LEFT(O$2,2)*1,O$2),Data!$K$3:$K$305,$B46)</f>
        <v>0</v>
      </c>
      <c r="P46" s="710">
        <f>IFERROR(1/P$3,1)*SUMIFS(Data!$AD$3:$AD$305,Data!$Y$3:$Y$305,P$1,Data!$Z$3:$Z$305,IF(RIGHT(P$2,3)="YTD","&lt;="&amp;LEFT(P$2,2)*1,P$2),Data!$K$3:$K$305,$B46)</f>
        <v>0</v>
      </c>
      <c r="Q46" s="710">
        <f>IFERROR(1/Q$3,1)*SUMIFS(Data!$AD$3:$AD$305,Data!$Y$3:$Y$305,Q$1,Data!$Z$3:$Z$305,IF(RIGHT(Q$2,3)="YTD","&lt;="&amp;LEFT(Q$2,2)*1,Q$2),Data!$K$3:$K$305,$B46)</f>
        <v>0</v>
      </c>
      <c r="R46" s="710">
        <f>IFERROR(1/R$3,1)*SUMIFS(Data!$AD$3:$AD$305,Data!$Y$3:$Y$305,R$1,Data!$Z$3:$Z$305,IF(RIGHT(R$2,3)="YTD","&lt;="&amp;LEFT(R$2,2)*1,R$2),Data!$K$3:$K$305,$B46)</f>
        <v>0</v>
      </c>
      <c r="S46" s="710">
        <f>IFERROR(1/S$3,1)*SUMIFS(Data!$AD$3:$AD$305,Data!$Y$3:$Y$305,S$1,Data!$Z$3:$Z$305,IF(RIGHT(S$2,3)="YTD","&lt;="&amp;LEFT(S$2,2)*1,S$2),Data!$K$3:$K$305,$B46)</f>
        <v>0</v>
      </c>
      <c r="T46" s="710">
        <f>IFERROR(1/T$3,1)*SUMIFS(Data!$AD$3:$AD$305,Data!$Y$3:$Y$305,T$1,Data!$Z$3:$Z$305,IF(RIGHT(T$2,3)="YTD","&lt;="&amp;LEFT(T$2,2)*1,T$2),Data!$K$3:$K$305,$B46)</f>
        <v>0</v>
      </c>
      <c r="V46" s="697">
        <f t="shared" si="36"/>
        <v>10881.333333333334</v>
      </c>
      <c r="W46" s="697">
        <f t="shared" ca="1" si="37"/>
        <v>16047.166666666666</v>
      </c>
      <c r="X46" s="697">
        <f t="shared" si="38"/>
        <v>20833.333333333332</v>
      </c>
      <c r="Y46" s="697">
        <f t="shared" si="44"/>
        <v>20833.333333333332</v>
      </c>
      <c r="Z46" s="697">
        <f t="shared" si="44"/>
        <v>20833.333333333332</v>
      </c>
      <c r="AA46" s="697">
        <f t="shared" si="44"/>
        <v>20833.333333333332</v>
      </c>
      <c r="AB46" s="697">
        <f t="shared" si="44"/>
        <v>20833.333333333332</v>
      </c>
      <c r="AC46" s="697">
        <f t="shared" si="44"/>
        <v>20833.333333333332</v>
      </c>
      <c r="AD46" s="697">
        <f t="shared" si="44"/>
        <v>20833.333333333332</v>
      </c>
      <c r="AE46" s="697">
        <f t="shared" si="44"/>
        <v>20833.333333333332</v>
      </c>
      <c r="AF46" s="697">
        <f t="shared" si="44"/>
        <v>20833.333333333332</v>
      </c>
      <c r="AG46" s="697"/>
      <c r="AH46" s="697">
        <f ca="1">IFERROR(1/AH$3,1)*SUMIFS(Data!$AD$3:$AD$305,Data!$Y$3:$Y$305,AH$1,Data!$Z$3:$Z$305,IF(RIGHT(AH$2,3)="YTD","&lt;="&amp;LEFT(AH$2,2)*1,AH$2),Data!$K$3:$K$305,$B22)</f>
        <v>48141.5</v>
      </c>
      <c r="AI46" s="697">
        <f t="shared" ca="1" si="40"/>
        <v>83333.333333333328</v>
      </c>
      <c r="AJ46" s="716">
        <f t="shared" ca="1" si="41"/>
        <v>-35191.833333333328</v>
      </c>
      <c r="AL46" s="697">
        <v>130576</v>
      </c>
      <c r="AM46" s="711">
        <v>250000</v>
      </c>
    </row>
    <row r="47" spans="1:39" hidden="1" outlineLevel="1" x14ac:dyDescent="0.3">
      <c r="A47" s="437" t="s">
        <v>591</v>
      </c>
      <c r="B47" s="723" t="s">
        <v>592</v>
      </c>
      <c r="C47" s="666" t="s">
        <v>653</v>
      </c>
      <c r="E47" s="697">
        <f t="shared" si="42"/>
        <v>742</v>
      </c>
      <c r="F47" s="697">
        <f ca="1">IFERROR(1/F$3,1)*SUMIFS(Data!$AD$3:$AD$305,Data!$Y$3:$Y$305,F$1,Data!$Z$3:$Z$305,IF(RIGHT(F$2,3)="YTD","&lt;="&amp;LEFT(F$2,2)*1,F$2),Data!$K$3:$K$305,$B47)</f>
        <v>2553.6666666666665</v>
      </c>
      <c r="G47" s="697">
        <f t="shared" si="43"/>
        <v>0</v>
      </c>
      <c r="H47" s="719"/>
      <c r="I47" s="710">
        <f>IFERROR(1/I$3,1)*SUMIFS(Data!$AD$3:$AD$305,Data!$Y$3:$Y$305,I$1,Data!$Z$3:$Z$305,IF(RIGHT(I$2,3)="YTD","&lt;="&amp;LEFT(I$2,2)*1,I$2),Data!$K$3:$K$305,$B47)</f>
        <v>0</v>
      </c>
      <c r="J47" s="710">
        <f>IFERROR(1/J$3,1)*SUMIFS(Data!$AD$3:$AD$305,Data!$Y$3:$Y$305,J$1,Data!$Z$3:$Z$305,IF(RIGHT(J$2,3)="YTD","&lt;="&amp;LEFT(J$2,2)*1,J$2),Data!$K$3:$K$305,$B47)</f>
        <v>7661</v>
      </c>
      <c r="K47" s="710">
        <f>IFERROR(1/K$3,1)*SUMIFS(Data!$AD$3:$AD$305,Data!$Y$3:$Y$305,K$1,Data!$Z$3:$Z$305,IF(RIGHT(K$2,3)="YTD","&lt;="&amp;LEFT(K$2,2)*1,K$2),Data!$K$3:$K$305,$B47)</f>
        <v>0</v>
      </c>
      <c r="L47" s="710">
        <f>IFERROR(1/L$3,1)*SUMIFS(Data!$AD$3:$AD$305,Data!$Y$3:$Y$305,L$1,Data!$Z$3:$Z$305,IF(RIGHT(L$2,3)="YTD","&lt;="&amp;LEFT(L$2,2)*1,L$2),Data!$K$3:$K$305,$B47)</f>
        <v>0</v>
      </c>
      <c r="M47" s="710">
        <f>IFERROR(1/M$3,1)*SUMIFS(Data!$AD$3:$AD$305,Data!$Y$3:$Y$305,M$1,Data!$Z$3:$Z$305,IF(RIGHT(M$2,3)="YTD","&lt;="&amp;LEFT(M$2,2)*1,M$2),Data!$K$3:$K$305,$B47)</f>
        <v>0</v>
      </c>
      <c r="N47" s="710">
        <f>IFERROR(1/N$3,1)*SUMIFS(Data!$AD$3:$AD$305,Data!$Y$3:$Y$305,N$1,Data!$Z$3:$Z$305,IF(RIGHT(N$2,3)="YTD","&lt;="&amp;LEFT(N$2,2)*1,N$2),Data!$K$3:$K$305,$B47)</f>
        <v>0</v>
      </c>
      <c r="O47" s="710">
        <f>IFERROR(1/O$3,1)*SUMIFS(Data!$AD$3:$AD$305,Data!$Y$3:$Y$305,O$1,Data!$Z$3:$Z$305,IF(RIGHT(O$2,3)="YTD","&lt;="&amp;LEFT(O$2,2)*1,O$2),Data!$K$3:$K$305,$B47)</f>
        <v>0</v>
      </c>
      <c r="P47" s="710">
        <f>IFERROR(1/P$3,1)*SUMIFS(Data!$AD$3:$AD$305,Data!$Y$3:$Y$305,P$1,Data!$Z$3:$Z$305,IF(RIGHT(P$2,3)="YTD","&lt;="&amp;LEFT(P$2,2)*1,P$2),Data!$K$3:$K$305,$B47)</f>
        <v>0</v>
      </c>
      <c r="Q47" s="710">
        <f>IFERROR(1/Q$3,1)*SUMIFS(Data!$AD$3:$AD$305,Data!$Y$3:$Y$305,Q$1,Data!$Z$3:$Z$305,IF(RIGHT(Q$2,3)="YTD","&lt;="&amp;LEFT(Q$2,2)*1,Q$2),Data!$K$3:$K$305,$B47)</f>
        <v>0</v>
      </c>
      <c r="R47" s="710">
        <f>IFERROR(1/R$3,1)*SUMIFS(Data!$AD$3:$AD$305,Data!$Y$3:$Y$305,R$1,Data!$Z$3:$Z$305,IF(RIGHT(R$2,3)="YTD","&lt;="&amp;LEFT(R$2,2)*1,R$2),Data!$K$3:$K$305,$B47)</f>
        <v>0</v>
      </c>
      <c r="S47" s="710">
        <f>IFERROR(1/S$3,1)*SUMIFS(Data!$AD$3:$AD$305,Data!$Y$3:$Y$305,S$1,Data!$Z$3:$Z$305,IF(RIGHT(S$2,3)="YTD","&lt;="&amp;LEFT(S$2,2)*1,S$2),Data!$K$3:$K$305,$B47)</f>
        <v>0</v>
      </c>
      <c r="T47" s="710">
        <f>IFERROR(1/T$3,1)*SUMIFS(Data!$AD$3:$AD$305,Data!$Y$3:$Y$305,T$1,Data!$Z$3:$Z$305,IF(RIGHT(T$2,3)="YTD","&lt;="&amp;LEFT(T$2,2)*1,T$2),Data!$K$3:$K$305,$B47)</f>
        <v>0</v>
      </c>
      <c r="V47" s="697">
        <f t="shared" si="36"/>
        <v>742</v>
      </c>
      <c r="W47" s="697">
        <f t="shared" ca="1" si="37"/>
        <v>2553.6666666666665</v>
      </c>
      <c r="X47" s="697">
        <f t="shared" si="38"/>
        <v>0</v>
      </c>
      <c r="Y47" s="697">
        <f t="shared" si="44"/>
        <v>0</v>
      </c>
      <c r="Z47" s="697">
        <f t="shared" si="44"/>
        <v>0</v>
      </c>
      <c r="AA47" s="697">
        <f t="shared" si="44"/>
        <v>0</v>
      </c>
      <c r="AB47" s="697">
        <f t="shared" si="44"/>
        <v>0</v>
      </c>
      <c r="AC47" s="697">
        <f t="shared" si="44"/>
        <v>0</v>
      </c>
      <c r="AD47" s="697">
        <f t="shared" si="44"/>
        <v>0</v>
      </c>
      <c r="AE47" s="697">
        <f t="shared" si="44"/>
        <v>0</v>
      </c>
      <c r="AF47" s="697">
        <f t="shared" si="44"/>
        <v>0</v>
      </c>
      <c r="AG47" s="697"/>
      <c r="AH47" s="697">
        <f ca="1">IFERROR(1/AH$3,1)*SUMIFS(Data!$AD$3:$AD$305,Data!$Y$3:$Y$305,AH$1,Data!$Z$3:$Z$305,IF(RIGHT(AH$2,3)="YTD","&lt;="&amp;LEFT(AH$2,2)*1,AH$2),Data!$K$3:$K$305,$B23)</f>
        <v>7661</v>
      </c>
      <c r="AI47" s="697">
        <f t="shared" ca="1" si="40"/>
        <v>0</v>
      </c>
      <c r="AJ47" s="716">
        <f t="shared" ca="1" si="41"/>
        <v>7661</v>
      </c>
      <c r="AL47" s="697">
        <v>8904</v>
      </c>
      <c r="AM47" s="697">
        <v>0</v>
      </c>
    </row>
    <row r="48" spans="1:39" hidden="1" outlineLevel="1" x14ac:dyDescent="0.3">
      <c r="B48" s="723" t="s">
        <v>584</v>
      </c>
      <c r="C48" s="666" t="s">
        <v>653</v>
      </c>
      <c r="E48" s="697">
        <f t="shared" si="42"/>
        <v>22610</v>
      </c>
      <c r="F48" s="697">
        <f ca="1">IFERROR(1/F$3,1)*SUMIFS(Data!$AD$3:$AD$305,Data!$Y$3:$Y$305,F$1,Data!$Z$3:$Z$305,IF(RIGHT(F$2,3)="YTD","&lt;="&amp;LEFT(F$2,2)*1,F$2),Data!$K$3:$K$305,$B48)</f>
        <v>0</v>
      </c>
      <c r="G48" s="697">
        <f t="shared" si="43"/>
        <v>0</v>
      </c>
      <c r="H48" s="719"/>
      <c r="I48" s="710">
        <f>IFERROR(1/I$3,1)*SUMIFS(Data!$AD$3:$AD$305,Data!$Y$3:$Y$305,I$1,Data!$Z$3:$Z$305,IF(RIGHT(I$2,3)="YTD","&lt;="&amp;LEFT(I$2,2)*1,I$2),Data!$K$3:$K$305,$B48)</f>
        <v>0</v>
      </c>
      <c r="J48" s="710">
        <f>IFERROR(1/J$3,1)*SUMIFS(Data!$AD$3:$AD$305,Data!$Y$3:$Y$305,J$1,Data!$Z$3:$Z$305,IF(RIGHT(J$2,3)="YTD","&lt;="&amp;LEFT(J$2,2)*1,J$2),Data!$K$3:$K$305,$B48)</f>
        <v>0</v>
      </c>
      <c r="K48" s="710">
        <f>IFERROR(1/K$3,1)*SUMIFS(Data!$AD$3:$AD$305,Data!$Y$3:$Y$305,K$1,Data!$Z$3:$Z$305,IF(RIGHT(K$2,3)="YTD","&lt;="&amp;LEFT(K$2,2)*1,K$2),Data!$K$3:$K$305,$B48)</f>
        <v>0</v>
      </c>
      <c r="L48" s="710">
        <f>IFERROR(1/L$3,1)*SUMIFS(Data!$AD$3:$AD$305,Data!$Y$3:$Y$305,L$1,Data!$Z$3:$Z$305,IF(RIGHT(L$2,3)="YTD","&lt;="&amp;LEFT(L$2,2)*1,L$2),Data!$K$3:$K$305,$B48)</f>
        <v>0</v>
      </c>
      <c r="M48" s="710">
        <f>IFERROR(1/M$3,1)*SUMIFS(Data!$AD$3:$AD$305,Data!$Y$3:$Y$305,M$1,Data!$Z$3:$Z$305,IF(RIGHT(M$2,3)="YTD","&lt;="&amp;LEFT(M$2,2)*1,M$2),Data!$K$3:$K$305,$B48)</f>
        <v>0</v>
      </c>
      <c r="N48" s="710">
        <f>IFERROR(1/N$3,1)*SUMIFS(Data!$AD$3:$AD$305,Data!$Y$3:$Y$305,N$1,Data!$Z$3:$Z$305,IF(RIGHT(N$2,3)="YTD","&lt;="&amp;LEFT(N$2,2)*1,N$2),Data!$K$3:$K$305,$B48)</f>
        <v>0</v>
      </c>
      <c r="O48" s="710">
        <f>IFERROR(1/O$3,1)*SUMIFS(Data!$AD$3:$AD$305,Data!$Y$3:$Y$305,O$1,Data!$Z$3:$Z$305,IF(RIGHT(O$2,3)="YTD","&lt;="&amp;LEFT(O$2,2)*1,O$2),Data!$K$3:$K$305,$B48)</f>
        <v>0</v>
      </c>
      <c r="P48" s="710">
        <f>IFERROR(1/P$3,1)*SUMIFS(Data!$AD$3:$AD$305,Data!$Y$3:$Y$305,P$1,Data!$Z$3:$Z$305,IF(RIGHT(P$2,3)="YTD","&lt;="&amp;LEFT(P$2,2)*1,P$2),Data!$K$3:$K$305,$B48)</f>
        <v>0</v>
      </c>
      <c r="Q48" s="710">
        <f>IFERROR(1/Q$3,1)*SUMIFS(Data!$AD$3:$AD$305,Data!$Y$3:$Y$305,Q$1,Data!$Z$3:$Z$305,IF(RIGHT(Q$2,3)="YTD","&lt;="&amp;LEFT(Q$2,2)*1,Q$2),Data!$K$3:$K$305,$B48)</f>
        <v>0</v>
      </c>
      <c r="R48" s="710">
        <f>IFERROR(1/R$3,1)*SUMIFS(Data!$AD$3:$AD$305,Data!$Y$3:$Y$305,R$1,Data!$Z$3:$Z$305,IF(RIGHT(R$2,3)="YTD","&lt;="&amp;LEFT(R$2,2)*1,R$2),Data!$K$3:$K$305,$B48)</f>
        <v>0</v>
      </c>
      <c r="S48" s="710">
        <f>IFERROR(1/S$3,1)*SUMIFS(Data!$AD$3:$AD$305,Data!$Y$3:$Y$305,S$1,Data!$Z$3:$Z$305,IF(RIGHT(S$2,3)="YTD","&lt;="&amp;LEFT(S$2,2)*1,S$2),Data!$K$3:$K$305,$B48)</f>
        <v>0</v>
      </c>
      <c r="T48" s="710">
        <f>IFERROR(1/T$3,1)*SUMIFS(Data!$AD$3:$AD$305,Data!$Y$3:$Y$305,T$1,Data!$Z$3:$Z$305,IF(RIGHT(T$2,3)="YTD","&lt;="&amp;LEFT(T$2,2)*1,T$2),Data!$K$3:$K$305,$B48)</f>
        <v>0</v>
      </c>
      <c r="V48" s="697">
        <f t="shared" si="36"/>
        <v>22610</v>
      </c>
      <c r="W48" s="697">
        <f t="shared" ca="1" si="37"/>
        <v>0</v>
      </c>
      <c r="X48" s="697">
        <f t="shared" si="38"/>
        <v>0</v>
      </c>
      <c r="Y48" s="697">
        <f t="shared" si="44"/>
        <v>0</v>
      </c>
      <c r="Z48" s="697">
        <f t="shared" si="44"/>
        <v>0</v>
      </c>
      <c r="AA48" s="697">
        <f t="shared" si="44"/>
        <v>0</v>
      </c>
      <c r="AB48" s="697">
        <f t="shared" si="44"/>
        <v>0</v>
      </c>
      <c r="AC48" s="697">
        <f t="shared" si="44"/>
        <v>0</v>
      </c>
      <c r="AD48" s="697">
        <f t="shared" si="44"/>
        <v>0</v>
      </c>
      <c r="AE48" s="697">
        <f t="shared" si="44"/>
        <v>0</v>
      </c>
      <c r="AF48" s="697">
        <f t="shared" si="44"/>
        <v>0</v>
      </c>
      <c r="AG48" s="697"/>
      <c r="AH48" s="697">
        <f ca="1">IFERROR(1/AH$3,1)*SUMIFS(Data!$AD$3:$AD$305,Data!$Y$3:$Y$305,AH$1,Data!$Z$3:$Z$305,IF(RIGHT(AH$2,3)="YTD","&lt;="&amp;LEFT(AH$2,2)*1,AH$2),Data!$K$3:$K$305,$B24)</f>
        <v>0</v>
      </c>
      <c r="AI48" s="697">
        <f t="shared" ca="1" si="40"/>
        <v>0</v>
      </c>
      <c r="AJ48" s="716">
        <f t="shared" ca="1" si="41"/>
        <v>0</v>
      </c>
      <c r="AL48" s="697">
        <v>271320</v>
      </c>
      <c r="AM48" s="697">
        <v>0</v>
      </c>
    </row>
    <row r="49" spans="2:47" s="391" customFormat="1" hidden="1" outlineLevel="1" x14ac:dyDescent="0.3">
      <c r="B49" s="724" t="s">
        <v>601</v>
      </c>
      <c r="C49" s="666" t="s">
        <v>653</v>
      </c>
      <c r="D49" s="437"/>
      <c r="E49" s="711"/>
      <c r="F49" s="711"/>
      <c r="G49" s="697"/>
      <c r="H49" s="719"/>
      <c r="I49" s="712">
        <f>SUM(I39:I48)</f>
        <v>9356</v>
      </c>
      <c r="J49" s="712">
        <f t="shared" ref="J49:AA49" si="45">SUM(J39:J48)</f>
        <v>35273</v>
      </c>
      <c r="K49" s="712">
        <f t="shared" si="45"/>
        <v>48892.5</v>
      </c>
      <c r="L49" s="712">
        <f t="shared" si="45"/>
        <v>15508</v>
      </c>
      <c r="M49" s="712">
        <f t="shared" si="45"/>
        <v>0</v>
      </c>
      <c r="N49" s="712">
        <f t="shared" si="45"/>
        <v>0</v>
      </c>
      <c r="O49" s="712">
        <f t="shared" si="45"/>
        <v>0</v>
      </c>
      <c r="P49" s="712">
        <f t="shared" si="45"/>
        <v>0</v>
      </c>
      <c r="Q49" s="712">
        <f t="shared" si="45"/>
        <v>0</v>
      </c>
      <c r="R49" s="712">
        <f t="shared" si="45"/>
        <v>0</v>
      </c>
      <c r="S49" s="712">
        <f t="shared" si="45"/>
        <v>0</v>
      </c>
      <c r="T49" s="712">
        <f t="shared" si="45"/>
        <v>0</v>
      </c>
      <c r="U49" s="712"/>
      <c r="V49" s="712">
        <f t="shared" ref="V49:W49" si="46">SUM(V39:V48)</f>
        <v>133881.45833333331</v>
      </c>
      <c r="W49" s="712">
        <f t="shared" ca="1" si="46"/>
        <v>31173.833333333332</v>
      </c>
      <c r="X49" s="712">
        <f t="shared" si="45"/>
        <v>76250</v>
      </c>
      <c r="Y49" s="712">
        <f t="shared" si="45"/>
        <v>76250</v>
      </c>
      <c r="Z49" s="712">
        <f t="shared" si="45"/>
        <v>76250</v>
      </c>
      <c r="AA49" s="712">
        <f t="shared" si="45"/>
        <v>76250</v>
      </c>
      <c r="AB49" s="711"/>
      <c r="AC49" s="711"/>
      <c r="AD49" s="711"/>
      <c r="AE49" s="711"/>
      <c r="AF49" s="711"/>
      <c r="AG49" s="711"/>
      <c r="AH49" s="711">
        <f ca="1">SUM(AH39:AH48)</f>
        <v>93521.5</v>
      </c>
      <c r="AI49" s="711">
        <f ca="1">SUM(AI39:AI48)</f>
        <v>305000</v>
      </c>
      <c r="AJ49" s="711">
        <f ca="1">SUM(AJ39:AJ48)</f>
        <v>-211478.5</v>
      </c>
      <c r="AK49" s="437"/>
      <c r="AL49" s="711">
        <v>1606577.5</v>
      </c>
      <c r="AM49" s="711">
        <f>SUM(AM39:AM48)</f>
        <v>915000</v>
      </c>
    </row>
    <row r="50" spans="2:47" hidden="1" outlineLevel="1" x14ac:dyDescent="0.3">
      <c r="B50" s="726" t="s">
        <v>593</v>
      </c>
      <c r="C50" s="666" t="s">
        <v>653</v>
      </c>
      <c r="E50" s="713">
        <f t="shared" si="42"/>
        <v>245265.98583333334</v>
      </c>
      <c r="F50" s="713">
        <f ca="1">SUM(I50:T50)/LEFT($F$2,2)</f>
        <v>287294.10333333333</v>
      </c>
      <c r="G50" s="713">
        <f t="shared" si="43"/>
        <v>552500</v>
      </c>
      <c r="H50" s="719"/>
      <c r="I50" s="714">
        <f>Reporting!C74</f>
        <v>387460</v>
      </c>
      <c r="J50" s="714">
        <f>Reporting!D74</f>
        <v>296375.80999999994</v>
      </c>
      <c r="K50" s="714">
        <f>Reporting!E74</f>
        <v>176379.5</v>
      </c>
      <c r="L50" s="714">
        <f>Reporting!F74</f>
        <v>1667</v>
      </c>
      <c r="M50" s="714">
        <f>Reporting!G74</f>
        <v>0</v>
      </c>
      <c r="N50" s="704">
        <f>Reporting!H74</f>
        <v>0</v>
      </c>
      <c r="O50" s="704">
        <f>Reporting!I74</f>
        <v>0</v>
      </c>
      <c r="P50" s="704">
        <f>Reporting!J74</f>
        <v>0</v>
      </c>
      <c r="Q50" s="704">
        <f>Reporting!K74</f>
        <v>0</v>
      </c>
      <c r="R50" s="704">
        <f>Reporting!L74</f>
        <v>0</v>
      </c>
      <c r="S50" s="704">
        <f>Reporting!M74</f>
        <v>0</v>
      </c>
      <c r="T50" s="704">
        <f>Reporting!N74</f>
        <v>0</v>
      </c>
      <c r="V50" s="703">
        <f>E50</f>
        <v>245265.98583333334</v>
      </c>
      <c r="W50" s="703">
        <f ca="1">F50</f>
        <v>287294.10333333333</v>
      </c>
      <c r="X50" s="703">
        <f>G50</f>
        <v>552500</v>
      </c>
      <c r="Y50" s="713">
        <f>G50</f>
        <v>552500</v>
      </c>
      <c r="Z50" s="713">
        <f>G50</f>
        <v>552500</v>
      </c>
      <c r="AA50" s="713">
        <f>G50</f>
        <v>552500</v>
      </c>
      <c r="AB50" s="713">
        <f>X50</f>
        <v>552500</v>
      </c>
      <c r="AC50" s="713">
        <f>X50</f>
        <v>552500</v>
      </c>
      <c r="AD50" s="713">
        <f>X50</f>
        <v>552500</v>
      </c>
      <c r="AE50" s="713">
        <f>X50</f>
        <v>552500</v>
      </c>
      <c r="AF50" s="713">
        <f>AB50</f>
        <v>552500</v>
      </c>
      <c r="AG50" s="713"/>
      <c r="AH50" s="713">
        <f>SUM(I50:T50)</f>
        <v>861882.30999999994</v>
      </c>
      <c r="AI50" s="713">
        <f ca="1">AM50/12*$C$5</f>
        <v>2210000</v>
      </c>
      <c r="AJ50" s="721"/>
      <c r="AL50" s="713">
        <v>2943191.83</v>
      </c>
      <c r="AM50" s="736">
        <v>6630000</v>
      </c>
    </row>
    <row r="51" spans="2:47" s="391" customFormat="1" hidden="1" outlineLevel="1" x14ac:dyDescent="0.3">
      <c r="B51" s="724" t="s">
        <v>602</v>
      </c>
      <c r="C51" s="666" t="s">
        <v>653</v>
      </c>
      <c r="D51" s="437"/>
      <c r="E51" s="711"/>
      <c r="F51" s="711"/>
      <c r="G51" s="697"/>
      <c r="H51" s="719"/>
      <c r="I51" s="712">
        <f>I49+I50</f>
        <v>396816</v>
      </c>
      <c r="J51" s="712">
        <f t="shared" ref="J51:K51" si="47">J49+J50</f>
        <v>331648.80999999994</v>
      </c>
      <c r="K51" s="712">
        <f t="shared" si="47"/>
        <v>225272</v>
      </c>
      <c r="L51" s="712">
        <f>L49+L50</f>
        <v>17175</v>
      </c>
      <c r="M51" s="712">
        <f t="shared" ref="M51:T51" si="48">M49+M50</f>
        <v>0</v>
      </c>
      <c r="N51" s="712">
        <f t="shared" si="48"/>
        <v>0</v>
      </c>
      <c r="O51" s="712">
        <f t="shared" si="48"/>
        <v>0</v>
      </c>
      <c r="P51" s="712">
        <f t="shared" si="48"/>
        <v>0</v>
      </c>
      <c r="Q51" s="712">
        <f t="shared" si="48"/>
        <v>0</v>
      </c>
      <c r="R51" s="712">
        <f t="shared" si="48"/>
        <v>0</v>
      </c>
      <c r="S51" s="712">
        <f t="shared" si="48"/>
        <v>0</v>
      </c>
      <c r="T51" s="712">
        <f t="shared" si="48"/>
        <v>0</v>
      </c>
      <c r="U51" s="712"/>
      <c r="V51" s="712">
        <f t="shared" ref="V51:W51" si="49">V49+V50</f>
        <v>379147.44416666665</v>
      </c>
      <c r="W51" s="712">
        <f t="shared" ca="1" si="49"/>
        <v>318467.93666666665</v>
      </c>
      <c r="X51" s="712">
        <f t="shared" ref="X51:AA51" si="50">X49+X50</f>
        <v>628750</v>
      </c>
      <c r="Y51" s="712">
        <f t="shared" si="50"/>
        <v>628750</v>
      </c>
      <c r="Z51" s="712">
        <f t="shared" si="50"/>
        <v>628750</v>
      </c>
      <c r="AA51" s="712">
        <f t="shared" si="50"/>
        <v>628750</v>
      </c>
      <c r="AB51" s="711">
        <f>Y51</f>
        <v>628750</v>
      </c>
      <c r="AC51" s="711">
        <f>Z51</f>
        <v>628750</v>
      </c>
      <c r="AD51" s="711">
        <f t="shared" ref="AD51" si="51">Z51</f>
        <v>628750</v>
      </c>
      <c r="AE51" s="711">
        <f t="shared" ref="AE51" si="52">Z51</f>
        <v>628750</v>
      </c>
      <c r="AF51" s="711">
        <f t="shared" ref="AF51" si="53">Z51</f>
        <v>628750</v>
      </c>
      <c r="AG51" s="711"/>
      <c r="AH51" s="711">
        <f>SUM(I51:S51)</f>
        <v>970911.80999999994</v>
      </c>
      <c r="AI51" s="711">
        <f ca="1">AF51*C5</f>
        <v>2515000</v>
      </c>
      <c r="AJ51" s="715"/>
      <c r="AK51" s="437"/>
      <c r="AL51" s="711">
        <f ca="1">SUM(M51:Y51)</f>
        <v>1955115.3808333334</v>
      </c>
      <c r="AM51" s="711"/>
      <c r="AN51" s="685"/>
      <c r="AO51" s="685"/>
      <c r="AP51" s="685"/>
      <c r="AQ51" s="685"/>
      <c r="AR51" s="685"/>
      <c r="AS51" s="685"/>
      <c r="AT51" s="685"/>
      <c r="AU51" s="685"/>
    </row>
    <row r="52" spans="2:47" s="391" customFormat="1" collapsed="1" x14ac:dyDescent="0.3">
      <c r="B52" s="724"/>
      <c r="C52" s="666"/>
      <c r="D52" s="437"/>
      <c r="E52" s="711"/>
      <c r="F52" s="711"/>
      <c r="G52" s="697"/>
      <c r="H52" s="719"/>
      <c r="I52" s="712"/>
      <c r="J52" s="712"/>
      <c r="K52" s="712"/>
      <c r="L52" s="712"/>
      <c r="M52" s="712"/>
      <c r="N52" s="702"/>
      <c r="O52" s="702"/>
      <c r="P52" s="702"/>
      <c r="Q52" s="702"/>
      <c r="R52" s="702"/>
      <c r="S52" s="702"/>
      <c r="T52" s="702"/>
      <c r="U52" s="437"/>
      <c r="V52" s="701"/>
      <c r="W52" s="701"/>
      <c r="X52" s="701"/>
      <c r="Y52" s="711"/>
      <c r="Z52" s="711"/>
      <c r="AA52" s="711"/>
      <c r="AB52" s="711"/>
      <c r="AC52" s="711"/>
      <c r="AD52" s="711"/>
      <c r="AE52" s="711"/>
      <c r="AF52" s="711"/>
      <c r="AG52" s="711"/>
      <c r="AH52" s="711"/>
      <c r="AI52" s="711"/>
      <c r="AJ52" s="715"/>
      <c r="AK52" s="437"/>
      <c r="AL52" s="711"/>
      <c r="AM52" s="711"/>
      <c r="AN52" s="685"/>
      <c r="AO52" s="685"/>
      <c r="AP52" s="685"/>
      <c r="AQ52" s="685"/>
      <c r="AR52" s="685"/>
      <c r="AS52" s="685"/>
      <c r="AT52" s="685"/>
      <c r="AU52" s="685"/>
    </row>
    <row r="53" spans="2:47" hidden="1" outlineLevel="1" x14ac:dyDescent="0.3">
      <c r="B53" s="728"/>
      <c r="C53" s="387"/>
      <c r="E53" s="706"/>
      <c r="F53" s="706"/>
      <c r="G53" s="706"/>
      <c r="I53" s="706"/>
      <c r="J53" s="706"/>
      <c r="K53" s="706"/>
      <c r="L53" s="706"/>
      <c r="M53" s="706"/>
      <c r="N53" s="706"/>
      <c r="O53" s="706"/>
      <c r="P53" s="706"/>
      <c r="Q53" s="706"/>
      <c r="R53" s="706"/>
      <c r="S53" s="706"/>
      <c r="T53" s="706"/>
      <c r="V53" s="706"/>
      <c r="W53" s="706"/>
      <c r="X53" s="706"/>
      <c r="Y53" s="706"/>
      <c r="Z53" s="706"/>
      <c r="AA53" s="706"/>
      <c r="AB53" s="706"/>
      <c r="AC53" s="706"/>
      <c r="AD53" s="706"/>
      <c r="AE53" s="706"/>
      <c r="AL53" s="656"/>
      <c r="AM53" s="437"/>
    </row>
    <row r="54" spans="2:47" s="739" customFormat="1" hidden="1" outlineLevel="1" x14ac:dyDescent="0.3">
      <c r="C54" s="740"/>
      <c r="D54" s="741"/>
      <c r="E54" s="742" t="s">
        <v>550</v>
      </c>
      <c r="F54" s="743" t="s">
        <v>551</v>
      </c>
      <c r="G54" s="744" t="s">
        <v>788</v>
      </c>
      <c r="H54" s="745"/>
      <c r="I54" s="743" t="str">
        <f t="shared" ref="I54:T54" si="54">TEXT(I$2,"00")&amp;" "&amp;I$1</f>
        <v>01 2022</v>
      </c>
      <c r="J54" s="743" t="str">
        <f t="shared" si="54"/>
        <v>02 2022</v>
      </c>
      <c r="K54" s="743" t="str">
        <f t="shared" si="54"/>
        <v>03 2022</v>
      </c>
      <c r="L54" s="743" t="str">
        <f t="shared" si="54"/>
        <v>04 2022</v>
      </c>
      <c r="M54" s="743" t="str">
        <f t="shared" si="54"/>
        <v>05 2022</v>
      </c>
      <c r="N54" s="743" t="str">
        <f t="shared" si="54"/>
        <v>06 2022</v>
      </c>
      <c r="O54" s="743" t="str">
        <f t="shared" si="54"/>
        <v>07 2022</v>
      </c>
      <c r="P54" s="743" t="str">
        <f t="shared" si="54"/>
        <v>08 2022</v>
      </c>
      <c r="Q54" s="743" t="str">
        <f t="shared" si="54"/>
        <v>09 2022</v>
      </c>
      <c r="R54" s="743" t="str">
        <f t="shared" si="54"/>
        <v>10 2022</v>
      </c>
      <c r="S54" s="743" t="str">
        <f t="shared" si="54"/>
        <v>11 2022</v>
      </c>
      <c r="T54" s="743" t="str">
        <f t="shared" si="54"/>
        <v>12 2022</v>
      </c>
      <c r="U54" s="745"/>
      <c r="V54" s="746" t="s">
        <v>553</v>
      </c>
      <c r="W54" s="746" t="s">
        <v>553</v>
      </c>
      <c r="X54" s="746" t="s">
        <v>553</v>
      </c>
      <c r="Y54" s="746" t="s">
        <v>558</v>
      </c>
      <c r="Z54" s="746" t="s">
        <v>558</v>
      </c>
      <c r="AA54" s="746" t="s">
        <v>558</v>
      </c>
      <c r="AB54" s="746" t="s">
        <v>558</v>
      </c>
      <c r="AC54" s="746" t="s">
        <v>558</v>
      </c>
      <c r="AD54" s="746" t="s">
        <v>558</v>
      </c>
      <c r="AE54" s="746" t="s">
        <v>558</v>
      </c>
      <c r="AF54" s="746" t="s">
        <v>558</v>
      </c>
      <c r="AG54" s="740"/>
      <c r="AH54" s="743" t="str">
        <f ca="1">AH$2&amp;" "&amp;AH$1</f>
        <v>3 YTD 2022</v>
      </c>
      <c r="AI54" s="744" t="str">
        <f ca="1">AI$2&amp;" "&amp;AI$1</f>
        <v>3 YTD 2022</v>
      </c>
      <c r="AJ54" s="747" t="str">
        <f ca="1">AJ$2&amp;" "&amp;AJ$1</f>
        <v>3 YTD 2022</v>
      </c>
      <c r="AK54" s="745"/>
      <c r="AL54" s="748" t="str">
        <f>AL$2&amp;" "&amp;AL$1</f>
        <v>12 YTD 2021</v>
      </c>
      <c r="AM54" s="744" t="str">
        <f>AM$2&amp;" "&amp;AM$1</f>
        <v>12 YTD 2022</v>
      </c>
    </row>
    <row r="55" spans="2:47" s="749" customFormat="1" hidden="1" outlineLevel="1" x14ac:dyDescent="0.3">
      <c r="C55" s="750"/>
      <c r="D55" s="745"/>
      <c r="E55" s="742" t="s">
        <v>245</v>
      </c>
      <c r="F55" s="743" t="s">
        <v>245</v>
      </c>
      <c r="G55" s="744" t="s">
        <v>115</v>
      </c>
      <c r="H55" s="745"/>
      <c r="I55" s="743" t="s">
        <v>245</v>
      </c>
      <c r="J55" s="743" t="s">
        <v>245</v>
      </c>
      <c r="K55" s="743" t="s">
        <v>245</v>
      </c>
      <c r="L55" s="743" t="s">
        <v>245</v>
      </c>
      <c r="M55" s="743" t="s">
        <v>245</v>
      </c>
      <c r="N55" s="743" t="s">
        <v>245</v>
      </c>
      <c r="O55" s="743" t="s">
        <v>245</v>
      </c>
      <c r="P55" s="743" t="s">
        <v>245</v>
      </c>
      <c r="Q55" s="743" t="s">
        <v>245</v>
      </c>
      <c r="R55" s="743" t="s">
        <v>245</v>
      </c>
      <c r="S55" s="743" t="s">
        <v>245</v>
      </c>
      <c r="T55" s="743" t="s">
        <v>245</v>
      </c>
      <c r="U55" s="745"/>
      <c r="V55" s="746" t="s">
        <v>564</v>
      </c>
      <c r="W55" s="746" t="s">
        <v>564</v>
      </c>
      <c r="X55" s="746" t="s">
        <v>564</v>
      </c>
      <c r="Y55" s="746" t="s">
        <v>564</v>
      </c>
      <c r="Z55" s="746" t="s">
        <v>564</v>
      </c>
      <c r="AA55" s="746" t="s">
        <v>564</v>
      </c>
      <c r="AB55" s="746" t="s">
        <v>564</v>
      </c>
      <c r="AC55" s="746" t="s">
        <v>564</v>
      </c>
      <c r="AD55" s="746" t="s">
        <v>564</v>
      </c>
      <c r="AE55" s="746" t="s">
        <v>564</v>
      </c>
      <c r="AF55" s="746" t="s">
        <v>564</v>
      </c>
      <c r="AG55" s="740"/>
      <c r="AH55" s="743" t="s">
        <v>654</v>
      </c>
      <c r="AI55" s="744" t="s">
        <v>655</v>
      </c>
      <c r="AJ55" s="751" t="s">
        <v>652</v>
      </c>
      <c r="AK55" s="745"/>
      <c r="AL55" s="748" t="s">
        <v>654</v>
      </c>
      <c r="AM55" s="744" t="s">
        <v>655</v>
      </c>
    </row>
    <row r="56" spans="2:47" s="745" customFormat="1" hidden="1" outlineLevel="1" x14ac:dyDescent="0.3">
      <c r="B56" s="752" t="s">
        <v>530</v>
      </c>
    </row>
    <row r="57" spans="2:47" s="741" customFormat="1" hidden="1" outlineLevel="1" x14ac:dyDescent="0.3">
      <c r="B57" s="753" t="s">
        <v>547</v>
      </c>
      <c r="C57" s="740" t="s">
        <v>566</v>
      </c>
      <c r="E57" s="754"/>
      <c r="F57" s="754">
        <f ca="1">IFERROR(1/F$3,1)*SUM(I57:T57)</f>
        <v>54.333333333333329</v>
      </c>
      <c r="G57" s="754">
        <f>AM57/12</f>
        <v>95.75</v>
      </c>
      <c r="H57" s="755"/>
      <c r="I57" s="754">
        <v>46</v>
      </c>
      <c r="J57" s="754">
        <v>44</v>
      </c>
      <c r="K57" s="754">
        <v>61</v>
      </c>
      <c r="L57" s="754">
        <v>12</v>
      </c>
      <c r="M57" s="754"/>
      <c r="N57" s="754"/>
      <c r="O57" s="754"/>
      <c r="P57" s="754"/>
      <c r="Q57" s="754"/>
      <c r="R57" s="754"/>
      <c r="S57" s="754"/>
      <c r="T57" s="754"/>
      <c r="U57" s="755"/>
      <c r="V57" s="754">
        <f>E57</f>
        <v>0</v>
      </c>
      <c r="W57" s="754">
        <f ca="1">F57</f>
        <v>54.333333333333329</v>
      </c>
      <c r="X57" s="754">
        <f>G57</f>
        <v>95.75</v>
      </c>
      <c r="Y57" s="754">
        <f>G57</f>
        <v>95.75</v>
      </c>
      <c r="Z57" s="754">
        <f>G57</f>
        <v>95.75</v>
      </c>
      <c r="AA57" s="754">
        <f>G57</f>
        <v>95.75</v>
      </c>
      <c r="AB57" s="754">
        <f>G57</f>
        <v>95.75</v>
      </c>
      <c r="AC57" s="754">
        <f t="shared" ref="AC57:AF59" si="55">Y57</f>
        <v>95.75</v>
      </c>
      <c r="AD57" s="754">
        <f t="shared" si="55"/>
        <v>95.75</v>
      </c>
      <c r="AE57" s="754">
        <f t="shared" si="55"/>
        <v>95.75</v>
      </c>
      <c r="AF57" s="754">
        <f t="shared" si="55"/>
        <v>95.75</v>
      </c>
      <c r="AG57" s="754"/>
      <c r="AH57" s="754">
        <f>SUM(I57:L57)</f>
        <v>163</v>
      </c>
      <c r="AI57" s="754">
        <f ca="1">AF57*C5</f>
        <v>383</v>
      </c>
      <c r="AJ57" s="755"/>
      <c r="AK57" s="755"/>
      <c r="AL57" s="754">
        <f>SUM(M57:P57)</f>
        <v>0</v>
      </c>
      <c r="AM57" s="754">
        <v>1149</v>
      </c>
    </row>
    <row r="58" spans="2:47" s="741" customFormat="1" hidden="1" outlineLevel="1" x14ac:dyDescent="0.3">
      <c r="B58" s="753" t="s">
        <v>548</v>
      </c>
      <c r="C58" s="740" t="s">
        <v>567</v>
      </c>
      <c r="E58" s="754"/>
      <c r="F58" s="754">
        <f ca="1">IFERROR(1/F$3,1)*SUM(I58:T58)</f>
        <v>6302.2599999999993</v>
      </c>
      <c r="G58" s="754">
        <f>AM58/12</f>
        <v>17833.333333333332</v>
      </c>
      <c r="H58" s="755"/>
      <c r="I58" s="754">
        <v>8169.79</v>
      </c>
      <c r="J58" s="754">
        <v>7471.4</v>
      </c>
      <c r="K58" s="754">
        <v>-410.41</v>
      </c>
      <c r="L58" s="754">
        <v>3676</v>
      </c>
      <c r="M58" s="754"/>
      <c r="N58" s="754"/>
      <c r="O58" s="754"/>
      <c r="P58" s="754"/>
      <c r="Q58" s="754"/>
      <c r="R58" s="754"/>
      <c r="S58" s="754"/>
      <c r="T58" s="754"/>
      <c r="U58" s="755"/>
      <c r="V58" s="754">
        <f t="shared" ref="V58:X59" si="56">E58</f>
        <v>0</v>
      </c>
      <c r="W58" s="754">
        <f t="shared" ca="1" si="56"/>
        <v>6302.2599999999993</v>
      </c>
      <c r="X58" s="754">
        <f t="shared" si="56"/>
        <v>17833.333333333332</v>
      </c>
      <c r="Y58" s="754">
        <f>G58</f>
        <v>17833.333333333332</v>
      </c>
      <c r="Z58" s="754">
        <f>G58</f>
        <v>17833.333333333332</v>
      </c>
      <c r="AA58" s="754">
        <f>G58</f>
        <v>17833.333333333332</v>
      </c>
      <c r="AB58" s="754">
        <f>G58</f>
        <v>17833.333333333332</v>
      </c>
      <c r="AC58" s="754">
        <f t="shared" si="55"/>
        <v>17833.333333333332</v>
      </c>
      <c r="AD58" s="754">
        <f t="shared" si="55"/>
        <v>17833.333333333332</v>
      </c>
      <c r="AE58" s="754">
        <f t="shared" si="55"/>
        <v>17833.333333333332</v>
      </c>
      <c r="AF58" s="754">
        <f t="shared" si="55"/>
        <v>17833.333333333332</v>
      </c>
      <c r="AG58" s="754"/>
      <c r="AH58" s="754">
        <f>SUM(I58:K58)</f>
        <v>15230.779999999999</v>
      </c>
      <c r="AI58" s="754">
        <f ca="1">AF58*C5</f>
        <v>71333.333333333328</v>
      </c>
      <c r="AJ58" s="755"/>
      <c r="AK58" s="755"/>
      <c r="AL58" s="754">
        <f>SUM(M58:O58)</f>
        <v>0</v>
      </c>
      <c r="AM58" s="754">
        <v>214000</v>
      </c>
    </row>
    <row r="59" spans="2:47" s="741" customFormat="1" hidden="1" outlineLevel="1" x14ac:dyDescent="0.3">
      <c r="B59" s="753" t="s">
        <v>549</v>
      </c>
      <c r="C59" s="740" t="s">
        <v>567</v>
      </c>
      <c r="E59" s="754"/>
      <c r="F59" s="754">
        <f ca="1">IFERROR(1/F$3,1)*SUM(I59:T59)</f>
        <v>10738.866666666665</v>
      </c>
      <c r="G59" s="754">
        <f>AM59/12</f>
        <v>41666.666666666664</v>
      </c>
      <c r="H59" s="755"/>
      <c r="I59" s="754">
        <v>11726</v>
      </c>
      <c r="J59" s="754">
        <v>11843.6</v>
      </c>
      <c r="K59" s="754">
        <v>3296</v>
      </c>
      <c r="L59" s="754">
        <v>5351</v>
      </c>
      <c r="M59" s="754"/>
      <c r="N59" s="754"/>
      <c r="O59" s="754"/>
      <c r="P59" s="754"/>
      <c r="Q59" s="754"/>
      <c r="R59" s="754"/>
      <c r="S59" s="754"/>
      <c r="T59" s="754"/>
      <c r="U59" s="755"/>
      <c r="V59" s="754">
        <f t="shared" si="56"/>
        <v>0</v>
      </c>
      <c r="W59" s="754">
        <f t="shared" ca="1" si="56"/>
        <v>10738.866666666665</v>
      </c>
      <c r="X59" s="754">
        <f t="shared" si="56"/>
        <v>41666.666666666664</v>
      </c>
      <c r="Y59" s="754">
        <f>G59</f>
        <v>41666.666666666664</v>
      </c>
      <c r="Z59" s="754">
        <f>G59</f>
        <v>41666.666666666664</v>
      </c>
      <c r="AA59" s="754">
        <f>G59</f>
        <v>41666.666666666664</v>
      </c>
      <c r="AB59" s="754">
        <f>G59</f>
        <v>41666.666666666664</v>
      </c>
      <c r="AC59" s="754">
        <f t="shared" si="55"/>
        <v>41666.666666666664</v>
      </c>
      <c r="AD59" s="754">
        <f t="shared" si="55"/>
        <v>41666.666666666664</v>
      </c>
      <c r="AE59" s="754">
        <f t="shared" si="55"/>
        <v>41666.666666666664</v>
      </c>
      <c r="AF59" s="754">
        <f t="shared" si="55"/>
        <v>41666.666666666664</v>
      </c>
      <c r="AG59" s="754"/>
      <c r="AH59" s="754">
        <f>SUM(I59:K59)</f>
        <v>26865.599999999999</v>
      </c>
      <c r="AI59" s="754">
        <f ca="1">AF59*C5</f>
        <v>166666.66666666666</v>
      </c>
      <c r="AJ59" s="755"/>
      <c r="AK59" s="755"/>
      <c r="AL59" s="754">
        <f>SUM(M59:O59)</f>
        <v>0</v>
      </c>
      <c r="AM59" s="754">
        <v>500000</v>
      </c>
    </row>
    <row r="60" spans="2:47" hidden="1" outlineLevel="1" x14ac:dyDescent="0.3">
      <c r="B60" s="725"/>
    </row>
    <row r="61" spans="2:47" hidden="1" outlineLevel="1" x14ac:dyDescent="0.3"/>
    <row r="62" spans="2:47" hidden="1" outlineLevel="1" x14ac:dyDescent="0.3">
      <c r="F62" s="733"/>
    </row>
    <row r="63" spans="2:47" hidden="1" outlineLevel="1" x14ac:dyDescent="0.3"/>
    <row r="64" spans="2:47" collapsed="1" x14ac:dyDescent="0.3"/>
  </sheetData>
  <conditionalFormatting sqref="B26:C26 E26:G26 I26:M26 AH26:AJ26 B39:C48 B50:C50 E39:G48 I39:M48 I50:M50 Y39:AF48 Y50:AF50 AH39:AJ48 AH50:AJ50 B57:C59 E57:G59 I57:M59 Y57:AF59 AH57:AJ59 AL26:AM26 AL39:AM48 AL50:AM50 AL57:AM59 E50:G50 Y26:AF26 AH15:AJ23 Y15:AF24 I15:M24 E15:G24 B15:C24 AL15:AM24">
    <cfRule type="expression" dxfId="559" priority="134">
      <formula>MOD(ROW(),2)</formula>
    </cfRule>
  </conditionalFormatting>
  <conditionalFormatting sqref="N39:T48">
    <cfRule type="expression" dxfId="558" priority="133">
      <formula>MOD(ROW(),2)</formula>
    </cfRule>
  </conditionalFormatting>
  <conditionalFormatting sqref="N57:R59">
    <cfRule type="expression" dxfId="557" priority="132">
      <formula>MOD(ROW(),2)</formula>
    </cfRule>
  </conditionalFormatting>
  <conditionalFormatting sqref="S57:T59">
    <cfRule type="expression" dxfId="556" priority="131">
      <formula>MOD(ROW(),2)</formula>
    </cfRule>
  </conditionalFormatting>
  <conditionalFormatting sqref="X57:X59">
    <cfRule type="expression" dxfId="555" priority="130">
      <formula>MOD(ROW(),2)</formula>
    </cfRule>
  </conditionalFormatting>
  <conditionalFormatting sqref="X15:X24">
    <cfRule type="expression" dxfId="554" priority="129">
      <formula>MOD(ROW(),2)</formula>
    </cfRule>
  </conditionalFormatting>
  <conditionalFormatting sqref="X39:X48">
    <cfRule type="expression" dxfId="553" priority="128">
      <formula>MOD(ROW(),2)</formula>
    </cfRule>
  </conditionalFormatting>
  <conditionalFormatting sqref="N26 N15:N24">
    <cfRule type="expression" dxfId="552" priority="127">
      <formula>MOD(ROW(),2)</formula>
    </cfRule>
  </conditionalFormatting>
  <conditionalFormatting sqref="O24:P24 O26:P26">
    <cfRule type="expression" dxfId="551" priority="126">
      <formula>MOD(ROW(),2)</formula>
    </cfRule>
  </conditionalFormatting>
  <conditionalFormatting sqref="O15:P23">
    <cfRule type="expression" dxfId="550" priority="125">
      <formula>MOD(ROW(),2)</formula>
    </cfRule>
  </conditionalFormatting>
  <conditionalFormatting sqref="Q24 Q26">
    <cfRule type="expression" dxfId="549" priority="124">
      <formula>MOD(ROW(),2)</formula>
    </cfRule>
  </conditionalFormatting>
  <conditionalFormatting sqref="Q15:Q23">
    <cfRule type="expression" dxfId="548" priority="123">
      <formula>MOD(ROW(),2)</formula>
    </cfRule>
  </conditionalFormatting>
  <conditionalFormatting sqref="R24 R26">
    <cfRule type="expression" dxfId="547" priority="122">
      <formula>MOD(ROW(),2)</formula>
    </cfRule>
  </conditionalFormatting>
  <conditionalFormatting sqref="R15:R23">
    <cfRule type="expression" dxfId="546" priority="121">
      <formula>MOD(ROW(),2)</formula>
    </cfRule>
  </conditionalFormatting>
  <conditionalFormatting sqref="AH24:AJ24">
    <cfRule type="expression" dxfId="545" priority="120">
      <formula>MOD(ROW(),2)</formula>
    </cfRule>
  </conditionalFormatting>
  <conditionalFormatting sqref="AI9:AJ9 Y9:AF9 E9:G9 B9:C9 AM9 I9:R9">
    <cfRule type="expression" dxfId="544" priority="119">
      <formula>MOD(ROW(),2)</formula>
    </cfRule>
  </conditionalFormatting>
  <conditionalFormatting sqref="X9">
    <cfRule type="expression" dxfId="543" priority="118">
      <formula>MOD(ROW(),2)</formula>
    </cfRule>
  </conditionalFormatting>
  <conditionalFormatting sqref="N9">
    <cfRule type="expression" dxfId="542" priority="117">
      <formula>MOD(ROW(),2)</formula>
    </cfRule>
  </conditionalFormatting>
  <conditionalFormatting sqref="O9:P9">
    <cfRule type="expression" dxfId="541" priority="116">
      <formula>MOD(ROW(),2)</formula>
    </cfRule>
  </conditionalFormatting>
  <conditionalFormatting sqref="Q9">
    <cfRule type="expression" dxfId="540" priority="115">
      <formula>MOD(ROW(),2)</formula>
    </cfRule>
  </conditionalFormatting>
  <conditionalFormatting sqref="R9">
    <cfRule type="expression" dxfId="539" priority="114">
      <formula>MOD(ROW(),2)</formula>
    </cfRule>
  </conditionalFormatting>
  <conditionalFormatting sqref="AI10:AJ10 Y10:AF10 I10:M10 E10:G10 B10:C10 AM10">
    <cfRule type="expression" dxfId="538" priority="113">
      <formula>MOD(ROW(),2)</formula>
    </cfRule>
  </conditionalFormatting>
  <conditionalFormatting sqref="X10">
    <cfRule type="expression" dxfId="537" priority="112">
      <formula>MOD(ROW(),2)</formula>
    </cfRule>
  </conditionalFormatting>
  <conditionalFormatting sqref="N10">
    <cfRule type="expression" dxfId="536" priority="111">
      <formula>MOD(ROW(),2)</formula>
    </cfRule>
  </conditionalFormatting>
  <conditionalFormatting sqref="O10:P10">
    <cfRule type="expression" dxfId="535" priority="110">
      <formula>MOD(ROW(),2)</formula>
    </cfRule>
  </conditionalFormatting>
  <conditionalFormatting sqref="Q10">
    <cfRule type="expression" dxfId="534" priority="109">
      <formula>MOD(ROW(),2)</formula>
    </cfRule>
  </conditionalFormatting>
  <conditionalFormatting sqref="R10">
    <cfRule type="expression" dxfId="533" priority="108">
      <formula>MOD(ROW(),2)</formula>
    </cfRule>
  </conditionalFormatting>
  <conditionalFormatting sqref="AI11:AJ11 Y11:AF11 E11:G11 B11:C11 AM11">
    <cfRule type="expression" dxfId="532" priority="107">
      <formula>MOD(ROW(),2)</formula>
    </cfRule>
  </conditionalFormatting>
  <conditionalFormatting sqref="X11">
    <cfRule type="expression" dxfId="531" priority="106">
      <formula>MOD(ROW(),2)</formula>
    </cfRule>
  </conditionalFormatting>
  <conditionalFormatting sqref="N11">
    <cfRule type="expression" dxfId="530" priority="104">
      <formula>MOD(ROW(),2)</formula>
    </cfRule>
  </conditionalFormatting>
  <conditionalFormatting sqref="O11:P11">
    <cfRule type="expression" dxfId="529" priority="103">
      <formula>MOD(ROW(),2)</formula>
    </cfRule>
  </conditionalFormatting>
  <conditionalFormatting sqref="Q11">
    <cfRule type="expression" dxfId="528" priority="102">
      <formula>MOD(ROW(),2)</formula>
    </cfRule>
  </conditionalFormatting>
  <conditionalFormatting sqref="R11">
    <cfRule type="expression" dxfId="527" priority="101">
      <formula>MOD(ROW(),2)</formula>
    </cfRule>
  </conditionalFormatting>
  <conditionalFormatting sqref="I11:R11">
    <cfRule type="expression" dxfId="526" priority="105">
      <formula>MOD(ROW(),2)</formula>
    </cfRule>
  </conditionalFormatting>
  <conditionalFormatting sqref="R12">
    <cfRule type="expression" dxfId="525" priority="89">
      <formula>MOD(ROW(),2)</formula>
    </cfRule>
  </conditionalFormatting>
  <conditionalFormatting sqref="AH12">
    <cfRule type="expression" dxfId="524" priority="88">
      <formula>MOD(ROW(),2)</formula>
    </cfRule>
  </conditionalFormatting>
  <conditionalFormatting sqref="E12:G12">
    <cfRule type="expression" dxfId="523" priority="87">
      <formula>MOD(ROW(),2)</formula>
    </cfRule>
  </conditionalFormatting>
  <conditionalFormatting sqref="AM12">
    <cfRule type="expression" dxfId="522" priority="86">
      <formula>MOD(ROW(),2)</formula>
    </cfRule>
  </conditionalFormatting>
  <conditionalFormatting sqref="AH9">
    <cfRule type="expression" dxfId="521" priority="100">
      <formula>MOD(ROW(),2)</formula>
    </cfRule>
  </conditionalFormatting>
  <conditionalFormatting sqref="AH9">
    <cfRule type="expression" dxfId="520" priority="99">
      <formula>MOD(ROW(),2)</formula>
    </cfRule>
  </conditionalFormatting>
  <conditionalFormatting sqref="AH10">
    <cfRule type="expression" dxfId="519" priority="98">
      <formula>MOD(ROW(),2)</formula>
    </cfRule>
  </conditionalFormatting>
  <conditionalFormatting sqref="AH11">
    <cfRule type="expression" dxfId="518" priority="96">
      <formula>MOD(ROW(),2)</formula>
    </cfRule>
  </conditionalFormatting>
  <conditionalFormatting sqref="AH11">
    <cfRule type="expression" dxfId="517" priority="97">
      <formula>MOD(ROW(),2)</formula>
    </cfRule>
  </conditionalFormatting>
  <conditionalFormatting sqref="B12">
    <cfRule type="expression" dxfId="516" priority="95">
      <formula>MOD(ROW(),2)</formula>
    </cfRule>
  </conditionalFormatting>
  <conditionalFormatting sqref="AI12:AJ12 Y12:AF12 I12:M12">
    <cfRule type="expression" dxfId="515" priority="94">
      <formula>MOD(ROW(),2)</formula>
    </cfRule>
  </conditionalFormatting>
  <conditionalFormatting sqref="X12">
    <cfRule type="expression" dxfId="514" priority="93">
      <formula>MOD(ROW(),2)</formula>
    </cfRule>
  </conditionalFormatting>
  <conditionalFormatting sqref="N12">
    <cfRule type="expression" dxfId="513" priority="92">
      <formula>MOD(ROW(),2)</formula>
    </cfRule>
  </conditionalFormatting>
  <conditionalFormatting sqref="O12:P12">
    <cfRule type="expression" dxfId="512" priority="91">
      <formula>MOD(ROW(),2)</formula>
    </cfRule>
  </conditionalFormatting>
  <conditionalFormatting sqref="Q12">
    <cfRule type="expression" dxfId="511" priority="90">
      <formula>MOD(ROW(),2)</formula>
    </cfRule>
  </conditionalFormatting>
  <conditionalFormatting sqref="B33:C33">
    <cfRule type="expression" dxfId="510" priority="85">
      <formula>MOD(ROW(),2)</formula>
    </cfRule>
  </conditionalFormatting>
  <conditionalFormatting sqref="AI34:AJ34 Y34:AF34 I34:M34 E34:G34 B34:C34">
    <cfRule type="expression" dxfId="509" priority="84">
      <formula>MOD(ROW(),2)</formula>
    </cfRule>
  </conditionalFormatting>
  <conditionalFormatting sqref="X34">
    <cfRule type="expression" dxfId="508" priority="83">
      <formula>MOD(ROW(),2)</formula>
    </cfRule>
  </conditionalFormatting>
  <conditionalFormatting sqref="N34">
    <cfRule type="expression" dxfId="507" priority="82">
      <formula>MOD(ROW(),2)</formula>
    </cfRule>
  </conditionalFormatting>
  <conditionalFormatting sqref="O34:P34">
    <cfRule type="expression" dxfId="506" priority="81">
      <formula>MOD(ROW(),2)</formula>
    </cfRule>
  </conditionalFormatting>
  <conditionalFormatting sqref="Q34">
    <cfRule type="expression" dxfId="505" priority="80">
      <formula>MOD(ROW(),2)</formula>
    </cfRule>
  </conditionalFormatting>
  <conditionalFormatting sqref="R34">
    <cfRule type="expression" dxfId="504" priority="79">
      <formula>MOD(ROW(),2)</formula>
    </cfRule>
  </conditionalFormatting>
  <conditionalFormatting sqref="AI35:AJ35 Y35:AF35 E35:G35 B35:C35">
    <cfRule type="expression" dxfId="503" priority="78">
      <formula>MOD(ROW(),2)</formula>
    </cfRule>
  </conditionalFormatting>
  <conditionalFormatting sqref="X35">
    <cfRule type="expression" dxfId="502" priority="77">
      <formula>MOD(ROW(),2)</formula>
    </cfRule>
  </conditionalFormatting>
  <conditionalFormatting sqref="N35">
    <cfRule type="expression" dxfId="501" priority="75">
      <formula>MOD(ROW(),2)</formula>
    </cfRule>
  </conditionalFormatting>
  <conditionalFormatting sqref="O35:P35">
    <cfRule type="expression" dxfId="500" priority="74">
      <formula>MOD(ROW(),2)</formula>
    </cfRule>
  </conditionalFormatting>
  <conditionalFormatting sqref="Q35">
    <cfRule type="expression" dxfId="499" priority="73">
      <formula>MOD(ROW(),2)</formula>
    </cfRule>
  </conditionalFormatting>
  <conditionalFormatting sqref="R35">
    <cfRule type="expression" dxfId="498" priority="72">
      <formula>MOD(ROW(),2)</formula>
    </cfRule>
  </conditionalFormatting>
  <conditionalFormatting sqref="I35:R35">
    <cfRule type="expression" dxfId="497" priority="76">
      <formula>MOD(ROW(),2)</formula>
    </cfRule>
  </conditionalFormatting>
  <conditionalFormatting sqref="R36">
    <cfRule type="expression" dxfId="496" priority="65">
      <formula>MOD(ROW(),2)</formula>
    </cfRule>
  </conditionalFormatting>
  <conditionalFormatting sqref="E36:G36">
    <cfRule type="expression" dxfId="495" priority="64">
      <formula>MOD(ROW(),2)</formula>
    </cfRule>
  </conditionalFormatting>
  <conditionalFormatting sqref="B36">
    <cfRule type="expression" dxfId="494" priority="71">
      <formula>MOD(ROW(),2)</formula>
    </cfRule>
  </conditionalFormatting>
  <conditionalFormatting sqref="AI36:AJ36 Y36:AF36 I36:M36">
    <cfRule type="expression" dxfId="493" priority="70">
      <formula>MOD(ROW(),2)</formula>
    </cfRule>
  </conditionalFormatting>
  <conditionalFormatting sqref="X36">
    <cfRule type="expression" dxfId="492" priority="69">
      <formula>MOD(ROW(),2)</formula>
    </cfRule>
  </conditionalFormatting>
  <conditionalFormatting sqref="N36">
    <cfRule type="expression" dxfId="491" priority="68">
      <formula>MOD(ROW(),2)</formula>
    </cfRule>
  </conditionalFormatting>
  <conditionalFormatting sqref="O36:P36">
    <cfRule type="expression" dxfId="490" priority="67">
      <formula>MOD(ROW(),2)</formula>
    </cfRule>
  </conditionalFormatting>
  <conditionalFormatting sqref="Q36">
    <cfRule type="expression" dxfId="489" priority="66">
      <formula>MOD(ROW(),2)</formula>
    </cfRule>
  </conditionalFormatting>
  <conditionalFormatting sqref="E33:G33 I33:M33 Y33:AF33 AI33:AJ33">
    <cfRule type="expression" dxfId="488" priority="63">
      <formula>MOD(ROW(),2)</formula>
    </cfRule>
  </conditionalFormatting>
  <conditionalFormatting sqref="N33:R33">
    <cfRule type="expression" dxfId="487" priority="62">
      <formula>MOD(ROW(),2)</formula>
    </cfRule>
  </conditionalFormatting>
  <conditionalFormatting sqref="X33">
    <cfRule type="expression" dxfId="486" priority="61">
      <formula>MOD(ROW(),2)</formula>
    </cfRule>
  </conditionalFormatting>
  <conditionalFormatting sqref="S34">
    <cfRule type="expression" dxfId="485" priority="60">
      <formula>MOD(ROW(),2)</formula>
    </cfRule>
  </conditionalFormatting>
  <conditionalFormatting sqref="S35">
    <cfRule type="expression" dxfId="484" priority="58">
      <formula>MOD(ROW(),2)</formula>
    </cfRule>
  </conditionalFormatting>
  <conditionalFormatting sqref="S35">
    <cfRule type="expression" dxfId="483" priority="59">
      <formula>MOD(ROW(),2)</formula>
    </cfRule>
  </conditionalFormatting>
  <conditionalFormatting sqref="S33">
    <cfRule type="expression" dxfId="482" priority="57">
      <formula>MOD(ROW(),2)</formula>
    </cfRule>
  </conditionalFormatting>
  <conditionalFormatting sqref="T34">
    <cfRule type="expression" dxfId="481" priority="56">
      <formula>MOD(ROW(),2)</formula>
    </cfRule>
  </conditionalFormatting>
  <conditionalFormatting sqref="T35">
    <cfRule type="expression" dxfId="480" priority="54">
      <formula>MOD(ROW(),2)</formula>
    </cfRule>
  </conditionalFormatting>
  <conditionalFormatting sqref="T35">
    <cfRule type="expression" dxfId="479" priority="55">
      <formula>MOD(ROW(),2)</formula>
    </cfRule>
  </conditionalFormatting>
  <conditionalFormatting sqref="T33">
    <cfRule type="expression" dxfId="478" priority="53">
      <formula>MOD(ROW(),2)</formula>
    </cfRule>
  </conditionalFormatting>
  <conditionalFormatting sqref="S9">
    <cfRule type="expression" dxfId="477" priority="52">
      <formula>MOD(ROW(),2)</formula>
    </cfRule>
  </conditionalFormatting>
  <conditionalFormatting sqref="S9">
    <cfRule type="expression" dxfId="476" priority="51">
      <formula>MOD(ROW(),2)</formula>
    </cfRule>
  </conditionalFormatting>
  <conditionalFormatting sqref="S10">
    <cfRule type="expression" dxfId="475" priority="50">
      <formula>MOD(ROW(),2)</formula>
    </cfRule>
  </conditionalFormatting>
  <conditionalFormatting sqref="S11">
    <cfRule type="expression" dxfId="474" priority="48">
      <formula>MOD(ROW(),2)</formula>
    </cfRule>
  </conditionalFormatting>
  <conditionalFormatting sqref="S11">
    <cfRule type="expression" dxfId="473" priority="49">
      <formula>MOD(ROW(),2)</formula>
    </cfRule>
  </conditionalFormatting>
  <conditionalFormatting sqref="S12">
    <cfRule type="expression" dxfId="472" priority="47">
      <formula>MOD(ROW(),2)</formula>
    </cfRule>
  </conditionalFormatting>
  <conditionalFormatting sqref="T9">
    <cfRule type="expression" dxfId="471" priority="46">
      <formula>MOD(ROW(),2)</formula>
    </cfRule>
  </conditionalFormatting>
  <conditionalFormatting sqref="T9">
    <cfRule type="expression" dxfId="470" priority="45">
      <formula>MOD(ROW(),2)</formula>
    </cfRule>
  </conditionalFormatting>
  <conditionalFormatting sqref="T10">
    <cfRule type="expression" dxfId="469" priority="44">
      <formula>MOD(ROW(),2)</formula>
    </cfRule>
  </conditionalFormatting>
  <conditionalFormatting sqref="T11">
    <cfRule type="expression" dxfId="468" priority="42">
      <formula>MOD(ROW(),2)</formula>
    </cfRule>
  </conditionalFormatting>
  <conditionalFormatting sqref="T11">
    <cfRule type="expression" dxfId="467" priority="43">
      <formula>MOD(ROW(),2)</formula>
    </cfRule>
  </conditionalFormatting>
  <conditionalFormatting sqref="T12">
    <cfRule type="expression" dxfId="466" priority="41">
      <formula>MOD(ROW(),2)</formula>
    </cfRule>
  </conditionalFormatting>
  <conditionalFormatting sqref="AM33">
    <cfRule type="expression" dxfId="465" priority="40">
      <formula>MOD(ROW(),2)</formula>
    </cfRule>
  </conditionalFormatting>
  <conditionalFormatting sqref="AM34">
    <cfRule type="expression" dxfId="464" priority="39">
      <formula>MOD(ROW(),2)</formula>
    </cfRule>
  </conditionalFormatting>
  <conditionalFormatting sqref="AM35">
    <cfRule type="expression" dxfId="463" priority="38">
      <formula>MOD(ROW(),2)</formula>
    </cfRule>
  </conditionalFormatting>
  <conditionalFormatting sqref="AM36">
    <cfRule type="expression" dxfId="462" priority="37">
      <formula>MOD(ROW(),2)</formula>
    </cfRule>
  </conditionalFormatting>
  <conditionalFormatting sqref="AH33">
    <cfRule type="expression" dxfId="461" priority="36">
      <formula>MOD(ROW(),2)</formula>
    </cfRule>
  </conditionalFormatting>
  <conditionalFormatting sqref="AH34">
    <cfRule type="expression" dxfId="460" priority="35">
      <formula>MOD(ROW(),2)</formula>
    </cfRule>
  </conditionalFormatting>
  <conditionalFormatting sqref="AH35">
    <cfRule type="expression" dxfId="459" priority="33">
      <formula>MOD(ROW(),2)</formula>
    </cfRule>
  </conditionalFormatting>
  <conditionalFormatting sqref="AH35">
    <cfRule type="expression" dxfId="458" priority="34">
      <formula>MOD(ROW(),2)</formula>
    </cfRule>
  </conditionalFormatting>
  <conditionalFormatting sqref="AL12">
    <cfRule type="expression" dxfId="457" priority="27">
      <formula>MOD(ROW(),2)</formula>
    </cfRule>
  </conditionalFormatting>
  <conditionalFormatting sqref="AL9">
    <cfRule type="expression" dxfId="456" priority="32">
      <formula>MOD(ROW(),2)</formula>
    </cfRule>
  </conditionalFormatting>
  <conditionalFormatting sqref="AL9">
    <cfRule type="expression" dxfId="455" priority="31">
      <formula>MOD(ROW(),2)</formula>
    </cfRule>
  </conditionalFormatting>
  <conditionalFormatting sqref="AL10">
    <cfRule type="expression" dxfId="454" priority="30">
      <formula>MOD(ROW(),2)</formula>
    </cfRule>
  </conditionalFormatting>
  <conditionalFormatting sqref="AL11">
    <cfRule type="expression" dxfId="453" priority="28">
      <formula>MOD(ROW(),2)</formula>
    </cfRule>
  </conditionalFormatting>
  <conditionalFormatting sqref="AL11">
    <cfRule type="expression" dxfId="452" priority="29">
      <formula>MOD(ROW(),2)</formula>
    </cfRule>
  </conditionalFormatting>
  <conditionalFormatting sqref="AL33">
    <cfRule type="expression" dxfId="451" priority="26">
      <formula>MOD(ROW(),2)</formula>
    </cfRule>
  </conditionalFormatting>
  <conditionalFormatting sqref="AL34">
    <cfRule type="expression" dxfId="450" priority="25">
      <formula>MOD(ROW(),2)</formula>
    </cfRule>
  </conditionalFormatting>
  <conditionalFormatting sqref="AL35">
    <cfRule type="expression" dxfId="449" priority="23">
      <formula>MOD(ROW(),2)</formula>
    </cfRule>
  </conditionalFormatting>
  <conditionalFormatting sqref="AL35">
    <cfRule type="expression" dxfId="448" priority="24">
      <formula>MOD(ROW(),2)</formula>
    </cfRule>
  </conditionalFormatting>
  <conditionalFormatting sqref="W57:W59">
    <cfRule type="expression" dxfId="447" priority="22">
      <formula>MOD(ROW(),2)</formula>
    </cfRule>
  </conditionalFormatting>
  <conditionalFormatting sqref="W15:W24">
    <cfRule type="expression" dxfId="446" priority="21">
      <formula>MOD(ROW(),2)</formula>
    </cfRule>
  </conditionalFormatting>
  <conditionalFormatting sqref="W39:W48">
    <cfRule type="expression" dxfId="445" priority="20">
      <formula>MOD(ROW(),2)</formula>
    </cfRule>
  </conditionalFormatting>
  <conditionalFormatting sqref="W9">
    <cfRule type="expression" dxfId="444" priority="19">
      <formula>MOD(ROW(),2)</formula>
    </cfRule>
  </conditionalFormatting>
  <conditionalFormatting sqref="W10">
    <cfRule type="expression" dxfId="443" priority="18">
      <formula>MOD(ROW(),2)</formula>
    </cfRule>
  </conditionalFormatting>
  <conditionalFormatting sqref="W11">
    <cfRule type="expression" dxfId="442" priority="17">
      <formula>MOD(ROW(),2)</formula>
    </cfRule>
  </conditionalFormatting>
  <conditionalFormatting sqref="W12">
    <cfRule type="expression" dxfId="441" priority="16">
      <formula>MOD(ROW(),2)</formula>
    </cfRule>
  </conditionalFormatting>
  <conditionalFormatting sqref="W34">
    <cfRule type="expression" dxfId="440" priority="15">
      <formula>MOD(ROW(),2)</formula>
    </cfRule>
  </conditionalFormatting>
  <conditionalFormatting sqref="W35">
    <cfRule type="expression" dxfId="439" priority="14">
      <formula>MOD(ROW(),2)</formula>
    </cfRule>
  </conditionalFormatting>
  <conditionalFormatting sqref="W36">
    <cfRule type="expression" dxfId="438" priority="13">
      <formula>MOD(ROW(),2)</formula>
    </cfRule>
  </conditionalFormatting>
  <conditionalFormatting sqref="W33">
    <cfRule type="expression" dxfId="437" priority="12">
      <formula>MOD(ROW(),2)</formula>
    </cfRule>
  </conditionalFormatting>
  <conditionalFormatting sqref="V57:V59">
    <cfRule type="expression" dxfId="436" priority="11">
      <formula>MOD(ROW(),2)</formula>
    </cfRule>
  </conditionalFormatting>
  <conditionalFormatting sqref="V15:V24">
    <cfRule type="expression" dxfId="435" priority="10">
      <formula>MOD(ROW(),2)</formula>
    </cfRule>
  </conditionalFormatting>
  <conditionalFormatting sqref="V39:V48">
    <cfRule type="expression" dxfId="434" priority="9">
      <formula>MOD(ROW(),2)</formula>
    </cfRule>
  </conditionalFormatting>
  <conditionalFormatting sqref="V9">
    <cfRule type="expression" dxfId="433" priority="8">
      <formula>MOD(ROW(),2)</formula>
    </cfRule>
  </conditionalFormatting>
  <conditionalFormatting sqref="V10">
    <cfRule type="expression" dxfId="432" priority="7">
      <formula>MOD(ROW(),2)</formula>
    </cfRule>
  </conditionalFormatting>
  <conditionalFormatting sqref="V11">
    <cfRule type="expression" dxfId="431" priority="6">
      <formula>MOD(ROW(),2)</formula>
    </cfRule>
  </conditionalFormatting>
  <conditionalFormatting sqref="V12">
    <cfRule type="expression" dxfId="430" priority="5">
      <formula>MOD(ROW(),2)</formula>
    </cfRule>
  </conditionalFormatting>
  <conditionalFormatting sqref="V34">
    <cfRule type="expression" dxfId="429" priority="4">
      <formula>MOD(ROW(),2)</formula>
    </cfRule>
  </conditionalFormatting>
  <conditionalFormatting sqref="V35">
    <cfRule type="expression" dxfId="428" priority="3">
      <formula>MOD(ROW(),2)</formula>
    </cfRule>
  </conditionalFormatting>
  <conditionalFormatting sqref="V36">
    <cfRule type="expression" dxfId="427" priority="2">
      <formula>MOD(ROW(),2)</formula>
    </cfRule>
  </conditionalFormatting>
  <conditionalFormatting sqref="V33">
    <cfRule type="expression" dxfId="426" priority="1">
      <formula>MOD(ROW(),2)</formula>
    </cfRule>
  </conditionalFormatting>
  <pageMargins left="0.39370078740157483" right="0.39370078740157483" top="0.59055118110236227" bottom="0.59055118110236227" header="0.31496062992125984" footer="0.31496062992125984"/>
  <pageSetup paperSize="9" scale="47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DB31-7459-42E5-ACA5-15CF7176181E}">
  <sheetPr codeName="Sheet14">
    <pageSetUpPr fitToPage="1"/>
  </sheetPr>
  <dimension ref="A1:AR56"/>
  <sheetViews>
    <sheetView workbookViewId="0">
      <pane xSplit="2" ySplit="7" topLeftCell="I8" activePane="bottomRight" state="frozenSplit"/>
      <selection pane="topRight" activeCell="G1" sqref="G1"/>
      <selection pane="bottomLeft" activeCell="A8" sqref="A8"/>
      <selection pane="bottomRight" activeCell="A12" sqref="A12"/>
    </sheetView>
  </sheetViews>
  <sheetFormatPr baseColWidth="10" defaultColWidth="8.88671875" defaultRowHeight="14.4" outlineLevelCol="1" x14ac:dyDescent="0.3"/>
  <cols>
    <col min="1" max="1" width="14.5546875" style="437" bestFit="1" customWidth="1"/>
    <col min="2" max="2" width="50.88671875" style="734" bestFit="1" customWidth="1"/>
    <col min="3" max="3" width="4.88671875" style="734" hidden="1" customWidth="1"/>
    <col min="4" max="4" width="1.88671875" style="437" hidden="1" customWidth="1"/>
    <col min="5" max="6" width="10.5546875" style="734" hidden="1" customWidth="1"/>
    <col min="7" max="7" width="12.5546875" style="118" hidden="1" customWidth="1"/>
    <col min="8" max="8" width="1.88671875" style="437" hidden="1" customWidth="1"/>
    <col min="9" max="9" width="11.88671875" style="387" customWidth="1"/>
    <col min="10" max="12" width="10.88671875" style="387" customWidth="1"/>
    <col min="13" max="13" width="10.88671875" style="387" hidden="1" customWidth="1"/>
    <col min="14" max="20" width="10.88671875" style="387" hidden="1" customWidth="1" outlineLevel="1"/>
    <col min="21" max="21" width="8" style="437" hidden="1" customWidth="1" collapsed="1"/>
    <col min="22" max="22" width="8.44140625" style="387" customWidth="1"/>
    <col min="23" max="29" width="8.88671875" style="387" bestFit="1" customWidth="1"/>
    <col min="30" max="30" width="2.5546875" style="253" hidden="1" customWidth="1"/>
    <col min="31" max="31" width="12.44140625" style="387" hidden="1" customWidth="1"/>
    <col min="32" max="32" width="13.5546875" style="387" hidden="1" customWidth="1"/>
    <col min="33" max="33" width="14.5546875" style="437" hidden="1" customWidth="1"/>
    <col min="34" max="34" width="3.109375" style="437" hidden="1" customWidth="1"/>
    <col min="35" max="35" width="14.109375" style="387" hidden="1" customWidth="1"/>
    <col min="36" max="36" width="15.5546875" style="387" bestFit="1" customWidth="1"/>
    <col min="37" max="16384" width="8.88671875" style="437"/>
  </cols>
  <sheetData>
    <row r="1" spans="1:36" hidden="1" x14ac:dyDescent="0.3">
      <c r="B1" s="734" t="s">
        <v>540</v>
      </c>
      <c r="E1" s="734">
        <v>2020</v>
      </c>
      <c r="F1" s="734">
        <v>2021</v>
      </c>
      <c r="G1" s="118">
        <v>2021</v>
      </c>
      <c r="I1" s="118">
        <v>2021</v>
      </c>
      <c r="J1" s="118">
        <v>2021</v>
      </c>
      <c r="K1" s="118">
        <v>2021</v>
      </c>
      <c r="L1" s="118">
        <v>2021</v>
      </c>
      <c r="M1" s="118">
        <v>2021</v>
      </c>
      <c r="N1" s="118">
        <v>2021</v>
      </c>
      <c r="O1" s="118">
        <v>2021</v>
      </c>
      <c r="P1" s="118">
        <v>2021</v>
      </c>
      <c r="Q1" s="118">
        <v>2021</v>
      </c>
      <c r="R1" s="118">
        <v>2021</v>
      </c>
      <c r="S1" s="118">
        <v>2021</v>
      </c>
      <c r="T1" s="118">
        <v>2021</v>
      </c>
      <c r="V1" s="118">
        <v>2021</v>
      </c>
      <c r="W1" s="118">
        <v>2021</v>
      </c>
      <c r="X1" s="118">
        <v>2021</v>
      </c>
      <c r="Y1" s="118">
        <v>2021</v>
      </c>
      <c r="Z1" s="118">
        <v>2021</v>
      </c>
      <c r="AA1" s="118">
        <v>2021</v>
      </c>
      <c r="AB1" s="118">
        <v>2021</v>
      </c>
      <c r="AC1" s="118">
        <v>2021</v>
      </c>
      <c r="AD1" s="693"/>
      <c r="AE1" s="118">
        <v>2021</v>
      </c>
      <c r="AF1" s="118">
        <v>2021</v>
      </c>
      <c r="AG1" s="118">
        <v>2021</v>
      </c>
      <c r="AI1" s="387">
        <v>2020</v>
      </c>
      <c r="AJ1" s="118">
        <v>2021</v>
      </c>
    </row>
    <row r="2" spans="1:36" hidden="1" x14ac:dyDescent="0.3">
      <c r="B2" s="734" t="s">
        <v>541</v>
      </c>
      <c r="E2" s="734" t="s">
        <v>234</v>
      </c>
      <c r="F2" s="734" t="str">
        <f ca="1">MONTH(TODAY())-1&amp;" YTD"</f>
        <v>3 YTD</v>
      </c>
      <c r="G2" s="734" t="s">
        <v>234</v>
      </c>
      <c r="I2" s="118">
        <v>1</v>
      </c>
      <c r="J2" s="118">
        <v>2</v>
      </c>
      <c r="K2" s="118">
        <v>3</v>
      </c>
      <c r="L2" s="118">
        <v>4</v>
      </c>
      <c r="M2" s="118">
        <v>5</v>
      </c>
      <c r="N2" s="118">
        <v>6</v>
      </c>
      <c r="O2" s="118">
        <v>7</v>
      </c>
      <c r="P2" s="118">
        <v>8</v>
      </c>
      <c r="Q2" s="118">
        <v>9</v>
      </c>
      <c r="R2" s="118">
        <v>10</v>
      </c>
      <c r="S2" s="118">
        <v>11</v>
      </c>
      <c r="T2" s="118">
        <v>12</v>
      </c>
      <c r="V2" s="118">
        <v>5</v>
      </c>
      <c r="W2" s="118">
        <v>6</v>
      </c>
      <c r="X2" s="118">
        <v>7</v>
      </c>
      <c r="Y2" s="118">
        <v>8</v>
      </c>
      <c r="Z2" s="118">
        <v>9</v>
      </c>
      <c r="AA2" s="118">
        <v>10</v>
      </c>
      <c r="AB2" s="118">
        <v>11</v>
      </c>
      <c r="AC2" s="118">
        <v>12</v>
      </c>
      <c r="AD2" s="693"/>
      <c r="AE2" s="734" t="str">
        <f ca="1">MONTH(TODAY())-1&amp;" YTD"</f>
        <v>3 YTD</v>
      </c>
      <c r="AF2" s="734" t="str">
        <f ca="1">MONTH(TODAY())-1&amp;" YTD"</f>
        <v>3 YTD</v>
      </c>
      <c r="AG2" s="734" t="str">
        <f ca="1">MONTH(TODAY())-1&amp;" YTD"</f>
        <v>3 YTD</v>
      </c>
      <c r="AI2" s="118" t="s">
        <v>234</v>
      </c>
      <c r="AJ2" s="118" t="s">
        <v>234</v>
      </c>
    </row>
    <row r="3" spans="1:36" hidden="1" x14ac:dyDescent="0.3">
      <c r="B3" s="734" t="s">
        <v>544</v>
      </c>
      <c r="E3" s="734">
        <v>12</v>
      </c>
      <c r="F3" s="734">
        <f ca="1">LEFT(F$2,2)*1</f>
        <v>3</v>
      </c>
      <c r="G3" s="734">
        <v>12</v>
      </c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V3" s="118"/>
      <c r="W3" s="118"/>
      <c r="X3" s="118"/>
      <c r="Y3" s="118"/>
      <c r="Z3" s="118"/>
      <c r="AA3" s="118"/>
      <c r="AB3" s="118"/>
      <c r="AC3" s="118"/>
      <c r="AD3" s="693"/>
      <c r="AE3" s="118"/>
      <c r="AF3" s="118"/>
      <c r="AJ3" s="118"/>
    </row>
    <row r="4" spans="1:36" hidden="1" x14ac:dyDescent="0.3"/>
    <row r="5" spans="1:36" hidden="1" x14ac:dyDescent="0.3">
      <c r="B5" s="734">
        <f ca="1">YEAR(TODAY())</f>
        <v>2022</v>
      </c>
      <c r="C5" s="734">
        <f ca="1">MONTH(TODAY())</f>
        <v>4</v>
      </c>
    </row>
    <row r="6" spans="1:36" x14ac:dyDescent="0.3">
      <c r="B6" s="387"/>
      <c r="C6" s="387"/>
      <c r="E6" s="692" t="s">
        <v>550</v>
      </c>
      <c r="F6" s="729" t="s">
        <v>551</v>
      </c>
      <c r="G6" s="730" t="s">
        <v>551</v>
      </c>
      <c r="I6" s="729" t="str">
        <f>TEXT(I$2,"00")&amp;" "&amp;I$1</f>
        <v>01 2021</v>
      </c>
      <c r="J6" s="729" t="str">
        <f t="shared" ref="J6:M6" si="0">TEXT(J$2,"00")&amp;" "&amp;J$1</f>
        <v>02 2021</v>
      </c>
      <c r="K6" s="729" t="str">
        <f t="shared" si="0"/>
        <v>03 2021</v>
      </c>
      <c r="L6" s="729" t="str">
        <f t="shared" si="0"/>
        <v>04 2021</v>
      </c>
      <c r="M6" s="729" t="str">
        <f t="shared" si="0"/>
        <v>05 2021</v>
      </c>
      <c r="N6" s="722" t="s">
        <v>597</v>
      </c>
      <c r="O6" s="722" t="s">
        <v>598</v>
      </c>
      <c r="P6" s="722" t="s">
        <v>599</v>
      </c>
      <c r="Q6" s="722" t="s">
        <v>600</v>
      </c>
      <c r="R6" s="722" t="s">
        <v>561</v>
      </c>
      <c r="S6" s="722" t="s">
        <v>562</v>
      </c>
      <c r="T6" s="722" t="s">
        <v>563</v>
      </c>
      <c r="V6" s="729" t="s">
        <v>558</v>
      </c>
      <c r="W6" s="729" t="s">
        <v>559</v>
      </c>
      <c r="X6" s="729" t="s">
        <v>554</v>
      </c>
      <c r="Y6" s="729" t="s">
        <v>555</v>
      </c>
      <c r="Z6" s="729" t="s">
        <v>560</v>
      </c>
      <c r="AA6" s="662" t="s">
        <v>561</v>
      </c>
      <c r="AB6" s="662" t="s">
        <v>562</v>
      </c>
      <c r="AC6" s="662" t="s">
        <v>563</v>
      </c>
      <c r="AD6" s="667"/>
      <c r="AE6" s="729" t="str">
        <f ca="1">AE$2&amp;" "&amp;AE$1</f>
        <v>3 YTD 2021</v>
      </c>
      <c r="AF6" s="730" t="str">
        <f ca="1">AF$2&amp;" "&amp;AF$1</f>
        <v>3 YTD 2021</v>
      </c>
      <c r="AG6" s="694" t="str">
        <f ca="1">AG$2&amp;" "&amp;AG$1</f>
        <v>3 YTD 2021</v>
      </c>
      <c r="AI6" s="661" t="str">
        <f>AI$2&amp;" "&amp;AI$1</f>
        <v>12 YTD 2020</v>
      </c>
      <c r="AJ6" s="730" t="str">
        <f>AJ$2&amp;" "&amp;AJ$1</f>
        <v>12 YTD 2021</v>
      </c>
    </row>
    <row r="7" spans="1:36" x14ac:dyDescent="0.3">
      <c r="C7" s="387" t="s">
        <v>565</v>
      </c>
      <c r="E7" s="692" t="s">
        <v>245</v>
      </c>
      <c r="F7" s="729" t="s">
        <v>245</v>
      </c>
      <c r="G7" s="730" t="s">
        <v>115</v>
      </c>
      <c r="I7" s="729" t="s">
        <v>245</v>
      </c>
      <c r="J7" s="729" t="s">
        <v>245</v>
      </c>
      <c r="K7" s="729" t="s">
        <v>245</v>
      </c>
      <c r="L7" s="729" t="s">
        <v>245</v>
      </c>
      <c r="M7" s="729" t="s">
        <v>245</v>
      </c>
      <c r="N7" s="722" t="s">
        <v>245</v>
      </c>
      <c r="O7" s="722" t="s">
        <v>245</v>
      </c>
      <c r="P7" s="722" t="s">
        <v>245</v>
      </c>
      <c r="Q7" s="722" t="s">
        <v>245</v>
      </c>
      <c r="R7" s="722" t="s">
        <v>245</v>
      </c>
      <c r="S7" s="722" t="s">
        <v>245</v>
      </c>
      <c r="T7" s="722" t="s">
        <v>245</v>
      </c>
      <c r="V7" s="729" t="s">
        <v>245</v>
      </c>
      <c r="W7" s="729" t="s">
        <v>245</v>
      </c>
      <c r="X7" s="729" t="s">
        <v>245</v>
      </c>
      <c r="Y7" s="729" t="s">
        <v>245</v>
      </c>
      <c r="Z7" s="729" t="s">
        <v>245</v>
      </c>
      <c r="AA7" s="662" t="s">
        <v>564</v>
      </c>
      <c r="AB7" s="662" t="s">
        <v>564</v>
      </c>
      <c r="AC7" s="662" t="s">
        <v>564</v>
      </c>
      <c r="AD7" s="667"/>
      <c r="AE7" s="729" t="s">
        <v>654</v>
      </c>
      <c r="AF7" s="730" t="s">
        <v>655</v>
      </c>
      <c r="AG7" s="695" t="s">
        <v>652</v>
      </c>
      <c r="AI7" s="661" t="s">
        <v>654</v>
      </c>
      <c r="AJ7" s="730" t="s">
        <v>655</v>
      </c>
    </row>
    <row r="8" spans="1:36" s="686" customFormat="1" x14ac:dyDescent="0.3">
      <c r="B8" s="731" t="s">
        <v>656</v>
      </c>
      <c r="C8" s="687"/>
      <c r="D8" s="437"/>
      <c r="E8" s="698"/>
      <c r="F8" s="698"/>
      <c r="G8" s="699"/>
      <c r="H8" s="437"/>
      <c r="I8" s="699"/>
      <c r="J8" s="699"/>
      <c r="K8" s="699"/>
      <c r="L8" s="699"/>
      <c r="M8" s="699"/>
      <c r="N8" s="698"/>
      <c r="O8" s="698"/>
      <c r="P8" s="698"/>
      <c r="Q8" s="698"/>
      <c r="R8" s="698"/>
      <c r="S8" s="698"/>
      <c r="T8" s="698"/>
      <c r="U8" s="437"/>
      <c r="V8" s="698"/>
      <c r="W8" s="698"/>
      <c r="X8" s="698"/>
      <c r="Y8" s="698"/>
      <c r="Z8" s="698"/>
      <c r="AA8" s="698"/>
      <c r="AB8" s="698"/>
      <c r="AC8" s="688"/>
      <c r="AD8" s="688"/>
      <c r="AE8" s="689"/>
      <c r="AF8" s="690"/>
      <c r="AH8" s="437"/>
      <c r="AI8" s="689"/>
      <c r="AJ8" s="691"/>
    </row>
    <row r="9" spans="1:36" x14ac:dyDescent="0.3">
      <c r="A9" s="437" t="s">
        <v>585</v>
      </c>
      <c r="B9" s="725" t="s">
        <v>580</v>
      </c>
      <c r="C9" s="734" t="s">
        <v>653</v>
      </c>
      <c r="E9" s="697">
        <f t="shared" ref="E9:E18" si="1">$AI9/E$3</f>
        <v>422.91666666666669</v>
      </c>
      <c r="F9" s="697">
        <f ca="1">IFERROR(1/F$3,1)*SUMIFS(Data!$S$3:$S$305,Data!$O$3:$O$305,F$1,Data!$P$3:$P$305,IF(RIGHT(F$2,3)="YTD","&lt;="&amp;LEFT(F$2,2)*1,F$2),Data!$K$3:$K$305,$B9)</f>
        <v>0</v>
      </c>
      <c r="G9" s="697">
        <f>AJ9/12</f>
        <v>30833.333333333332</v>
      </c>
      <c r="I9" s="697">
        <f>'Reporting 2021'!I15</f>
        <v>0</v>
      </c>
      <c r="J9" s="697">
        <f>'Reporting 2021'!J15</f>
        <v>0</v>
      </c>
      <c r="K9" s="697">
        <f>'Reporting 2021'!K15</f>
        <v>0</v>
      </c>
      <c r="L9" s="697">
        <f>'Reporting 2021'!L15</f>
        <v>0</v>
      </c>
      <c r="M9" s="697">
        <f>IFERROR(1/M$3,1)*SUMIFS(Data!$S$3:$S$305,Data!$O$3:$O$305,M$1,Data!$P$3:$P$305,IF(RIGHT(M$2,3)="YTD","&lt;="&amp;LEFT(M$2,2)*1,M$2),Data!$K$3:$K$305,$B9)</f>
        <v>0</v>
      </c>
      <c r="N9" s="710">
        <f>SUMIFS(Data!$S$3:$S$305,Data!$O$3:$O$305,N$1,Data!$P$3:$P$305,N$2,Data!$K$3:$K$305,$B9)</f>
        <v>0</v>
      </c>
      <c r="O9" s="710">
        <f>SUMIFS(Data!$S$3:$S$305,Data!$O$3:$O$305,O$1,Data!$P$3:$P$305,O$2,Data!$K$3:$K$305,$B9)</f>
        <v>0</v>
      </c>
      <c r="P9" s="710">
        <f>SUMIFS(Data!$S$3:$S$305,Data!$O$3:$O$305,P$1,Data!$P$3:$P$305,P$2,Data!$K$3:$K$305,$B9)</f>
        <v>0</v>
      </c>
      <c r="Q9" s="710">
        <f>SUMIFS(Data!$S$3:$S$305,Data!$O$3:$O$305,Q$1,Data!$P$3:$P$305,Q$2,Data!$K$3:$K$305,$B9)</f>
        <v>0</v>
      </c>
      <c r="R9" s="710">
        <f>SUMIFS(Data!$S$3:$S$305,Data!$O$3:$O$305,R$1,Data!$P$3:$P$305,R$2,Data!$K$3:$K$305,$B9)</f>
        <v>0</v>
      </c>
      <c r="S9" s="710">
        <f>SUMIFS(Data!$S$3:$S$305,Data!$O$3:$O$305,S$1,Data!$P$3:$P$305,S$2,Data!$K$3:$K$305,$B9)</f>
        <v>0</v>
      </c>
      <c r="T9" s="710">
        <f>SUMIFS(Data!$S$3:$S$305,Data!$O$3:$O$305,T$1,Data!$P$3:$P$305,T$2,Data!$K$3:$K$305,$B9)</f>
        <v>0</v>
      </c>
      <c r="V9" s="697">
        <f>'Reporting 2021'!M15</f>
        <v>0</v>
      </c>
      <c r="W9" s="697">
        <f>'Reporting 2021'!N15</f>
        <v>0</v>
      </c>
      <c r="X9" s="697">
        <v>0</v>
      </c>
      <c r="Y9" s="697">
        <v>0</v>
      </c>
      <c r="Z9" s="697">
        <v>0</v>
      </c>
      <c r="AA9" s="697">
        <v>30833.333333333332</v>
      </c>
      <c r="AB9" s="697">
        <f t="shared" ref="AB9:AC9" si="2">$G9</f>
        <v>30833.333333333332</v>
      </c>
      <c r="AC9" s="697">
        <f t="shared" si="2"/>
        <v>30833.333333333332</v>
      </c>
      <c r="AD9" s="697"/>
      <c r="AE9" s="697">
        <f ca="1">IFERROR(1/AE$3,1)*SUMIFS(Data!$S$3:$S$305,Data!$O$3:$O$305,AE$1,Data!$P$3:$P$305,IF(RIGHT(AE$2,3)="YTD","&lt;="&amp;LEFT(AE$2,2)*1,AE$2),Data!$K$3:$K$305,$B9)</f>
        <v>0</v>
      </c>
      <c r="AF9" s="697">
        <f t="shared" ref="AF9:AF18" ca="1" si="3">AJ9/12*LEFT(AF$2,2)*1</f>
        <v>92500</v>
      </c>
      <c r="AG9" s="716">
        <f t="shared" ref="AG9:AG18" ca="1" si="4">AE9-AF9</f>
        <v>-92500</v>
      </c>
      <c r="AI9" s="697">
        <v>5075</v>
      </c>
      <c r="AJ9" s="697">
        <v>370000</v>
      </c>
    </row>
    <row r="10" spans="1:36" x14ac:dyDescent="0.3">
      <c r="A10" s="437" t="s">
        <v>586</v>
      </c>
      <c r="B10" s="725" t="s">
        <v>582</v>
      </c>
      <c r="C10" s="734" t="s">
        <v>653</v>
      </c>
      <c r="E10" s="697">
        <f t="shared" si="1"/>
        <v>957.5</v>
      </c>
      <c r="F10" s="697">
        <f ca="1">IFERROR(1/F$3,1)*SUMIFS(Data!$S$3:$S$305,Data!$O$3:$O$305,F$1,Data!$P$3:$P$305,IF(RIGHT(F$2,3)="YTD","&lt;="&amp;LEFT(F$2,2)*1,F$2),Data!$K$3:$K$305,$B10)</f>
        <v>0</v>
      </c>
      <c r="G10" s="697">
        <f>AJ10/12</f>
        <v>0</v>
      </c>
      <c r="I10" s="697">
        <f>'Reporting 2021'!I16</f>
        <v>0</v>
      </c>
      <c r="J10" s="697">
        <f>'Reporting 2021'!J16</f>
        <v>0</v>
      </c>
      <c r="K10" s="697">
        <f>'Reporting 2021'!K16</f>
        <v>0</v>
      </c>
      <c r="L10" s="697">
        <f>'Reporting 2021'!L16</f>
        <v>0</v>
      </c>
      <c r="M10" s="697">
        <f>IFERROR(1/M$3,1)*SUMIFS(Data!$S$3:$S$305,Data!$O$3:$O$305,M$1,Data!$P$3:$P$305,IF(RIGHT(M$2,3)="YTD","&lt;="&amp;LEFT(M$2,2)*1,M$2),Data!$K$3:$K$305,$B10)</f>
        <v>0</v>
      </c>
      <c r="N10" s="710">
        <f>SUMIFS(Data!$S$3:$S$305,Data!$O$3:$O$305,N$1,Data!$P$3:$P$305,N$2,Data!$K$3:$K$305,$B10)</f>
        <v>0</v>
      </c>
      <c r="O10" s="710">
        <f>SUMIFS(Data!$S$3:$S$305,Data!$O$3:$O$305,O$1,Data!$P$3:$P$305,O$2,Data!$K$3:$K$305,$B10)</f>
        <v>0</v>
      </c>
      <c r="P10" s="710">
        <f>SUMIFS(Data!$S$3:$S$305,Data!$O$3:$O$305,P$1,Data!$P$3:$P$305,P$2,Data!$K$3:$K$305,$B10)</f>
        <v>0</v>
      </c>
      <c r="Q10" s="710">
        <f>SUMIFS(Data!$S$3:$S$305,Data!$O$3:$O$305,Q$1,Data!$P$3:$P$305,Q$2,Data!$K$3:$K$305,$B10)</f>
        <v>0</v>
      </c>
      <c r="R10" s="710">
        <f>SUMIFS(Data!$S$3:$S$305,Data!$O$3:$O$305,R$1,Data!$P$3:$P$305,R$2,Data!$K$3:$K$305,$B10)</f>
        <v>0</v>
      </c>
      <c r="S10" s="710">
        <f>SUMIFS(Data!$S$3:$S$305,Data!$O$3:$O$305,S$1,Data!$P$3:$P$305,S$2,Data!$K$3:$K$305,$B10)</f>
        <v>0</v>
      </c>
      <c r="T10" s="710">
        <f>SUMIFS(Data!$S$3:$S$305,Data!$O$3:$O$305,T$1,Data!$P$3:$P$305,T$2,Data!$K$3:$K$305,$B10)</f>
        <v>0</v>
      </c>
      <c r="V10" s="697">
        <f>'Reporting 2021'!M16</f>
        <v>0</v>
      </c>
      <c r="W10" s="697">
        <f>'Reporting 2021'!N16</f>
        <v>0</v>
      </c>
      <c r="X10" s="697">
        <v>0</v>
      </c>
      <c r="Y10" s="697">
        <v>0</v>
      </c>
      <c r="Z10" s="697">
        <v>0</v>
      </c>
      <c r="AA10" s="697">
        <v>0</v>
      </c>
      <c r="AB10" s="697">
        <f t="shared" ref="AB10:AC18" si="5">$G10</f>
        <v>0</v>
      </c>
      <c r="AC10" s="697">
        <f t="shared" si="5"/>
        <v>0</v>
      </c>
      <c r="AD10" s="697"/>
      <c r="AE10" s="697">
        <f ca="1">IFERROR(1/AE$3,1)*SUMIFS(Data!$S$3:$S$305,Data!$O$3:$O$305,AE$1,Data!$P$3:$P$305,IF(RIGHT(AE$2,3)="YTD","&lt;="&amp;LEFT(AE$2,2)*1,AE$2),Data!$K$3:$K$305,$B10)</f>
        <v>0</v>
      </c>
      <c r="AF10" s="697">
        <f t="shared" ca="1" si="3"/>
        <v>0</v>
      </c>
      <c r="AG10" s="716">
        <f t="shared" ca="1" si="4"/>
        <v>0</v>
      </c>
      <c r="AI10" s="697">
        <v>11490</v>
      </c>
      <c r="AJ10" s="697">
        <v>0</v>
      </c>
    </row>
    <row r="11" spans="1:36" x14ac:dyDescent="0.3">
      <c r="B11" s="725" t="s">
        <v>579</v>
      </c>
      <c r="C11" s="734" t="s">
        <v>653</v>
      </c>
      <c r="E11" s="697">
        <f t="shared" si="1"/>
        <v>44543.333333333336</v>
      </c>
      <c r="F11" s="697">
        <f ca="1">IFERROR(1/F$3,1)*SUMIFS(Data!$S$3:$S$305,Data!$O$3:$O$305,F$1,Data!$P$3:$P$305,IF(RIGHT(F$2,3)="YTD","&lt;="&amp;LEFT(F$2,2)*1,F$2),Data!$K$3:$K$305,$B11)</f>
        <v>0</v>
      </c>
      <c r="G11" s="697">
        <f t="shared" ref="G11:G18" si="6">AJ11/12</f>
        <v>0</v>
      </c>
      <c r="I11" s="697">
        <f>'Reporting 2021'!I17</f>
        <v>0</v>
      </c>
      <c r="J11" s="697">
        <f>'Reporting 2021'!J17</f>
        <v>0</v>
      </c>
      <c r="K11" s="697">
        <f>'Reporting 2021'!K17</f>
        <v>0</v>
      </c>
      <c r="L11" s="697">
        <f>'Reporting 2021'!L17</f>
        <v>0</v>
      </c>
      <c r="M11" s="697">
        <f>IFERROR(1/M$3,1)*SUMIFS(Data!$S$3:$S$305,Data!$O$3:$O$305,M$1,Data!$P$3:$P$305,IF(RIGHT(M$2,3)="YTD","&lt;="&amp;LEFT(M$2,2)*1,M$2),Data!$K$3:$K$305,$B11)</f>
        <v>0</v>
      </c>
      <c r="N11" s="710">
        <f>SUMIFS(Data!$S$3:$S$305,Data!$O$3:$O$305,N$1,Data!$P$3:$P$305,N$2,Data!$K$3:$K$305,$B11)</f>
        <v>0</v>
      </c>
      <c r="O11" s="710">
        <f>SUMIFS(Data!$S$3:$S$305,Data!$O$3:$O$305,O$1,Data!$P$3:$P$305,O$2,Data!$K$3:$K$305,$B11)</f>
        <v>0</v>
      </c>
      <c r="P11" s="710">
        <f>SUMIFS(Data!$S$3:$S$305,Data!$O$3:$O$305,P$1,Data!$P$3:$P$305,P$2,Data!$K$3:$K$305,$B11)</f>
        <v>0</v>
      </c>
      <c r="Q11" s="710">
        <f>SUMIFS(Data!$S$3:$S$305,Data!$O$3:$O$305,Q$1,Data!$P$3:$P$305,Q$2,Data!$K$3:$K$305,$B11)</f>
        <v>0</v>
      </c>
      <c r="R11" s="710">
        <f>SUMIFS(Data!$S$3:$S$305,Data!$O$3:$O$305,R$1,Data!$P$3:$P$305,R$2,Data!$K$3:$K$305,$B11)</f>
        <v>0</v>
      </c>
      <c r="S11" s="710">
        <f>SUMIFS(Data!$S$3:$S$305,Data!$O$3:$O$305,S$1,Data!$P$3:$P$305,S$2,Data!$K$3:$K$305,$B11)</f>
        <v>0</v>
      </c>
      <c r="T11" s="710">
        <f>SUMIFS(Data!$S$3:$S$305,Data!$O$3:$O$305,T$1,Data!$P$3:$P$305,T$2,Data!$K$3:$K$305,$B11)</f>
        <v>2750</v>
      </c>
      <c r="V11" s="697">
        <f>'Reporting 2021'!M17</f>
        <v>0</v>
      </c>
      <c r="W11" s="697">
        <f>'Reporting 2021'!N17</f>
        <v>0</v>
      </c>
      <c r="X11" s="697">
        <v>0</v>
      </c>
      <c r="Y11" s="697">
        <v>0</v>
      </c>
      <c r="Z11" s="697">
        <v>0</v>
      </c>
      <c r="AA11" s="697">
        <v>0</v>
      </c>
      <c r="AB11" s="697">
        <f t="shared" si="5"/>
        <v>0</v>
      </c>
      <c r="AC11" s="697">
        <f t="shared" si="5"/>
        <v>0</v>
      </c>
      <c r="AD11" s="697"/>
      <c r="AE11" s="697">
        <f ca="1">IFERROR(1/AE$3,1)*SUMIFS(Data!$S$3:$S$305,Data!$O$3:$O$305,AE$1,Data!$P$3:$P$305,IF(RIGHT(AE$2,3)="YTD","&lt;="&amp;LEFT(AE$2,2)*1,AE$2),Data!$K$3:$K$305,$B11)</f>
        <v>0</v>
      </c>
      <c r="AF11" s="697">
        <f t="shared" ca="1" si="3"/>
        <v>0</v>
      </c>
      <c r="AG11" s="716">
        <f t="shared" ca="1" si="4"/>
        <v>0</v>
      </c>
      <c r="AI11" s="697">
        <v>534520</v>
      </c>
      <c r="AJ11" s="697">
        <v>0</v>
      </c>
    </row>
    <row r="12" spans="1:36" x14ac:dyDescent="0.3">
      <c r="A12" s="437" t="s">
        <v>587</v>
      </c>
      <c r="B12" s="725" t="s">
        <v>581</v>
      </c>
      <c r="C12" s="734" t="s">
        <v>653</v>
      </c>
      <c r="E12" s="697">
        <f t="shared" si="1"/>
        <v>1117.5</v>
      </c>
      <c r="F12" s="697">
        <f ca="1">IFERROR(1/F$3,1)*SUMIFS(Data!$S$3:$S$305,Data!$O$3:$O$305,F$1,Data!$P$3:$P$305,IF(RIGHT(F$2,3)="YTD","&lt;="&amp;LEFT(F$2,2)*1,F$2),Data!$K$3:$K$305,$B12)</f>
        <v>0</v>
      </c>
      <c r="G12" s="697">
        <f t="shared" si="6"/>
        <v>0</v>
      </c>
      <c r="I12" s="697">
        <f>'Reporting 2021'!I18</f>
        <v>0</v>
      </c>
      <c r="J12" s="697">
        <f>'Reporting 2021'!J18</f>
        <v>0</v>
      </c>
      <c r="K12" s="697">
        <f>'Reporting 2021'!K18</f>
        <v>0</v>
      </c>
      <c r="L12" s="697">
        <f>'Reporting 2021'!L18</f>
        <v>0</v>
      </c>
      <c r="M12" s="697">
        <f>IFERROR(1/M$3,1)*SUMIFS(Data!$S$3:$S$305,Data!$O$3:$O$305,M$1,Data!$P$3:$P$305,IF(RIGHT(M$2,3)="YTD","&lt;="&amp;LEFT(M$2,2)*1,M$2),Data!$K$3:$K$305,$B12)</f>
        <v>0</v>
      </c>
      <c r="N12" s="710">
        <f>SUMIFS(Data!$S$3:$S$305,Data!$O$3:$O$305,N$1,Data!$P$3:$P$305,N$2,Data!$K$3:$K$305,$B12)</f>
        <v>0</v>
      </c>
      <c r="O12" s="710">
        <f>SUMIFS(Data!$S$3:$S$305,Data!$O$3:$O$305,O$1,Data!$P$3:$P$305,O$2,Data!$K$3:$K$305,$B12)</f>
        <v>0</v>
      </c>
      <c r="P12" s="710">
        <f>SUMIFS(Data!$S$3:$S$305,Data!$O$3:$O$305,P$1,Data!$P$3:$P$305,P$2,Data!$K$3:$K$305,$B12)</f>
        <v>0</v>
      </c>
      <c r="Q12" s="710">
        <f>SUMIFS(Data!$S$3:$S$305,Data!$O$3:$O$305,Q$1,Data!$P$3:$P$305,Q$2,Data!$K$3:$K$305,$B12)</f>
        <v>0</v>
      </c>
      <c r="R12" s="710">
        <f>SUMIFS(Data!$S$3:$S$305,Data!$O$3:$O$305,R$1,Data!$P$3:$P$305,R$2,Data!$K$3:$K$305,$B12)</f>
        <v>0</v>
      </c>
      <c r="S12" s="710">
        <f>SUMIFS(Data!$S$3:$S$305,Data!$O$3:$O$305,S$1,Data!$P$3:$P$305,S$2,Data!$K$3:$K$305,$B12)</f>
        <v>0</v>
      </c>
      <c r="T12" s="710">
        <f>SUMIFS(Data!$S$3:$S$305,Data!$O$3:$O$305,T$1,Data!$P$3:$P$305,T$2,Data!$K$3:$K$305,$B12)</f>
        <v>0</v>
      </c>
      <c r="V12" s="697">
        <f>'Reporting 2021'!M18</f>
        <v>0</v>
      </c>
      <c r="W12" s="697">
        <f>'Reporting 2021'!N18</f>
        <v>0</v>
      </c>
      <c r="X12" s="697">
        <v>0</v>
      </c>
      <c r="Y12" s="697">
        <v>0</v>
      </c>
      <c r="Z12" s="697">
        <v>0</v>
      </c>
      <c r="AA12" s="697">
        <v>0</v>
      </c>
      <c r="AB12" s="697">
        <f t="shared" si="5"/>
        <v>0</v>
      </c>
      <c r="AC12" s="697">
        <f t="shared" si="5"/>
        <v>0</v>
      </c>
      <c r="AD12" s="697"/>
      <c r="AE12" s="697">
        <f ca="1">IFERROR(1/AE$3,1)*SUMIFS(Data!$S$3:$S$305,Data!$O$3:$O$305,AE$1,Data!$P$3:$P$305,IF(RIGHT(AE$2,3)="YTD","&lt;="&amp;LEFT(AE$2,2)*1,AE$2),Data!$K$3:$K$305,$B12)</f>
        <v>0</v>
      </c>
      <c r="AF12" s="697">
        <f t="shared" ca="1" si="3"/>
        <v>0</v>
      </c>
      <c r="AG12" s="716">
        <f t="shared" ca="1" si="4"/>
        <v>0</v>
      </c>
      <c r="AI12" s="697">
        <v>13410</v>
      </c>
      <c r="AJ12" s="697">
        <v>0</v>
      </c>
    </row>
    <row r="13" spans="1:36" x14ac:dyDescent="0.3">
      <c r="A13" s="437" t="s">
        <v>588</v>
      </c>
      <c r="B13" s="725" t="s">
        <v>518</v>
      </c>
      <c r="C13" s="734" t="s">
        <v>653</v>
      </c>
      <c r="E13" s="697">
        <f t="shared" si="1"/>
        <v>8626.25</v>
      </c>
      <c r="F13" s="697">
        <f ca="1">IFERROR(1/F$3,1)*SUMIFS(Data!$S$3:$S$305,Data!$O$3:$O$305,F$1,Data!$P$3:$P$305,IF(RIGHT(F$2,3)="YTD","&lt;="&amp;LEFT(F$2,2)*1,F$2),Data!$K$3:$K$305,$B13)</f>
        <v>0</v>
      </c>
      <c r="G13" s="697">
        <f t="shared" si="6"/>
        <v>0</v>
      </c>
      <c r="I13" s="697">
        <f>'Reporting 2021'!I19</f>
        <v>0</v>
      </c>
      <c r="J13" s="697">
        <f>'Reporting 2021'!J19</f>
        <v>0</v>
      </c>
      <c r="K13" s="697">
        <f>'Reporting 2021'!K19</f>
        <v>0</v>
      </c>
      <c r="L13" s="697">
        <f>'Reporting 2021'!L19</f>
        <v>0</v>
      </c>
      <c r="M13" s="697">
        <f>IFERROR(1/M$3,1)*SUMIFS(Data!$S$3:$S$305,Data!$O$3:$O$305,M$1,Data!$P$3:$P$305,IF(RIGHT(M$2,3)="YTD","&lt;="&amp;LEFT(M$2,2)*1,M$2),Data!$K$3:$K$305,$B13)</f>
        <v>0</v>
      </c>
      <c r="N13" s="710">
        <f>SUMIFS(Data!$S$3:$S$305,Data!$O$3:$O$305,N$1,Data!$P$3:$P$305,N$2,Data!$K$3:$K$305,$B13)</f>
        <v>0</v>
      </c>
      <c r="O13" s="710">
        <f>SUMIFS(Data!$S$3:$S$305,Data!$O$3:$O$305,O$1,Data!$P$3:$P$305,O$2,Data!$K$3:$K$305,$B13)</f>
        <v>0</v>
      </c>
      <c r="P13" s="710">
        <f>SUMIFS(Data!$S$3:$S$305,Data!$O$3:$O$305,P$1,Data!$P$3:$P$305,P$2,Data!$K$3:$K$305,$B13)</f>
        <v>0</v>
      </c>
      <c r="Q13" s="710">
        <f>SUMIFS(Data!$S$3:$S$305,Data!$O$3:$O$305,Q$1,Data!$P$3:$P$305,Q$2,Data!$K$3:$K$305,$B13)</f>
        <v>0</v>
      </c>
      <c r="R13" s="710">
        <f>SUMIFS(Data!$S$3:$S$305,Data!$O$3:$O$305,R$1,Data!$P$3:$P$305,R$2,Data!$K$3:$K$305,$B13)</f>
        <v>0</v>
      </c>
      <c r="S13" s="710">
        <f>SUMIFS(Data!$S$3:$S$305,Data!$O$3:$O$305,S$1,Data!$P$3:$P$305,S$2,Data!$K$3:$K$305,$B13)</f>
        <v>0</v>
      </c>
      <c r="T13" s="710">
        <f>SUMIFS(Data!$S$3:$S$305,Data!$O$3:$O$305,T$1,Data!$P$3:$P$305,T$2,Data!$K$3:$K$305,$B13)</f>
        <v>0</v>
      </c>
      <c r="V13" s="697">
        <f>'Reporting 2021'!M19</f>
        <v>0</v>
      </c>
      <c r="W13" s="697">
        <f>'Reporting 2021'!N19</f>
        <v>0</v>
      </c>
      <c r="X13" s="697">
        <v>0</v>
      </c>
      <c r="Y13" s="697">
        <v>0</v>
      </c>
      <c r="Z13" s="697">
        <v>0</v>
      </c>
      <c r="AA13" s="697">
        <v>0</v>
      </c>
      <c r="AB13" s="697">
        <f t="shared" si="5"/>
        <v>0</v>
      </c>
      <c r="AC13" s="697">
        <f t="shared" si="5"/>
        <v>0</v>
      </c>
      <c r="AD13" s="697"/>
      <c r="AE13" s="697">
        <f ca="1">IFERROR(1/AE$3,1)*SUMIFS(Data!$S$3:$S$305,Data!$O$3:$O$305,AE$1,Data!$P$3:$P$305,IF(RIGHT(AE$2,3)="YTD","&lt;="&amp;LEFT(AE$2,2)*1,AE$2),Data!$K$3:$K$305,$B13)</f>
        <v>0</v>
      </c>
      <c r="AF13" s="697">
        <f t="shared" ca="1" si="3"/>
        <v>0</v>
      </c>
      <c r="AG13" s="716">
        <f t="shared" ca="1" si="4"/>
        <v>0</v>
      </c>
      <c r="AI13" s="697">
        <v>103515</v>
      </c>
      <c r="AJ13" s="697">
        <v>0</v>
      </c>
    </row>
    <row r="14" spans="1:36" x14ac:dyDescent="0.3">
      <c r="A14" s="437" t="s">
        <v>594</v>
      </c>
      <c r="B14" s="725" t="s">
        <v>569</v>
      </c>
      <c r="C14" s="734" t="s">
        <v>653</v>
      </c>
      <c r="E14" s="697">
        <f t="shared" si="1"/>
        <v>9451.5833333333339</v>
      </c>
      <c r="F14" s="697">
        <f ca="1">IFERROR(1/F$3,1)*SUMIFS(Data!$S$3:$S$305,Data!$O$3:$O$305,F$1,Data!$P$3:$P$305,IF(RIGHT(F$2,3)="YTD","&lt;="&amp;LEFT(F$2,2)*1,F$2),Data!$K$3:$K$305,$B14)</f>
        <v>0</v>
      </c>
      <c r="G14" s="697">
        <f t="shared" si="6"/>
        <v>20833.333333333332</v>
      </c>
      <c r="I14" s="697">
        <f>'Reporting 2021'!I20</f>
        <v>0</v>
      </c>
      <c r="J14" s="697">
        <f>'Reporting 2021'!J20</f>
        <v>0</v>
      </c>
      <c r="K14" s="697">
        <f>'Reporting 2021'!K20</f>
        <v>0</v>
      </c>
      <c r="L14" s="697">
        <f>'Reporting 2021'!L20</f>
        <v>0</v>
      </c>
      <c r="M14" s="697">
        <f>IFERROR(1/M$3,1)*SUMIFS(Data!$S$3:$S$305,Data!$O$3:$O$305,M$1,Data!$P$3:$P$305,IF(RIGHT(M$2,3)="YTD","&lt;="&amp;LEFT(M$2,2)*1,M$2),Data!$K$3:$K$305,$B14)</f>
        <v>0</v>
      </c>
      <c r="N14" s="710">
        <f>SUMIFS(Data!$S$3:$S$305,Data!$O$3:$O$305,N$1,Data!$P$3:$P$305,N$2,Data!$K$3:$K$305,$B14)</f>
        <v>0</v>
      </c>
      <c r="O14" s="710">
        <f>SUMIFS(Data!$S$3:$S$305,Data!$O$3:$O$305,O$1,Data!$P$3:$P$305,O$2,Data!$K$3:$K$305,$B14)</f>
        <v>0</v>
      </c>
      <c r="P14" s="710">
        <f>SUMIFS(Data!$S$3:$S$305,Data!$O$3:$O$305,P$1,Data!$P$3:$P$305,P$2,Data!$K$3:$K$305,$B14)</f>
        <v>0</v>
      </c>
      <c r="Q14" s="710">
        <f>SUMIFS(Data!$S$3:$S$305,Data!$O$3:$O$305,Q$1,Data!$P$3:$P$305,Q$2,Data!$K$3:$K$305,$B14)</f>
        <v>0</v>
      </c>
      <c r="R14" s="710">
        <f>SUMIFS(Data!$S$3:$S$305,Data!$O$3:$O$305,R$1,Data!$P$3:$P$305,R$2,Data!$K$3:$K$305,$B14)</f>
        <v>0</v>
      </c>
      <c r="S14" s="710">
        <f>SUMIFS(Data!$S$3:$S$305,Data!$O$3:$O$305,S$1,Data!$P$3:$P$305,S$2,Data!$K$3:$K$305,$B14)</f>
        <v>3180</v>
      </c>
      <c r="T14" s="710">
        <f>SUMIFS(Data!$S$3:$S$305,Data!$O$3:$O$305,T$1,Data!$P$3:$P$305,T$2,Data!$K$3:$K$305,$B14)</f>
        <v>3460</v>
      </c>
      <c r="V14" s="697">
        <f>'Reporting 2021'!M20</f>
        <v>0</v>
      </c>
      <c r="W14" s="697">
        <f>'Reporting 2021'!N20</f>
        <v>0</v>
      </c>
      <c r="X14" s="697">
        <v>0</v>
      </c>
      <c r="Y14" s="697">
        <v>0</v>
      </c>
      <c r="Z14" s="697">
        <v>0</v>
      </c>
      <c r="AA14" s="697">
        <v>20833.333333333332</v>
      </c>
      <c r="AB14" s="697">
        <f t="shared" si="5"/>
        <v>20833.333333333332</v>
      </c>
      <c r="AC14" s="697">
        <f t="shared" si="5"/>
        <v>20833.333333333332</v>
      </c>
      <c r="AD14" s="697"/>
      <c r="AE14" s="697">
        <f ca="1">IFERROR(1/AE$3,1)*SUMIFS(Data!$S$3:$S$305,Data!$O$3:$O$305,AE$1,Data!$P$3:$P$305,IF(RIGHT(AE$2,3)="YTD","&lt;="&amp;LEFT(AE$2,2)*1,AE$2),Data!$K$3:$K$305,$B14)</f>
        <v>0</v>
      </c>
      <c r="AF14" s="697">
        <f t="shared" ca="1" si="3"/>
        <v>62500</v>
      </c>
      <c r="AG14" s="716">
        <f t="shared" ca="1" si="4"/>
        <v>-62500</v>
      </c>
      <c r="AI14" s="697">
        <v>113419</v>
      </c>
      <c r="AJ14" s="697">
        <v>250000</v>
      </c>
    </row>
    <row r="15" spans="1:36" x14ac:dyDescent="0.3">
      <c r="A15" s="437" t="s">
        <v>589</v>
      </c>
      <c r="B15" s="725" t="s">
        <v>583</v>
      </c>
      <c r="C15" s="734" t="s">
        <v>653</v>
      </c>
      <c r="E15" s="697">
        <f t="shared" si="1"/>
        <v>5542.75</v>
      </c>
      <c r="F15" s="697">
        <f ca="1">IFERROR(1/F$3,1)*SUMIFS(Data!$S$3:$S$305,Data!$O$3:$O$305,F$1,Data!$P$3:$P$305,IF(RIGHT(F$2,3)="YTD","&lt;="&amp;LEFT(F$2,2)*1,F$2),Data!$K$3:$K$305,$B15)</f>
        <v>0</v>
      </c>
      <c r="G15" s="697">
        <f t="shared" si="6"/>
        <v>3750</v>
      </c>
      <c r="I15" s="697">
        <f>'Reporting 2021'!I21</f>
        <v>0</v>
      </c>
      <c r="J15" s="697">
        <f>'Reporting 2021'!J21</f>
        <v>0</v>
      </c>
      <c r="K15" s="697">
        <f>'Reporting 2021'!K21</f>
        <v>0</v>
      </c>
      <c r="L15" s="697">
        <f>'Reporting 2021'!L21</f>
        <v>0</v>
      </c>
      <c r="M15" s="697">
        <f>IFERROR(1/M$3,1)*SUMIFS(Data!$S$3:$S$305,Data!$O$3:$O$305,M$1,Data!$P$3:$P$305,IF(RIGHT(M$2,3)="YTD","&lt;="&amp;LEFT(M$2,2)*1,M$2),Data!$K$3:$K$305,$B15)</f>
        <v>0</v>
      </c>
      <c r="N15" s="710">
        <f>SUMIFS(Data!$S$3:$S$305,Data!$O$3:$O$305,N$1,Data!$P$3:$P$305,N$2,Data!$K$3:$K$305,$B15)</f>
        <v>0</v>
      </c>
      <c r="O15" s="710">
        <f>SUMIFS(Data!$S$3:$S$305,Data!$O$3:$O$305,O$1,Data!$P$3:$P$305,O$2,Data!$K$3:$K$305,$B15)</f>
        <v>0</v>
      </c>
      <c r="P15" s="710">
        <f>SUMIFS(Data!$S$3:$S$305,Data!$O$3:$O$305,P$1,Data!$P$3:$P$305,P$2,Data!$K$3:$K$305,$B15)</f>
        <v>0</v>
      </c>
      <c r="Q15" s="710">
        <f>SUMIFS(Data!$S$3:$S$305,Data!$O$3:$O$305,Q$1,Data!$P$3:$P$305,Q$2,Data!$K$3:$K$305,$B15)</f>
        <v>0</v>
      </c>
      <c r="R15" s="710">
        <f>SUMIFS(Data!$S$3:$S$305,Data!$O$3:$O$305,R$1,Data!$P$3:$P$305,R$2,Data!$K$3:$K$305,$B15)</f>
        <v>0</v>
      </c>
      <c r="S15" s="710">
        <f>SUMIFS(Data!$S$3:$S$305,Data!$O$3:$O$305,S$1,Data!$P$3:$P$305,S$2,Data!$K$3:$K$305,$B15)</f>
        <v>0</v>
      </c>
      <c r="T15" s="710">
        <f>SUMIFS(Data!$S$3:$S$305,Data!$O$3:$O$305,T$1,Data!$P$3:$P$305,T$2,Data!$K$3:$K$305,$B15)</f>
        <v>0</v>
      </c>
      <c r="V15" s="697">
        <f>'Reporting 2021'!M21</f>
        <v>0</v>
      </c>
      <c r="W15" s="697">
        <f>'Reporting 2021'!N21</f>
        <v>0</v>
      </c>
      <c r="X15" s="697">
        <v>0</v>
      </c>
      <c r="Y15" s="697">
        <v>0</v>
      </c>
      <c r="Z15" s="697">
        <v>0</v>
      </c>
      <c r="AA15" s="697">
        <v>3750</v>
      </c>
      <c r="AB15" s="697">
        <f t="shared" si="5"/>
        <v>3750</v>
      </c>
      <c r="AC15" s="697">
        <f t="shared" si="5"/>
        <v>3750</v>
      </c>
      <c r="AD15" s="697"/>
      <c r="AE15" s="697">
        <f ca="1">IFERROR(1/AE$3,1)*SUMIFS(Data!$S$3:$S$305,Data!$O$3:$O$305,AE$1,Data!$P$3:$P$305,IF(RIGHT(AE$2,3)="YTD","&lt;="&amp;LEFT(AE$2,2)*1,AE$2),Data!$K$3:$K$305,$B15)</f>
        <v>0</v>
      </c>
      <c r="AF15" s="697">
        <f t="shared" ca="1" si="3"/>
        <v>11250</v>
      </c>
      <c r="AG15" s="716">
        <f t="shared" ca="1" si="4"/>
        <v>-11250</v>
      </c>
      <c r="AI15" s="697">
        <v>66513</v>
      </c>
      <c r="AJ15" s="697">
        <v>45000</v>
      </c>
    </row>
    <row r="16" spans="1:36" x14ac:dyDescent="0.3">
      <c r="A16" s="437" t="s">
        <v>590</v>
      </c>
      <c r="B16" s="725" t="s">
        <v>574</v>
      </c>
      <c r="C16" s="734" t="s">
        <v>653</v>
      </c>
      <c r="E16" s="697">
        <f t="shared" si="1"/>
        <v>304.16666666666669</v>
      </c>
      <c r="F16" s="697">
        <f ca="1">IFERROR(1/F$3,1)*SUMIFS(Data!$S$3:$S$305,Data!$O$3:$O$305,F$1,Data!$P$3:$P$305,IF(RIGHT(F$2,3)="YTD","&lt;="&amp;LEFT(F$2,2)*1,F$2),Data!$K$3:$K$305,$B16)</f>
        <v>2645.2166666666662</v>
      </c>
      <c r="G16" s="697">
        <f t="shared" si="6"/>
        <v>20833.333333333332</v>
      </c>
      <c r="I16" s="697">
        <f>'Reporting 2021'!I22</f>
        <v>0</v>
      </c>
      <c r="J16" s="697">
        <f>'Reporting 2021'!J22</f>
        <v>6900</v>
      </c>
      <c r="K16" s="697">
        <f>'Reporting 2021'!K22</f>
        <v>1035.6500000000001</v>
      </c>
      <c r="L16" s="697">
        <f>'Reporting 2021'!L22</f>
        <v>1200</v>
      </c>
      <c r="M16" s="697">
        <f>IFERROR(1/M$3,1)*SUMIFS(Data!$S$3:$S$305,Data!$O$3:$O$305,M$1,Data!$P$3:$P$305,IF(RIGHT(M$2,3)="YTD","&lt;="&amp;LEFT(M$2,2)*1,M$2),Data!$K$3:$K$305,$B16)</f>
        <v>0</v>
      </c>
      <c r="N16" s="710">
        <f>SUMIFS(Data!$S$3:$S$305,Data!$O$3:$O$305,N$1,Data!$P$3:$P$305,N$2,Data!$K$3:$K$305,$B16)</f>
        <v>1945</v>
      </c>
      <c r="O16" s="710">
        <f>SUMIFS(Data!$S$3:$S$305,Data!$O$3:$O$305,O$1,Data!$P$3:$P$305,O$2,Data!$K$3:$K$305,$B16)</f>
        <v>0</v>
      </c>
      <c r="P16" s="710">
        <f>SUMIFS(Data!$S$3:$S$305,Data!$O$3:$O$305,P$1,Data!$P$3:$P$305,P$2,Data!$K$3:$K$305,$B16)</f>
        <v>0</v>
      </c>
      <c r="Q16" s="710">
        <f>SUMIFS(Data!$S$3:$S$305,Data!$O$3:$O$305,Q$1,Data!$P$3:$P$305,Q$2,Data!$K$3:$K$305,$B16)</f>
        <v>0</v>
      </c>
      <c r="R16" s="710">
        <f>SUMIFS(Data!$S$3:$S$305,Data!$O$3:$O$305,R$1,Data!$P$3:$P$305,R$2,Data!$K$3:$K$305,$B16)</f>
        <v>853</v>
      </c>
      <c r="S16" s="710">
        <f>SUMIFS(Data!$S$3:$S$305,Data!$O$3:$O$305,S$1,Data!$P$3:$P$305,S$2,Data!$K$3:$K$305,$B16)</f>
        <v>3732</v>
      </c>
      <c r="T16" s="710">
        <f>SUMIFS(Data!$S$3:$S$305,Data!$O$3:$O$305,T$1,Data!$P$3:$P$305,T$2,Data!$K$3:$K$305,$B16)</f>
        <v>5877</v>
      </c>
      <c r="V16" s="697">
        <f>'Reporting 2021'!M22</f>
        <v>0</v>
      </c>
      <c r="W16" s="697">
        <f>'Reporting 2021'!N22</f>
        <v>1945</v>
      </c>
      <c r="X16" s="697">
        <v>13392</v>
      </c>
      <c r="Y16" s="697">
        <v>14551.5</v>
      </c>
      <c r="Z16" s="697">
        <v>13225</v>
      </c>
      <c r="AA16" s="697">
        <v>20833.333333333332</v>
      </c>
      <c r="AB16" s="697">
        <f t="shared" si="5"/>
        <v>20833.333333333332</v>
      </c>
      <c r="AC16" s="697">
        <f t="shared" si="5"/>
        <v>20833.333333333332</v>
      </c>
      <c r="AD16" s="697"/>
      <c r="AE16" s="697">
        <f ca="1">IFERROR(1/AE$3,1)*SUMIFS(Data!$S$3:$S$305,Data!$O$3:$O$305,AE$1,Data!$P$3:$P$305,IF(RIGHT(AE$2,3)="YTD","&lt;="&amp;LEFT(AE$2,2)*1,AE$2),Data!$K$3:$K$305,$B16)</f>
        <v>7935.65</v>
      </c>
      <c r="AF16" s="697">
        <f t="shared" ca="1" si="3"/>
        <v>62500</v>
      </c>
      <c r="AG16" s="716">
        <f t="shared" ca="1" si="4"/>
        <v>-54564.35</v>
      </c>
      <c r="AI16" s="697">
        <v>3650</v>
      </c>
      <c r="AJ16" s="697">
        <v>250000</v>
      </c>
    </row>
    <row r="17" spans="1:36" x14ac:dyDescent="0.3">
      <c r="A17" s="437" t="s">
        <v>591</v>
      </c>
      <c r="B17" s="725" t="s">
        <v>592</v>
      </c>
      <c r="C17" s="734" t="s">
        <v>653</v>
      </c>
      <c r="E17" s="697">
        <f t="shared" si="1"/>
        <v>70966</v>
      </c>
      <c r="F17" s="697">
        <f ca="1">IFERROR(1/F$3,1)*SUMIFS(Data!$S$3:$S$305,Data!$O$3:$O$305,F$1,Data!$P$3:$P$305,IF(RIGHT(F$2,3)="YTD","&lt;="&amp;LEFT(F$2,2)*1,F$2),Data!$K$3:$K$305,$B17)</f>
        <v>0</v>
      </c>
      <c r="G17" s="697">
        <f>AJ17/12</f>
        <v>0</v>
      </c>
      <c r="I17" s="697">
        <f>'Reporting 2021'!I23</f>
        <v>0</v>
      </c>
      <c r="J17" s="697">
        <f>'Reporting 2021'!J23</f>
        <v>0</v>
      </c>
      <c r="K17" s="697">
        <f>'Reporting 2021'!K23</f>
        <v>0</v>
      </c>
      <c r="L17" s="697">
        <f>'Reporting 2021'!L23</f>
        <v>0</v>
      </c>
      <c r="M17" s="697">
        <f>IFERROR(1/M$3,1)*SUMIFS(Data!$S$3:$S$305,Data!$O$3:$O$305,M$1,Data!$P$3:$P$305,IF(RIGHT(M$2,3)="YTD","&lt;="&amp;LEFT(M$2,2)*1,M$2),Data!$K$3:$K$305,$B17)</f>
        <v>0</v>
      </c>
      <c r="N17" s="710">
        <f>SUMIFS(Data!$S$3:$S$305,Data!$O$3:$O$305,N$1,Data!$P$3:$P$305,N$2,Data!$K$3:$K$305,$B17)</f>
        <v>0</v>
      </c>
      <c r="O17" s="710">
        <f>SUMIFS(Data!$S$3:$S$305,Data!$O$3:$O$305,O$1,Data!$P$3:$P$305,O$2,Data!$K$3:$K$305,$B17)</f>
        <v>0</v>
      </c>
      <c r="P17" s="710">
        <f>SUMIFS(Data!$S$3:$S$305,Data!$O$3:$O$305,P$1,Data!$P$3:$P$305,P$2,Data!$K$3:$K$305,$B17)</f>
        <v>0</v>
      </c>
      <c r="Q17" s="710">
        <f>SUMIFS(Data!$S$3:$S$305,Data!$O$3:$O$305,Q$1,Data!$P$3:$P$305,Q$2,Data!$K$3:$K$305,$B17)</f>
        <v>3236</v>
      </c>
      <c r="R17" s="710">
        <f>SUMIFS(Data!$S$3:$S$305,Data!$O$3:$O$305,R$1,Data!$P$3:$P$305,R$2,Data!$K$3:$K$305,$B17)</f>
        <v>0</v>
      </c>
      <c r="S17" s="710">
        <f>SUMIFS(Data!$S$3:$S$305,Data!$O$3:$O$305,S$1,Data!$P$3:$P$305,S$2,Data!$K$3:$K$305,$B17)</f>
        <v>0</v>
      </c>
      <c r="T17" s="710">
        <f>SUMIFS(Data!$S$3:$S$305,Data!$O$3:$O$305,T$1,Data!$P$3:$P$305,T$2,Data!$K$3:$K$305,$B17)</f>
        <v>4425</v>
      </c>
      <c r="V17" s="697">
        <f>'Reporting 2021'!M23</f>
        <v>0</v>
      </c>
      <c r="W17" s="697">
        <f>'Reporting 2021'!N23</f>
        <v>0</v>
      </c>
      <c r="X17" s="697">
        <v>4500</v>
      </c>
      <c r="Y17" s="697">
        <v>40.5</v>
      </c>
      <c r="Z17" s="697">
        <v>3000</v>
      </c>
      <c r="AA17" s="697">
        <v>0</v>
      </c>
      <c r="AB17" s="697">
        <f t="shared" si="5"/>
        <v>0</v>
      </c>
      <c r="AC17" s="697">
        <f t="shared" si="5"/>
        <v>0</v>
      </c>
      <c r="AD17" s="697"/>
      <c r="AE17" s="697">
        <f ca="1">IFERROR(1/AE$3,1)*SUMIFS(Data!$S$3:$S$305,Data!$O$3:$O$305,AE$1,Data!$P$3:$P$305,IF(RIGHT(AE$2,3)="YTD","&lt;="&amp;LEFT(AE$2,2)*1,AE$2),Data!$K$3:$K$305,$B17)</f>
        <v>0</v>
      </c>
      <c r="AF17" s="697">
        <f t="shared" ca="1" si="3"/>
        <v>0</v>
      </c>
      <c r="AG17" s="716">
        <f t="shared" ca="1" si="4"/>
        <v>0</v>
      </c>
      <c r="AI17" s="697">
        <v>851592</v>
      </c>
      <c r="AJ17" s="697">
        <v>0</v>
      </c>
    </row>
    <row r="18" spans="1:36" x14ac:dyDescent="0.3">
      <c r="B18" s="725" t="s">
        <v>584</v>
      </c>
      <c r="C18" s="734" t="s">
        <v>653</v>
      </c>
      <c r="E18" s="697">
        <f t="shared" si="1"/>
        <v>228467.83333333334</v>
      </c>
      <c r="F18" s="697">
        <f ca="1">IFERROR(1/F$3,1)*SUMIFS(Data!$S$3:$S$305,Data!$O$3:$O$305,F$1,Data!$P$3:$P$305,IF(RIGHT(F$2,3)="YTD","&lt;="&amp;LEFT(F$2,2)*1,F$2),Data!$K$3:$K$305,$B18)</f>
        <v>0</v>
      </c>
      <c r="G18" s="697">
        <f t="shared" si="6"/>
        <v>0</v>
      </c>
      <c r="I18" s="697">
        <f>'Reporting 2021'!I24</f>
        <v>0</v>
      </c>
      <c r="J18" s="697">
        <f>'Reporting 2021'!J24</f>
        <v>0</v>
      </c>
      <c r="K18" s="697">
        <f>'Reporting 2021'!K24</f>
        <v>0</v>
      </c>
      <c r="L18" s="697">
        <f>'Reporting 2021'!L24</f>
        <v>0</v>
      </c>
      <c r="M18" s="697">
        <f>IFERROR(1/M$3,1)*SUMIFS(Data!$S$3:$S$305,Data!$O$3:$O$305,M$1,Data!$P$3:$P$305,IF(RIGHT(M$2,3)="YTD","&lt;="&amp;LEFT(M$2,2)*1,M$2),Data!$K$3:$K$305,$B18)</f>
        <v>0</v>
      </c>
      <c r="N18" s="710">
        <f>SUMIFS(Data!$S$3:$S$305,Data!$O$3:$O$305,N$1,Data!$P$3:$P$305,N$2,Data!$K$3:$K$305,$B18)</f>
        <v>0</v>
      </c>
      <c r="O18" s="710">
        <f>SUMIFS(Data!$S$3:$S$305,Data!$O$3:$O$305,O$1,Data!$P$3:$P$305,O$2,Data!$K$3:$K$305,$B18)</f>
        <v>0</v>
      </c>
      <c r="P18" s="710">
        <f>SUMIFS(Data!$S$3:$S$305,Data!$O$3:$O$305,P$1,Data!$P$3:$P$305,P$2,Data!$K$3:$K$305,$B18)</f>
        <v>0</v>
      </c>
      <c r="Q18" s="710">
        <f>SUMIFS(Data!$S$3:$S$305,Data!$O$3:$O$305,Q$1,Data!$P$3:$P$305,Q$2,Data!$K$3:$K$305,$B18)</f>
        <v>0</v>
      </c>
      <c r="R18" s="710">
        <f>SUMIFS(Data!$S$3:$S$305,Data!$O$3:$O$305,R$1,Data!$P$3:$P$305,R$2,Data!$K$3:$K$305,$B18)</f>
        <v>0</v>
      </c>
      <c r="S18" s="710">
        <f>SUMIFS(Data!$S$3:$S$305,Data!$O$3:$O$305,S$1,Data!$P$3:$P$305,S$2,Data!$K$3:$K$305,$B18)</f>
        <v>0</v>
      </c>
      <c r="T18" s="710">
        <f>SUMIFS(Data!$S$3:$S$305,Data!$O$3:$O$305,T$1,Data!$P$3:$P$305,T$2,Data!$K$3:$K$305,$B18)</f>
        <v>0</v>
      </c>
      <c r="V18" s="697">
        <f>'Reporting 2021'!M24</f>
        <v>0</v>
      </c>
      <c r="W18" s="697">
        <f>'Reporting 2021'!N24</f>
        <v>0</v>
      </c>
      <c r="X18" s="697">
        <v>0</v>
      </c>
      <c r="Y18" s="697">
        <v>0</v>
      </c>
      <c r="Z18" s="697">
        <v>0</v>
      </c>
      <c r="AA18" s="697">
        <v>0</v>
      </c>
      <c r="AB18" s="697">
        <f t="shared" si="5"/>
        <v>0</v>
      </c>
      <c r="AC18" s="697">
        <f t="shared" si="5"/>
        <v>0</v>
      </c>
      <c r="AD18" s="697"/>
      <c r="AE18" s="697">
        <f ca="1">IFERROR(1/AE$3,1)*SUMIFS(Data!$S$3:$S$305,Data!$O$3:$O$305,AE$1,Data!$P$3:$P$305,IF(RIGHT(AE$2,3)="YTD","&lt;="&amp;LEFT(AE$2,2)*1,AE$2),Data!$K$3:$K$305,$B18)</f>
        <v>0</v>
      </c>
      <c r="AF18" s="697">
        <f t="shared" ca="1" si="3"/>
        <v>0</v>
      </c>
      <c r="AG18" s="716">
        <f t="shared" ca="1" si="4"/>
        <v>0</v>
      </c>
      <c r="AI18" s="697">
        <v>2741614</v>
      </c>
      <c r="AJ18" s="697">
        <v>0</v>
      </c>
    </row>
    <row r="19" spans="1:36" s="391" customFormat="1" x14ac:dyDescent="0.3">
      <c r="B19" s="724" t="s">
        <v>601</v>
      </c>
      <c r="C19" s="666"/>
      <c r="D19" s="437"/>
      <c r="E19" s="711"/>
      <c r="F19" s="711"/>
      <c r="G19" s="711"/>
      <c r="H19" s="437"/>
      <c r="I19" s="712">
        <f>SUM(I9:I18)</f>
        <v>0</v>
      </c>
      <c r="J19" s="712">
        <f t="shared" ref="J19:K19" si="7">SUM(J9:J18)</f>
        <v>6900</v>
      </c>
      <c r="K19" s="712">
        <f t="shared" si="7"/>
        <v>1035.6500000000001</v>
      </c>
      <c r="L19" s="712">
        <f>SUM(L9:L18)</f>
        <v>1200</v>
      </c>
      <c r="M19" s="712">
        <f t="shared" ref="M19:W19" si="8">SUM(M9:M18)</f>
        <v>0</v>
      </c>
      <c r="N19" s="712">
        <f t="shared" si="8"/>
        <v>1945</v>
      </c>
      <c r="O19" s="712">
        <f t="shared" si="8"/>
        <v>0</v>
      </c>
      <c r="P19" s="712">
        <f t="shared" si="8"/>
        <v>0</v>
      </c>
      <c r="Q19" s="712">
        <f t="shared" si="8"/>
        <v>3236</v>
      </c>
      <c r="R19" s="712">
        <f t="shared" si="8"/>
        <v>853</v>
      </c>
      <c r="S19" s="712">
        <f t="shared" si="8"/>
        <v>6912</v>
      </c>
      <c r="T19" s="712">
        <f t="shared" si="8"/>
        <v>16512</v>
      </c>
      <c r="U19" s="712">
        <f t="shared" si="8"/>
        <v>0</v>
      </c>
      <c r="V19" s="712">
        <f t="shared" si="8"/>
        <v>0</v>
      </c>
      <c r="W19" s="712">
        <f t="shared" si="8"/>
        <v>1945</v>
      </c>
      <c r="X19" s="711">
        <v>17892</v>
      </c>
      <c r="Y19" s="711">
        <v>14592</v>
      </c>
      <c r="Z19" s="711">
        <v>16225</v>
      </c>
      <c r="AA19" s="711"/>
      <c r="AB19" s="711"/>
      <c r="AC19" s="711"/>
      <c r="AD19" s="711"/>
      <c r="AE19" s="711">
        <f ca="1">SUM(AE9:AE18)</f>
        <v>7935.65</v>
      </c>
      <c r="AF19" s="711">
        <f t="shared" ref="AF19:AG19" ca="1" si="9">SUM(AF9:AF18)</f>
        <v>228750</v>
      </c>
      <c r="AG19" s="711">
        <f t="shared" ca="1" si="9"/>
        <v>-220814.35</v>
      </c>
      <c r="AH19" s="437"/>
      <c r="AI19" s="711">
        <f>SUM(AI9:AI18)</f>
        <v>4444798</v>
      </c>
      <c r="AJ19" s="711">
        <f>SUM(AJ9:AJ18)</f>
        <v>915000</v>
      </c>
    </row>
    <row r="20" spans="1:36" x14ac:dyDescent="0.3">
      <c r="B20" s="726" t="s">
        <v>593</v>
      </c>
      <c r="C20" s="726" t="s">
        <v>653</v>
      </c>
      <c r="E20" s="713">
        <f ca="1">AI20/12*LEFT($F$2,2)</f>
        <v>685403.5</v>
      </c>
      <c r="F20" s="713">
        <f ca="1">SUM(I20:T20)/LEFT($F$2,2)</f>
        <v>576857.16991060704</v>
      </c>
      <c r="G20" s="713">
        <f>AI20/12</f>
        <v>228467.83333333334</v>
      </c>
      <c r="I20" s="714">
        <f>'Reporting 2021'!I26</f>
        <v>340509.94999999995</v>
      </c>
      <c r="J20" s="714">
        <f>'Reporting 2021'!J26</f>
        <v>85704.559731821166</v>
      </c>
      <c r="K20" s="714">
        <f>'Reporting 2021'!K26</f>
        <v>533231</v>
      </c>
      <c r="L20" s="714">
        <f>'Reporting 2021'!L26</f>
        <v>771126</v>
      </c>
      <c r="M20" s="714">
        <f>Reporting!G65</f>
        <v>0</v>
      </c>
      <c r="N20" s="714">
        <f>Reporting!H65</f>
        <v>0</v>
      </c>
      <c r="O20" s="714">
        <f>Reporting!I65</f>
        <v>0</v>
      </c>
      <c r="P20" s="714">
        <f>Reporting!J65</f>
        <v>0</v>
      </c>
      <c r="Q20" s="714">
        <f>Reporting!K65</f>
        <v>0</v>
      </c>
      <c r="R20" s="714">
        <f>Reporting!L65</f>
        <v>0</v>
      </c>
      <c r="S20" s="714">
        <f>Reporting!M65</f>
        <v>0</v>
      </c>
      <c r="T20" s="714">
        <f>Reporting!N65</f>
        <v>0</v>
      </c>
      <c r="V20" s="713">
        <f>'Reporting 2021'!M26</f>
        <v>0</v>
      </c>
      <c r="W20" s="713">
        <f>'Reporting 2021'!N26</f>
        <v>0</v>
      </c>
      <c r="X20" s="713">
        <v>746612.57090101403</v>
      </c>
      <c r="Y20" s="713">
        <v>357019.99686446408</v>
      </c>
      <c r="Z20" s="713">
        <v>134362.12</v>
      </c>
      <c r="AA20" s="713">
        <v>228467.83333333334</v>
      </c>
      <c r="AB20" s="713">
        <f>W20</f>
        <v>0</v>
      </c>
      <c r="AC20" s="713">
        <f>W20</f>
        <v>0</v>
      </c>
      <c r="AD20" s="713"/>
      <c r="AE20" s="713">
        <f>SUM(I20:T20)</f>
        <v>1730571.5097318213</v>
      </c>
      <c r="AF20" s="713">
        <f ca="1">AJ20/12*$C$5</f>
        <v>2210000</v>
      </c>
      <c r="AG20" s="717">
        <f ca="1">AE20-AF20</f>
        <v>-479428.49026817875</v>
      </c>
      <c r="AI20" s="713">
        <v>2741614</v>
      </c>
      <c r="AJ20" s="713">
        <v>6630000</v>
      </c>
    </row>
    <row r="21" spans="1:36" s="391" customFormat="1" x14ac:dyDescent="0.3">
      <c r="B21" s="724" t="s">
        <v>602</v>
      </c>
      <c r="C21" s="724" t="s">
        <v>653</v>
      </c>
      <c r="D21" s="437"/>
      <c r="E21" s="711"/>
      <c r="F21" s="711"/>
      <c r="G21" s="711"/>
      <c r="H21" s="437"/>
      <c r="I21" s="712">
        <f>I19+I20</f>
        <v>340509.94999999995</v>
      </c>
      <c r="J21" s="712">
        <f t="shared" ref="J21:K21" si="10">J19+J20</f>
        <v>92604.559731821166</v>
      </c>
      <c r="K21" s="712">
        <f t="shared" si="10"/>
        <v>534266.65</v>
      </c>
      <c r="L21" s="712">
        <f>L19+L20</f>
        <v>772326</v>
      </c>
      <c r="M21" s="712">
        <f t="shared" ref="M21:AA21" si="11">M19+M20</f>
        <v>0</v>
      </c>
      <c r="N21" s="712">
        <f t="shared" si="11"/>
        <v>1945</v>
      </c>
      <c r="O21" s="712">
        <f t="shared" si="11"/>
        <v>0</v>
      </c>
      <c r="P21" s="712">
        <f t="shared" si="11"/>
        <v>0</v>
      </c>
      <c r="Q21" s="712">
        <f t="shared" si="11"/>
        <v>3236</v>
      </c>
      <c r="R21" s="712">
        <f t="shared" si="11"/>
        <v>853</v>
      </c>
      <c r="S21" s="712">
        <f t="shared" si="11"/>
        <v>6912</v>
      </c>
      <c r="T21" s="712">
        <f t="shared" si="11"/>
        <v>16512</v>
      </c>
      <c r="U21" s="712">
        <f t="shared" si="11"/>
        <v>0</v>
      </c>
      <c r="V21" s="712">
        <f t="shared" si="11"/>
        <v>0</v>
      </c>
      <c r="W21" s="712">
        <f t="shared" si="11"/>
        <v>1945</v>
      </c>
      <c r="X21" s="712">
        <f t="shared" si="11"/>
        <v>764504.57090101403</v>
      </c>
      <c r="Y21" s="712">
        <f t="shared" si="11"/>
        <v>371611.99686446408</v>
      </c>
      <c r="Z21" s="712">
        <f t="shared" si="11"/>
        <v>150587.12</v>
      </c>
      <c r="AA21" s="712">
        <f t="shared" si="11"/>
        <v>228467.83333333334</v>
      </c>
      <c r="AB21" s="715"/>
      <c r="AC21" s="715"/>
      <c r="AD21" s="715"/>
      <c r="AE21" s="711">
        <f>SUM(I21:K21)</f>
        <v>967381.15973182116</v>
      </c>
      <c r="AF21" s="711"/>
      <c r="AG21" s="715"/>
      <c r="AH21" s="437"/>
      <c r="AI21" s="711">
        <f>SUM(M21:O21)</f>
        <v>1945</v>
      </c>
      <c r="AJ21" s="715"/>
    </row>
    <row r="22" spans="1:36" s="391" customFormat="1" x14ac:dyDescent="0.3">
      <c r="B22" s="724" t="s">
        <v>666</v>
      </c>
      <c r="C22" s="724"/>
      <c r="D22" s="437"/>
      <c r="E22" s="711"/>
      <c r="F22" s="711"/>
      <c r="G22" s="711"/>
      <c r="H22" s="437"/>
      <c r="I22" s="712">
        <f>I21</f>
        <v>340509.94999999995</v>
      </c>
      <c r="J22" s="712">
        <f>I22+J21</f>
        <v>433114.50973182113</v>
      </c>
      <c r="K22" s="712">
        <f>J22+K21</f>
        <v>967381.15973182116</v>
      </c>
      <c r="L22" s="712">
        <f>K22+L21</f>
        <v>1739707.1597318212</v>
      </c>
      <c r="M22" s="712"/>
      <c r="N22" s="712"/>
      <c r="O22" s="712"/>
      <c r="P22" s="712"/>
      <c r="Q22" s="712"/>
      <c r="R22" s="712"/>
      <c r="S22" s="712"/>
      <c r="T22" s="712"/>
      <c r="U22" s="437"/>
      <c r="V22" s="715">
        <f>L22+V21</f>
        <v>1739707.1597318212</v>
      </c>
      <c r="W22" s="715">
        <f>V22+W21</f>
        <v>1741652.1597318212</v>
      </c>
      <c r="X22" s="715">
        <f>W22+X21</f>
        <v>2506156.7306328351</v>
      </c>
      <c r="Y22" s="715">
        <f>X22+Y21</f>
        <v>2877768.7274972992</v>
      </c>
      <c r="Z22" s="715">
        <f>Y22+Z21</f>
        <v>3028355.8474972993</v>
      </c>
      <c r="AA22" s="715">
        <f>Z22+AA21</f>
        <v>3256823.6808306328</v>
      </c>
      <c r="AB22" s="715"/>
      <c r="AC22" s="715"/>
      <c r="AD22" s="715"/>
      <c r="AE22" s="711"/>
      <c r="AF22" s="711"/>
      <c r="AG22" s="715"/>
      <c r="AH22" s="437"/>
      <c r="AI22" s="711"/>
      <c r="AJ22" s="715"/>
    </row>
    <row r="23" spans="1:36" s="391" customFormat="1" x14ac:dyDescent="0.3">
      <c r="B23" s="724" t="s">
        <v>662</v>
      </c>
      <c r="C23" s="724"/>
      <c r="D23" s="437"/>
      <c r="E23" s="711"/>
      <c r="F23" s="711"/>
      <c r="G23" s="711"/>
      <c r="H23" s="437"/>
      <c r="I23" s="712">
        <f>(AJ20+AJ19)/12</f>
        <v>628750</v>
      </c>
      <c r="J23" s="712">
        <f>I23*2</f>
        <v>1257500</v>
      </c>
      <c r="K23" s="712">
        <f>I23*3</f>
        <v>1886250</v>
      </c>
      <c r="L23" s="712">
        <f>I23*4</f>
        <v>2515000</v>
      </c>
      <c r="M23" s="712">
        <f t="shared" ref="M23:U23" si="12">(AN20+AN19)/12</f>
        <v>0</v>
      </c>
      <c r="N23" s="712">
        <f t="shared" si="12"/>
        <v>0</v>
      </c>
      <c r="O23" s="712">
        <f t="shared" si="12"/>
        <v>0</v>
      </c>
      <c r="P23" s="712">
        <f t="shared" si="12"/>
        <v>0</v>
      </c>
      <c r="Q23" s="712">
        <f t="shared" si="12"/>
        <v>0</v>
      </c>
      <c r="R23" s="712">
        <f t="shared" si="12"/>
        <v>0</v>
      </c>
      <c r="S23" s="712">
        <f t="shared" si="12"/>
        <v>0</v>
      </c>
      <c r="T23" s="712">
        <f t="shared" si="12"/>
        <v>0</v>
      </c>
      <c r="U23" s="712">
        <f t="shared" si="12"/>
        <v>0</v>
      </c>
      <c r="V23" s="712">
        <f>I23*5</f>
        <v>3143750</v>
      </c>
      <c r="W23" s="712">
        <f>I23*6</f>
        <v>3772500</v>
      </c>
      <c r="X23" s="712">
        <f>I23*7</f>
        <v>4401250</v>
      </c>
      <c r="Y23" s="712">
        <f>I23*8</f>
        <v>5030000</v>
      </c>
      <c r="Z23" s="712">
        <f>I23*9</f>
        <v>5658750</v>
      </c>
      <c r="AA23" s="712">
        <f>I23*10</f>
        <v>6287500</v>
      </c>
      <c r="AB23" s="712">
        <f>I23*11</f>
        <v>6916250</v>
      </c>
      <c r="AC23" s="712">
        <f>I23*12</f>
        <v>7545000</v>
      </c>
      <c r="AD23" s="712">
        <f t="shared" ref="AD23:AI23" si="13">(BF20+BF19)/12</f>
        <v>0</v>
      </c>
      <c r="AE23" s="712">
        <f t="shared" si="13"/>
        <v>0</v>
      </c>
      <c r="AF23" s="712">
        <f t="shared" si="13"/>
        <v>0</v>
      </c>
      <c r="AG23" s="712">
        <f t="shared" si="13"/>
        <v>0</v>
      </c>
      <c r="AH23" s="712">
        <f t="shared" si="13"/>
        <v>0</v>
      </c>
      <c r="AI23" s="712">
        <f t="shared" si="13"/>
        <v>0</v>
      </c>
      <c r="AJ23" s="715">
        <f>AJ20+AJ19</f>
        <v>7545000</v>
      </c>
    </row>
    <row r="24" spans="1:36" x14ac:dyDescent="0.3">
      <c r="B24" s="725"/>
      <c r="E24" s="705"/>
      <c r="F24" s="705"/>
      <c r="G24" s="706"/>
      <c r="I24" s="706"/>
      <c r="J24" s="706"/>
      <c r="K24" s="706"/>
      <c r="L24" s="706"/>
      <c r="M24" s="706"/>
      <c r="N24" s="706"/>
      <c r="O24" s="706"/>
      <c r="P24" s="706"/>
      <c r="Q24" s="706"/>
      <c r="R24" s="706"/>
      <c r="S24" s="706"/>
      <c r="T24" s="706"/>
      <c r="V24" s="718"/>
      <c r="W24" s="718"/>
      <c r="X24" s="718"/>
      <c r="Y24" s="718"/>
      <c r="Z24" s="718"/>
      <c r="AA24" s="718"/>
      <c r="AB24" s="718"/>
      <c r="AC24" s="718"/>
      <c r="AD24" s="697"/>
      <c r="AE24" s="718"/>
      <c r="AF24" s="718"/>
      <c r="AG24" s="719"/>
      <c r="AI24" s="718"/>
      <c r="AJ24" s="718"/>
    </row>
    <row r="25" spans="1:36" s="55" customFormat="1" x14ac:dyDescent="0.3">
      <c r="C25" s="666"/>
      <c r="D25" s="437"/>
      <c r="E25" s="707" t="s">
        <v>550</v>
      </c>
      <c r="F25" s="729" t="s">
        <v>551</v>
      </c>
      <c r="G25" s="708" t="s">
        <v>551</v>
      </c>
      <c r="H25" s="437"/>
      <c r="I25" s="729" t="s">
        <v>552</v>
      </c>
      <c r="J25" s="729" t="s">
        <v>556</v>
      </c>
      <c r="K25" s="729" t="s">
        <v>557</v>
      </c>
      <c r="L25" s="729" t="s">
        <v>595</v>
      </c>
      <c r="M25" s="729" t="s">
        <v>596</v>
      </c>
      <c r="N25" s="729" t="s">
        <v>597</v>
      </c>
      <c r="O25" s="729" t="s">
        <v>598</v>
      </c>
      <c r="P25" s="729" t="s">
        <v>599</v>
      </c>
      <c r="Q25" s="729" t="s">
        <v>600</v>
      </c>
      <c r="R25" s="729" t="s">
        <v>561</v>
      </c>
      <c r="S25" s="729" t="s">
        <v>562</v>
      </c>
      <c r="T25" s="729" t="s">
        <v>563</v>
      </c>
      <c r="U25" s="437"/>
      <c r="V25" s="729" t="s">
        <v>558</v>
      </c>
      <c r="W25" s="729" t="s">
        <v>559</v>
      </c>
      <c r="X25" s="729" t="s">
        <v>554</v>
      </c>
      <c r="Y25" s="729" t="s">
        <v>555</v>
      </c>
      <c r="Z25" s="729" t="s">
        <v>560</v>
      </c>
      <c r="AA25" s="720" t="s">
        <v>561</v>
      </c>
      <c r="AB25" s="720" t="s">
        <v>562</v>
      </c>
      <c r="AC25" s="720" t="s">
        <v>563</v>
      </c>
      <c r="AD25" s="711"/>
      <c r="AE25" s="729" t="str">
        <f ca="1">AE$2&amp;" "&amp;AE$1</f>
        <v>3 YTD 2021</v>
      </c>
      <c r="AF25" s="730" t="str">
        <f ca="1">AF$2&amp;" "&amp;AF$1</f>
        <v>3 YTD 2021</v>
      </c>
      <c r="AG25" s="694" t="str">
        <f ca="1">AG$2&amp;" "&amp;AG$1</f>
        <v>3 YTD 2021</v>
      </c>
      <c r="AH25" s="437"/>
      <c r="AI25" s="661" t="str">
        <f>AI$2&amp;" "&amp;AI$1</f>
        <v>12 YTD 2020</v>
      </c>
      <c r="AJ25" s="730" t="str">
        <f>AJ$2&amp;" "&amp;AJ$1</f>
        <v>12 YTD 2021</v>
      </c>
    </row>
    <row r="26" spans="1:36" s="357" customFormat="1" x14ac:dyDescent="0.3">
      <c r="B26" s="727"/>
      <c r="C26" s="663"/>
      <c r="D26" s="437"/>
      <c r="E26" s="707" t="s">
        <v>245</v>
      </c>
      <c r="F26" s="729" t="s">
        <v>245</v>
      </c>
      <c r="G26" s="708" t="s">
        <v>115</v>
      </c>
      <c r="H26" s="437"/>
      <c r="I26" s="729" t="s">
        <v>245</v>
      </c>
      <c r="J26" s="729" t="s">
        <v>245</v>
      </c>
      <c r="K26" s="729" t="s">
        <v>245</v>
      </c>
      <c r="L26" s="729" t="s">
        <v>245</v>
      </c>
      <c r="M26" s="729" t="s">
        <v>245</v>
      </c>
      <c r="N26" s="729" t="s">
        <v>245</v>
      </c>
      <c r="O26" s="729" t="s">
        <v>245</v>
      </c>
      <c r="P26" s="729" t="s">
        <v>245</v>
      </c>
      <c r="Q26" s="729" t="s">
        <v>245</v>
      </c>
      <c r="R26" s="729" t="s">
        <v>245</v>
      </c>
      <c r="S26" s="729" t="s">
        <v>245</v>
      </c>
      <c r="T26" s="729" t="s">
        <v>245</v>
      </c>
      <c r="U26" s="437"/>
      <c r="V26" s="729" t="s">
        <v>245</v>
      </c>
      <c r="W26" s="729" t="s">
        <v>245</v>
      </c>
      <c r="X26" s="729" t="s">
        <v>245</v>
      </c>
      <c r="Y26" s="729" t="s">
        <v>245</v>
      </c>
      <c r="Z26" s="729" t="s">
        <v>245</v>
      </c>
      <c r="AA26" s="720" t="s">
        <v>564</v>
      </c>
      <c r="AB26" s="720" t="s">
        <v>564</v>
      </c>
      <c r="AC26" s="720" t="s">
        <v>564</v>
      </c>
      <c r="AD26" s="711"/>
      <c r="AE26" s="729" t="s">
        <v>654</v>
      </c>
      <c r="AF26" s="730" t="s">
        <v>655</v>
      </c>
      <c r="AG26" s="695" t="s">
        <v>652</v>
      </c>
      <c r="AH26" s="437"/>
      <c r="AI26" s="661" t="s">
        <v>654</v>
      </c>
      <c r="AJ26" s="730" t="s">
        <v>655</v>
      </c>
    </row>
    <row r="27" spans="1:36" s="685" customFormat="1" x14ac:dyDescent="0.3">
      <c r="B27" s="731" t="s">
        <v>139</v>
      </c>
      <c r="C27" s="666"/>
      <c r="D27" s="437"/>
      <c r="E27" s="701"/>
      <c r="F27" s="701"/>
      <c r="G27" s="701"/>
      <c r="H27" s="437"/>
      <c r="I27" s="701"/>
      <c r="J27" s="701"/>
      <c r="K27" s="701"/>
      <c r="L27" s="701"/>
      <c r="M27" s="701"/>
      <c r="N27" s="701"/>
      <c r="O27" s="701"/>
      <c r="P27" s="701"/>
      <c r="Q27" s="701"/>
      <c r="R27" s="701"/>
      <c r="S27" s="701"/>
      <c r="T27" s="701"/>
      <c r="U27" s="437"/>
      <c r="V27" s="711"/>
      <c r="W27" s="711"/>
      <c r="X27" s="711"/>
      <c r="Y27" s="711"/>
      <c r="Z27" s="711"/>
      <c r="AA27" s="711"/>
      <c r="AB27" s="711"/>
      <c r="AC27" s="711"/>
      <c r="AD27" s="711"/>
      <c r="AE27" s="711"/>
      <c r="AF27" s="711"/>
      <c r="AG27" s="715"/>
      <c r="AH27" s="437"/>
      <c r="AI27" s="711"/>
      <c r="AJ27" s="711"/>
    </row>
    <row r="28" spans="1:36" x14ac:dyDescent="0.3">
      <c r="A28" s="437" t="s">
        <v>585</v>
      </c>
      <c r="B28" s="723" t="s">
        <v>580</v>
      </c>
      <c r="C28" s="666" t="s">
        <v>653</v>
      </c>
      <c r="E28" s="697">
        <f t="shared" ref="E28:E37" si="14">$AI28/E$3</f>
        <v>57441.666666666664</v>
      </c>
      <c r="F28" s="697">
        <f ca="1">IFERROR(1/F$3,1)*SUMIFS(Data!$AD$3:$AD$305,Data!$Y$3:$Y$305,F$1,Data!$Z$3:$Z$305,IF(RIGHT(F$2,3)="YTD","&lt;="&amp;LEFT(F$2,2)*1,F$2),Data!$K$3:$K$305,$B28)</f>
        <v>0</v>
      </c>
      <c r="G28" s="697">
        <f>AJ28/12</f>
        <v>30833.333333333332</v>
      </c>
      <c r="H28" s="719"/>
      <c r="I28" s="710">
        <f>'Reporting 2021'!I39</f>
        <v>0</v>
      </c>
      <c r="J28" s="710">
        <f>'Reporting 2021'!J39</f>
        <v>0</v>
      </c>
      <c r="K28" s="710">
        <f>'Reporting 2021'!K39</f>
        <v>0</v>
      </c>
      <c r="L28" s="710">
        <f>'Reporting 2021'!L39</f>
        <v>0</v>
      </c>
      <c r="M28" s="710">
        <f>IFERROR(1/M$3,1)*SUMIFS(Data!$AD$3:$AD$316,Data!$Y$3:$Y$316,M$1,Data!$Z$3:$Z$316,IF(RIGHT(M$2,3)="YTD","&lt;="&amp;LEFT(M$2,2)*1,M$2),Data!$K$3:$K$316,$B28)</f>
        <v>0</v>
      </c>
      <c r="N28" s="710">
        <f>IFERROR(1/N$3,1)*SUMIFS(Data!$AD$3:$AD$316,Data!$Y$3:$Y$316,N$1,Data!$Z$3:$Z$316,IF(RIGHT(N$2,3)="YTD","&lt;="&amp;LEFT(N$2,2)*1,N$2),Data!$K$3:$K$316,$B28)</f>
        <v>0</v>
      </c>
      <c r="O28" s="710">
        <f>IFERROR(1/O$3,1)*SUMIFS(Data!$AD$3:$AD$316,Data!$Y$3:$Y$316,O$1,Data!$Z$3:$Z$316,IF(RIGHT(O$2,3)="YTD","&lt;="&amp;LEFT(O$2,2)*1,O$2),Data!$K$3:$K$316,$B28)</f>
        <v>0</v>
      </c>
      <c r="P28" s="710">
        <f>IFERROR(1/P$3,1)*SUMIFS(Data!$AD$3:$AD$316,Data!$Y$3:$Y$316,P$1,Data!$Z$3:$Z$316,IF(RIGHT(P$2,3)="YTD","&lt;="&amp;LEFT(P$2,2)*1,P$2),Data!$K$3:$K$316,$B28)</f>
        <v>0</v>
      </c>
      <c r="Q28" s="710">
        <f>IFERROR(1/Q$3,1)*SUMIFS(Data!$AD$3:$AD$316,Data!$Y$3:$Y$316,Q$1,Data!$Z$3:$Z$316,IF(RIGHT(Q$2,3)="YTD","&lt;="&amp;LEFT(Q$2,2)*1,Q$2),Data!$K$3:$K$316,$B28)</f>
        <v>0</v>
      </c>
      <c r="R28" s="710">
        <f>IFERROR(1/R$3,1)*SUMIFS(Data!$AD$3:$AD$316,Data!$Y$3:$Y$316,R$1,Data!$Z$3:$Z$316,IF(RIGHT(R$2,3)="YTD","&lt;="&amp;LEFT(R$2,2)*1,R$2),Data!$K$3:$K$316,$B28)</f>
        <v>0</v>
      </c>
      <c r="S28" s="710">
        <f>IFERROR(1/S$3,1)*SUMIFS(Data!$AD$3:$AD$316,Data!$Y$3:$Y$316,S$1,Data!$Z$3:$Z$316,IF(RIGHT(S$2,3)="YTD","&lt;="&amp;LEFT(S$2,2)*1,S$2),Data!$K$3:$K$316,$B28)</f>
        <v>0</v>
      </c>
      <c r="T28" s="710">
        <f>IFERROR(1/T$3,1)*SUMIFS(Data!$AD$3:$AD$316,Data!$Y$3:$Y$316,T$1,Data!$Z$3:$Z$316,IF(RIGHT(T$2,3)="YTD","&lt;="&amp;LEFT(T$2,2)*1,T$2),Data!$K$3:$K$316,$B28)</f>
        <v>0</v>
      </c>
      <c r="V28" s="697">
        <f>'Reporting 2021'!M39</f>
        <v>0</v>
      </c>
      <c r="W28" s="697">
        <f>'Reporting 2021'!N39</f>
        <v>0</v>
      </c>
      <c r="X28" s="710">
        <f>IFERROR(1/X$3,1)*SUMIFS(Data!$AD$3:$AD$316,Data!$Y$3:$Y$316,X$1,Data!$Z$3:$Z$316,IF(RIGHT(X$2,3)="YTD","&lt;="&amp;LEFT(X$2,2)*1,X$2),Data!$K$3:$K$316,$B28)</f>
        <v>0</v>
      </c>
      <c r="Y28" s="697">
        <v>0</v>
      </c>
      <c r="Z28" s="697">
        <v>0</v>
      </c>
      <c r="AA28" s="697">
        <f t="shared" ref="AA28:AC28" si="15">$G28</f>
        <v>30833.333333333332</v>
      </c>
      <c r="AB28" s="697">
        <f t="shared" si="15"/>
        <v>30833.333333333332</v>
      </c>
      <c r="AC28" s="697">
        <f t="shared" si="15"/>
        <v>30833.333333333332</v>
      </c>
      <c r="AD28" s="697"/>
      <c r="AE28" s="697">
        <f ca="1">IFERROR(1/AE$3,1)*SUMIFS(Data!$AD$3:$AD$305,Data!$Y$3:$Y$305,AE$1,Data!$Z$3:$Z$305,IF(RIGHT(AE$2,3)="YTD","&lt;="&amp;LEFT(AE$2,2)*1,AE$2),Data!$K$3:$K$305,$B9)</f>
        <v>0</v>
      </c>
      <c r="AF28" s="697">
        <f t="shared" ref="AF28:AF37" ca="1" si="16">AJ28/12*$C$5</f>
        <v>123333.33333333333</v>
      </c>
      <c r="AG28" s="716">
        <f t="shared" ref="AG28:AG37" ca="1" si="17">AE28-AF28</f>
        <v>-123333.33333333333</v>
      </c>
      <c r="AI28" s="697">
        <v>689300</v>
      </c>
      <c r="AJ28" s="697">
        <v>370000</v>
      </c>
    </row>
    <row r="29" spans="1:36" x14ac:dyDescent="0.3">
      <c r="A29" s="437" t="s">
        <v>586</v>
      </c>
      <c r="B29" s="723" t="s">
        <v>582</v>
      </c>
      <c r="C29" s="666" t="s">
        <v>653</v>
      </c>
      <c r="E29" s="697">
        <f t="shared" si="14"/>
        <v>1674.6666666666667</v>
      </c>
      <c r="F29" s="697">
        <f ca="1">IFERROR(1/F$3,1)*SUMIFS(Data!$AD$3:$AD$305,Data!$Y$3:$Y$305,F$1,Data!$Z$3:$Z$305,IF(RIGHT(F$2,3)="YTD","&lt;="&amp;LEFT(F$2,2)*1,F$2),Data!$K$3:$K$305,$B29)</f>
        <v>0</v>
      </c>
      <c r="G29" s="697">
        <f t="shared" ref="G29:G39" si="18">AJ29/12</f>
        <v>0</v>
      </c>
      <c r="H29" s="719"/>
      <c r="I29" s="710">
        <f>'Reporting 2021'!I40</f>
        <v>0</v>
      </c>
      <c r="J29" s="710">
        <f>'Reporting 2021'!J40</f>
        <v>0</v>
      </c>
      <c r="K29" s="710">
        <f>'Reporting 2021'!K40</f>
        <v>0</v>
      </c>
      <c r="L29" s="710">
        <f>'Reporting 2021'!L40</f>
        <v>0</v>
      </c>
      <c r="M29" s="710">
        <f>IFERROR(1/M$3,1)*SUMIFS(Data!$AD$3:$AD$316,Data!$Y$3:$Y$316,M$1,Data!$Z$3:$Z$316,IF(RIGHT(M$2,3)="YTD","&lt;="&amp;LEFT(M$2,2)*1,M$2),Data!$K$3:$K$316,$B29)</f>
        <v>0</v>
      </c>
      <c r="N29" s="710">
        <f>IFERROR(1/N$3,1)*SUMIFS(Data!$AD$3:$AD$316,Data!$Y$3:$Y$316,N$1,Data!$Z$3:$Z$316,IF(RIGHT(N$2,3)="YTD","&lt;="&amp;LEFT(N$2,2)*1,N$2),Data!$K$3:$K$316,$B29)</f>
        <v>0</v>
      </c>
      <c r="O29" s="710">
        <f>IFERROR(1/O$3,1)*SUMIFS(Data!$AD$3:$AD$316,Data!$Y$3:$Y$316,O$1,Data!$Z$3:$Z$316,IF(RIGHT(O$2,3)="YTD","&lt;="&amp;LEFT(O$2,2)*1,O$2),Data!$K$3:$K$316,$B29)</f>
        <v>0</v>
      </c>
      <c r="P29" s="710">
        <f>IFERROR(1/P$3,1)*SUMIFS(Data!$AD$3:$AD$316,Data!$Y$3:$Y$316,P$1,Data!$Z$3:$Z$316,IF(RIGHT(P$2,3)="YTD","&lt;="&amp;LEFT(P$2,2)*1,P$2),Data!$K$3:$K$316,$B29)</f>
        <v>0</v>
      </c>
      <c r="Q29" s="710">
        <f>IFERROR(1/Q$3,1)*SUMIFS(Data!$AD$3:$AD$316,Data!$Y$3:$Y$316,Q$1,Data!$Z$3:$Z$316,IF(RIGHT(Q$2,3)="YTD","&lt;="&amp;LEFT(Q$2,2)*1,Q$2),Data!$K$3:$K$316,$B29)</f>
        <v>0</v>
      </c>
      <c r="R29" s="710">
        <f>IFERROR(1/R$3,1)*SUMIFS(Data!$AD$3:$AD$316,Data!$Y$3:$Y$316,R$1,Data!$Z$3:$Z$316,IF(RIGHT(R$2,3)="YTD","&lt;="&amp;LEFT(R$2,2)*1,R$2),Data!$K$3:$K$316,$B29)</f>
        <v>0</v>
      </c>
      <c r="S29" s="710">
        <f>IFERROR(1/S$3,1)*SUMIFS(Data!$AD$3:$AD$316,Data!$Y$3:$Y$316,S$1,Data!$Z$3:$Z$316,IF(RIGHT(S$2,3)="YTD","&lt;="&amp;LEFT(S$2,2)*1,S$2),Data!$K$3:$K$316,$B29)</f>
        <v>0</v>
      </c>
      <c r="T29" s="710">
        <f>IFERROR(1/T$3,1)*SUMIFS(Data!$AD$3:$AD$316,Data!$Y$3:$Y$316,T$1,Data!$Z$3:$Z$316,IF(RIGHT(T$2,3)="YTD","&lt;="&amp;LEFT(T$2,2)*1,T$2),Data!$K$3:$K$316,$B29)</f>
        <v>0</v>
      </c>
      <c r="V29" s="697">
        <f>'Reporting 2021'!M40</f>
        <v>0</v>
      </c>
      <c r="W29" s="697">
        <f>'Reporting 2021'!N40</f>
        <v>0</v>
      </c>
      <c r="X29" s="710">
        <f>IFERROR(1/X$3,1)*SUMIFS(Data!$AD$3:$AD$316,Data!$Y$3:$Y$316,X$1,Data!$Z$3:$Z$316,IF(RIGHT(X$2,3)="YTD","&lt;="&amp;LEFT(X$2,2)*1,X$2),Data!$K$3:$K$316,$B29)</f>
        <v>0</v>
      </c>
      <c r="Y29" s="697">
        <v>0</v>
      </c>
      <c r="Z29" s="697">
        <v>0</v>
      </c>
      <c r="AA29" s="697">
        <f t="shared" ref="AA29:AC37" si="19">$G29</f>
        <v>0</v>
      </c>
      <c r="AB29" s="697">
        <f t="shared" si="19"/>
        <v>0</v>
      </c>
      <c r="AC29" s="697">
        <f t="shared" si="19"/>
        <v>0</v>
      </c>
      <c r="AD29" s="697"/>
      <c r="AE29" s="697">
        <f ca="1">IFERROR(1/AE$3,1)*SUMIFS(Data!$AD$3:$AD$316,Data!$Y$3:$Y$316,AE$1,Data!$Z$3:$Z$316,IF(RIGHT(AE$2,3)="YTD","&lt;="&amp;LEFT(AE$2,2)*1,AE$2),Data!$K$3:$K$316,$B10)</f>
        <v>0</v>
      </c>
      <c r="AF29" s="697">
        <f t="shared" ca="1" si="16"/>
        <v>0</v>
      </c>
      <c r="AG29" s="716">
        <f t="shared" ca="1" si="17"/>
        <v>0</v>
      </c>
      <c r="AI29" s="697">
        <v>20096</v>
      </c>
      <c r="AJ29" s="697">
        <v>0</v>
      </c>
    </row>
    <row r="30" spans="1:36" x14ac:dyDescent="0.3">
      <c r="B30" s="723" t="s">
        <v>579</v>
      </c>
      <c r="C30" s="666" t="s">
        <v>653</v>
      </c>
      <c r="E30" s="697">
        <f t="shared" si="14"/>
        <v>422.91666666666669</v>
      </c>
      <c r="F30" s="697">
        <f ca="1">IFERROR(1/F$3,1)*SUMIFS(Data!$AD$3:$AD$305,Data!$Y$3:$Y$305,F$1,Data!$Z$3:$Z$305,IF(RIGHT(F$2,3)="YTD","&lt;="&amp;LEFT(F$2,2)*1,F$2),Data!$K$3:$K$305,$B30)</f>
        <v>0</v>
      </c>
      <c r="G30" s="697">
        <f t="shared" si="18"/>
        <v>0</v>
      </c>
      <c r="H30" s="719"/>
      <c r="I30" s="710">
        <f>'Reporting 2021'!I41</f>
        <v>0</v>
      </c>
      <c r="J30" s="710">
        <f>'Reporting 2021'!J41</f>
        <v>0</v>
      </c>
      <c r="K30" s="710">
        <f>'Reporting 2021'!K41</f>
        <v>0</v>
      </c>
      <c r="L30" s="710">
        <f>'Reporting 2021'!L41</f>
        <v>0</v>
      </c>
      <c r="M30" s="710">
        <f>IFERROR(1/M$3,1)*SUMIFS(Data!$AD$3:$AD$316,Data!$Y$3:$Y$316,M$1,Data!$Z$3:$Z$316,IF(RIGHT(M$2,3)="YTD","&lt;="&amp;LEFT(M$2,2)*1,M$2),Data!$K$3:$K$316,$B30)</f>
        <v>0</v>
      </c>
      <c r="N30" s="710">
        <f>IFERROR(1/N$3,1)*SUMIFS(Data!$AD$3:$AD$316,Data!$Y$3:$Y$316,N$1,Data!$Z$3:$Z$316,IF(RIGHT(N$2,3)="YTD","&lt;="&amp;LEFT(N$2,2)*1,N$2),Data!$K$3:$K$316,$B30)</f>
        <v>0</v>
      </c>
      <c r="O30" s="710">
        <f>IFERROR(1/O$3,1)*SUMIFS(Data!$AD$3:$AD$316,Data!$Y$3:$Y$316,O$1,Data!$Z$3:$Z$316,IF(RIGHT(O$2,3)="YTD","&lt;="&amp;LEFT(O$2,2)*1,O$2),Data!$K$3:$K$316,$B30)</f>
        <v>0</v>
      </c>
      <c r="P30" s="710">
        <f>IFERROR(1/P$3,1)*SUMIFS(Data!$AD$3:$AD$316,Data!$Y$3:$Y$316,P$1,Data!$Z$3:$Z$316,IF(RIGHT(P$2,3)="YTD","&lt;="&amp;LEFT(P$2,2)*1,P$2),Data!$K$3:$K$316,$B30)</f>
        <v>0</v>
      </c>
      <c r="Q30" s="710">
        <f>IFERROR(1/Q$3,1)*SUMIFS(Data!$AD$3:$AD$316,Data!$Y$3:$Y$316,Q$1,Data!$Z$3:$Z$316,IF(RIGHT(Q$2,3)="YTD","&lt;="&amp;LEFT(Q$2,2)*1,Q$2),Data!$K$3:$K$316,$B30)</f>
        <v>0</v>
      </c>
      <c r="R30" s="710">
        <f>IFERROR(1/R$3,1)*SUMIFS(Data!$AD$3:$AD$316,Data!$Y$3:$Y$316,R$1,Data!$Z$3:$Z$316,IF(RIGHT(R$2,3)="YTD","&lt;="&amp;LEFT(R$2,2)*1,R$2),Data!$K$3:$K$316,$B30)</f>
        <v>0</v>
      </c>
      <c r="S30" s="710">
        <f>IFERROR(1/S$3,1)*SUMIFS(Data!$AD$3:$AD$316,Data!$Y$3:$Y$316,S$1,Data!$Z$3:$Z$316,IF(RIGHT(S$2,3)="YTD","&lt;="&amp;LEFT(S$2,2)*1,S$2),Data!$K$3:$K$316,$B30)</f>
        <v>0</v>
      </c>
      <c r="T30" s="710">
        <f>IFERROR(1/T$3,1)*SUMIFS(Data!$AD$3:$AD$316,Data!$Y$3:$Y$316,T$1,Data!$Z$3:$Z$316,IF(RIGHT(T$2,3)="YTD","&lt;="&amp;LEFT(T$2,2)*1,T$2),Data!$K$3:$K$316,$B30)</f>
        <v>0</v>
      </c>
      <c r="V30" s="697">
        <f>'Reporting 2021'!M41</f>
        <v>0</v>
      </c>
      <c r="W30" s="697">
        <f>'Reporting 2021'!N41</f>
        <v>0</v>
      </c>
      <c r="X30" s="710">
        <f>IFERROR(1/X$3,1)*SUMIFS(Data!$AD$3:$AD$316,Data!$Y$3:$Y$316,X$1,Data!$Z$3:$Z$316,IF(RIGHT(X$2,3)="YTD","&lt;="&amp;LEFT(X$2,2)*1,X$2),Data!$K$3:$K$316,$B30)</f>
        <v>0</v>
      </c>
      <c r="Y30" s="697">
        <v>0</v>
      </c>
      <c r="Z30" s="697">
        <v>0</v>
      </c>
      <c r="AA30" s="697">
        <f t="shared" si="19"/>
        <v>0</v>
      </c>
      <c r="AB30" s="697">
        <f t="shared" si="19"/>
        <v>0</v>
      </c>
      <c r="AC30" s="697">
        <f t="shared" si="19"/>
        <v>0</v>
      </c>
      <c r="AD30" s="697"/>
      <c r="AE30" s="697">
        <f ca="1">IFERROR(1/AE$3,1)*SUMIFS(Data!$AD$3:$AD$305,Data!$Y$3:$Y$305,AE$1,Data!$Z$3:$Z$305,IF(RIGHT(AE$2,3)="YTD","&lt;="&amp;LEFT(AE$2,2)*1,AE$2),Data!$K$3:$K$305,$B11)</f>
        <v>0</v>
      </c>
      <c r="AF30" s="697">
        <f t="shared" ca="1" si="16"/>
        <v>0</v>
      </c>
      <c r="AG30" s="716">
        <f t="shared" ca="1" si="17"/>
        <v>0</v>
      </c>
      <c r="AI30" s="697">
        <v>5075</v>
      </c>
      <c r="AJ30" s="697">
        <v>0</v>
      </c>
    </row>
    <row r="31" spans="1:36" x14ac:dyDescent="0.3">
      <c r="A31" s="437" t="s">
        <v>587</v>
      </c>
      <c r="B31" s="723" t="s">
        <v>581</v>
      </c>
      <c r="C31" s="666" t="s">
        <v>653</v>
      </c>
      <c r="E31" s="697">
        <f t="shared" si="14"/>
        <v>3145.2083333333335</v>
      </c>
      <c r="F31" s="697">
        <f ca="1">IFERROR(1/F$3,1)*SUMIFS(Data!$AD$3:$AD$305,Data!$Y$3:$Y$305,F$1,Data!$Z$3:$Z$305,IF(RIGHT(F$2,3)="YTD","&lt;="&amp;LEFT(F$2,2)*1,F$2),Data!$K$3:$K$305,$B31)</f>
        <v>0</v>
      </c>
      <c r="G31" s="697">
        <f t="shared" si="18"/>
        <v>0</v>
      </c>
      <c r="H31" s="719"/>
      <c r="I31" s="710">
        <f>'Reporting 2021'!I42</f>
        <v>0</v>
      </c>
      <c r="J31" s="710">
        <f>'Reporting 2021'!J42</f>
        <v>0</v>
      </c>
      <c r="K31" s="710">
        <f>'Reporting 2021'!K42</f>
        <v>0</v>
      </c>
      <c r="L31" s="710">
        <f>'Reporting 2021'!L42</f>
        <v>0</v>
      </c>
      <c r="M31" s="710">
        <f>IFERROR(1/M$3,1)*SUMIFS(Data!$AD$3:$AD$316,Data!$Y$3:$Y$316,M$1,Data!$Z$3:$Z$316,IF(RIGHT(M$2,3)="YTD","&lt;="&amp;LEFT(M$2,2)*1,M$2),Data!$K$3:$K$316,$B31)</f>
        <v>0</v>
      </c>
      <c r="N31" s="710">
        <f>IFERROR(1/N$3,1)*SUMIFS(Data!$AD$3:$AD$316,Data!$Y$3:$Y$316,N$1,Data!$Z$3:$Z$316,IF(RIGHT(N$2,3)="YTD","&lt;="&amp;LEFT(N$2,2)*1,N$2),Data!$K$3:$K$316,$B31)</f>
        <v>0</v>
      </c>
      <c r="O31" s="710">
        <f>IFERROR(1/O$3,1)*SUMIFS(Data!$AD$3:$AD$316,Data!$Y$3:$Y$316,O$1,Data!$Z$3:$Z$316,IF(RIGHT(O$2,3)="YTD","&lt;="&amp;LEFT(O$2,2)*1,O$2),Data!$K$3:$K$316,$B31)</f>
        <v>0</v>
      </c>
      <c r="P31" s="710">
        <f>IFERROR(1/P$3,1)*SUMIFS(Data!$AD$3:$AD$316,Data!$Y$3:$Y$316,P$1,Data!$Z$3:$Z$316,IF(RIGHT(P$2,3)="YTD","&lt;="&amp;LEFT(P$2,2)*1,P$2),Data!$K$3:$K$316,$B31)</f>
        <v>0</v>
      </c>
      <c r="Q31" s="710">
        <f>IFERROR(1/Q$3,1)*SUMIFS(Data!$AD$3:$AD$316,Data!$Y$3:$Y$316,Q$1,Data!$Z$3:$Z$316,IF(RIGHT(Q$2,3)="YTD","&lt;="&amp;LEFT(Q$2,2)*1,Q$2),Data!$K$3:$K$316,$B31)</f>
        <v>0</v>
      </c>
      <c r="R31" s="710">
        <f>IFERROR(1/R$3,1)*SUMIFS(Data!$AD$3:$AD$316,Data!$Y$3:$Y$316,R$1,Data!$Z$3:$Z$316,IF(RIGHT(R$2,3)="YTD","&lt;="&amp;LEFT(R$2,2)*1,R$2),Data!$K$3:$K$316,$B31)</f>
        <v>0</v>
      </c>
      <c r="S31" s="710">
        <f>IFERROR(1/S$3,1)*SUMIFS(Data!$AD$3:$AD$316,Data!$Y$3:$Y$316,S$1,Data!$Z$3:$Z$316,IF(RIGHT(S$2,3)="YTD","&lt;="&amp;LEFT(S$2,2)*1,S$2),Data!$K$3:$K$316,$B31)</f>
        <v>0</v>
      </c>
      <c r="T31" s="710">
        <f>IFERROR(1/T$3,1)*SUMIFS(Data!$AD$3:$AD$316,Data!$Y$3:$Y$316,T$1,Data!$Z$3:$Z$316,IF(RIGHT(T$2,3)="YTD","&lt;="&amp;LEFT(T$2,2)*1,T$2),Data!$K$3:$K$316,$B31)</f>
        <v>0</v>
      </c>
      <c r="V31" s="697">
        <f>'Reporting 2021'!M42</f>
        <v>0</v>
      </c>
      <c r="W31" s="697">
        <f>'Reporting 2021'!N42</f>
        <v>0</v>
      </c>
      <c r="X31" s="710">
        <f>IFERROR(1/X$3,1)*SUMIFS(Data!$AD$3:$AD$316,Data!$Y$3:$Y$316,X$1,Data!$Z$3:$Z$316,IF(RIGHT(X$2,3)="YTD","&lt;="&amp;LEFT(X$2,2)*1,X$2),Data!$K$3:$K$316,$B31)</f>
        <v>0</v>
      </c>
      <c r="Y31" s="697">
        <v>0</v>
      </c>
      <c r="Z31" s="697">
        <v>0</v>
      </c>
      <c r="AA31" s="697">
        <f t="shared" si="19"/>
        <v>0</v>
      </c>
      <c r="AB31" s="697">
        <f t="shared" si="19"/>
        <v>0</v>
      </c>
      <c r="AC31" s="697">
        <f t="shared" si="19"/>
        <v>0</v>
      </c>
      <c r="AD31" s="697"/>
      <c r="AE31" s="697">
        <f ca="1">IFERROR(1/AE$3,1)*SUMIFS(Data!$AD$3:$AD$305,Data!$Y$3:$Y$305,AE$1,Data!$Z$3:$Z$305,IF(RIGHT(AE$2,3)="YTD","&lt;="&amp;LEFT(AE$2,2)*1,AE$2),Data!$K$3:$K$305,$B12)</f>
        <v>0</v>
      </c>
      <c r="AF31" s="697">
        <f t="shared" ca="1" si="16"/>
        <v>0</v>
      </c>
      <c r="AG31" s="716">
        <f t="shared" ca="1" si="17"/>
        <v>0</v>
      </c>
      <c r="AI31" s="697">
        <v>37742.5</v>
      </c>
      <c r="AJ31" s="697">
        <v>0</v>
      </c>
    </row>
    <row r="32" spans="1:36" x14ac:dyDescent="0.3">
      <c r="A32" s="437" t="s">
        <v>588</v>
      </c>
      <c r="B32" s="723" t="s">
        <v>518</v>
      </c>
      <c r="C32" s="666" t="s">
        <v>653</v>
      </c>
      <c r="E32" s="697">
        <f t="shared" si="14"/>
        <v>22610</v>
      </c>
      <c r="F32" s="697">
        <f ca="1">IFERROR(1/F$3,1)*SUMIFS(Data!$AD$3:$AD$305,Data!$Y$3:$Y$305,F$1,Data!$Z$3:$Z$305,IF(RIGHT(F$2,3)="YTD","&lt;="&amp;LEFT(F$2,2)*1,F$2),Data!$K$3:$K$305,$B32)</f>
        <v>0</v>
      </c>
      <c r="G32" s="697">
        <f t="shared" si="18"/>
        <v>0</v>
      </c>
      <c r="H32" s="719"/>
      <c r="I32" s="710">
        <f>'Reporting 2021'!I43</f>
        <v>0</v>
      </c>
      <c r="J32" s="710">
        <f>'Reporting 2021'!J43</f>
        <v>0</v>
      </c>
      <c r="K32" s="710">
        <f>'Reporting 2021'!K43</f>
        <v>0</v>
      </c>
      <c r="L32" s="710">
        <f>'Reporting 2021'!L43</f>
        <v>0</v>
      </c>
      <c r="M32" s="710">
        <f>IFERROR(1/M$3,1)*SUMIFS(Data!$AD$3:$AD$316,Data!$Y$3:$Y$316,M$1,Data!$Z$3:$Z$316,IF(RIGHT(M$2,3)="YTD","&lt;="&amp;LEFT(M$2,2)*1,M$2),Data!$K$3:$K$316,$B32)</f>
        <v>0</v>
      </c>
      <c r="N32" s="710">
        <f>IFERROR(1/N$3,1)*SUMIFS(Data!$AD$3:$AD$316,Data!$Y$3:$Y$316,N$1,Data!$Z$3:$Z$316,IF(RIGHT(N$2,3)="YTD","&lt;="&amp;LEFT(N$2,2)*1,N$2),Data!$K$3:$K$316,$B32)</f>
        <v>0</v>
      </c>
      <c r="O32" s="710">
        <f>IFERROR(1/O$3,1)*SUMIFS(Data!$AD$3:$AD$316,Data!$Y$3:$Y$316,O$1,Data!$Z$3:$Z$316,IF(RIGHT(O$2,3)="YTD","&lt;="&amp;LEFT(O$2,2)*1,O$2),Data!$K$3:$K$316,$B32)</f>
        <v>0</v>
      </c>
      <c r="P32" s="710">
        <f>IFERROR(1/P$3,1)*SUMIFS(Data!$AD$3:$AD$316,Data!$Y$3:$Y$316,P$1,Data!$Z$3:$Z$316,IF(RIGHT(P$2,3)="YTD","&lt;="&amp;LEFT(P$2,2)*1,P$2),Data!$K$3:$K$316,$B32)</f>
        <v>0</v>
      </c>
      <c r="Q32" s="710">
        <f>IFERROR(1/Q$3,1)*SUMIFS(Data!$AD$3:$AD$316,Data!$Y$3:$Y$316,Q$1,Data!$Z$3:$Z$316,IF(RIGHT(Q$2,3)="YTD","&lt;="&amp;LEFT(Q$2,2)*1,Q$2),Data!$K$3:$K$316,$B32)</f>
        <v>0</v>
      </c>
      <c r="R32" s="710">
        <f>IFERROR(1/R$3,1)*SUMIFS(Data!$AD$3:$AD$316,Data!$Y$3:$Y$316,R$1,Data!$Z$3:$Z$316,IF(RIGHT(R$2,3)="YTD","&lt;="&amp;LEFT(R$2,2)*1,R$2),Data!$K$3:$K$316,$B32)</f>
        <v>0</v>
      </c>
      <c r="S32" s="710">
        <f>IFERROR(1/S$3,1)*SUMIFS(Data!$AD$3:$AD$316,Data!$Y$3:$Y$316,S$1,Data!$Z$3:$Z$316,IF(RIGHT(S$2,3)="YTD","&lt;="&amp;LEFT(S$2,2)*1,S$2),Data!$K$3:$K$316,$B32)</f>
        <v>0</v>
      </c>
      <c r="T32" s="710">
        <f>IFERROR(1/T$3,1)*SUMIFS(Data!$AD$3:$AD$316,Data!$Y$3:$Y$316,T$1,Data!$Z$3:$Z$316,IF(RIGHT(T$2,3)="YTD","&lt;="&amp;LEFT(T$2,2)*1,T$2),Data!$K$3:$K$316,$B32)</f>
        <v>0</v>
      </c>
      <c r="V32" s="697">
        <f>'Reporting 2021'!M43</f>
        <v>0</v>
      </c>
      <c r="W32" s="697">
        <f>'Reporting 2021'!N43</f>
        <v>0</v>
      </c>
      <c r="X32" s="710">
        <f>IFERROR(1/X$3,1)*SUMIFS(Data!$AD$3:$AD$316,Data!$Y$3:$Y$316,X$1,Data!$Z$3:$Z$316,IF(RIGHT(X$2,3)="YTD","&lt;="&amp;LEFT(X$2,2)*1,X$2),Data!$K$3:$K$316,$B32)</f>
        <v>0</v>
      </c>
      <c r="Y32" s="697">
        <v>0</v>
      </c>
      <c r="Z32" s="697">
        <v>0</v>
      </c>
      <c r="AA32" s="697">
        <f t="shared" si="19"/>
        <v>0</v>
      </c>
      <c r="AB32" s="697">
        <f t="shared" si="19"/>
        <v>0</v>
      </c>
      <c r="AC32" s="697">
        <f t="shared" si="19"/>
        <v>0</v>
      </c>
      <c r="AD32" s="697"/>
      <c r="AE32" s="697">
        <f ca="1">IFERROR(1/AE$3,1)*SUMIFS(Data!$AD$3:$AD$305,Data!$Y$3:$Y$305,AE$1,Data!$Z$3:$Z$305,IF(RIGHT(AE$2,3)="YTD","&lt;="&amp;LEFT(AE$2,2)*1,AE$2),Data!$K$3:$K$305,$B13)</f>
        <v>0</v>
      </c>
      <c r="AF32" s="697">
        <f t="shared" ca="1" si="16"/>
        <v>0</v>
      </c>
      <c r="AG32" s="716">
        <f t="shared" ca="1" si="17"/>
        <v>0</v>
      </c>
      <c r="AI32" s="697">
        <v>271320</v>
      </c>
      <c r="AJ32" s="697">
        <v>0</v>
      </c>
    </row>
    <row r="33" spans="1:44" x14ac:dyDescent="0.3">
      <c r="A33" s="437" t="s">
        <v>594</v>
      </c>
      <c r="B33" s="723" t="s">
        <v>569</v>
      </c>
      <c r="C33" s="666" t="s">
        <v>653</v>
      </c>
      <c r="E33" s="697">
        <f t="shared" si="14"/>
        <v>3760.8333333333335</v>
      </c>
      <c r="F33" s="697">
        <f ca="1">IFERROR(1/F$3,1)*SUMIFS(Data!$AD$3:$AD$305,Data!$Y$3:$Y$305,F$1,Data!$Z$3:$Z$305,IF(RIGHT(F$2,3)="YTD","&lt;="&amp;LEFT(F$2,2)*1,F$2),Data!$K$3:$K$305,$B33)</f>
        <v>0</v>
      </c>
      <c r="G33" s="697">
        <f t="shared" si="18"/>
        <v>20833.333333333332</v>
      </c>
      <c r="H33" s="719"/>
      <c r="I33" s="710">
        <f>'Reporting 2021'!I44</f>
        <v>0</v>
      </c>
      <c r="J33" s="710">
        <f>'Reporting 2021'!J44</f>
        <v>0</v>
      </c>
      <c r="K33" s="710">
        <f>'Reporting 2021'!K44</f>
        <v>0</v>
      </c>
      <c r="L33" s="710">
        <f>'Reporting 2021'!L44</f>
        <v>0</v>
      </c>
      <c r="M33" s="710">
        <f>IFERROR(1/M$3,1)*SUMIFS(Data!$AD$3:$AD$316,Data!$Y$3:$Y$316,M$1,Data!$Z$3:$Z$316,IF(RIGHT(M$2,3)="YTD","&lt;="&amp;LEFT(M$2,2)*1,M$2),Data!$K$3:$K$316,$B33)</f>
        <v>0</v>
      </c>
      <c r="N33" s="710">
        <f>IFERROR(1/N$3,1)*SUMIFS(Data!$AD$3:$AD$316,Data!$Y$3:$Y$316,N$1,Data!$Z$3:$Z$316,IF(RIGHT(N$2,3)="YTD","&lt;="&amp;LEFT(N$2,2)*1,N$2),Data!$K$3:$K$316,$B33)</f>
        <v>0</v>
      </c>
      <c r="O33" s="710">
        <f>IFERROR(1/O$3,1)*SUMIFS(Data!$AD$3:$AD$316,Data!$Y$3:$Y$316,O$1,Data!$Z$3:$Z$316,IF(RIGHT(O$2,3)="YTD","&lt;="&amp;LEFT(O$2,2)*1,O$2),Data!$K$3:$K$316,$B33)</f>
        <v>0</v>
      </c>
      <c r="P33" s="710">
        <f>IFERROR(1/P$3,1)*SUMIFS(Data!$AD$3:$AD$316,Data!$Y$3:$Y$316,P$1,Data!$Z$3:$Z$316,IF(RIGHT(P$2,3)="YTD","&lt;="&amp;LEFT(P$2,2)*1,P$2),Data!$K$3:$K$316,$B33)</f>
        <v>0</v>
      </c>
      <c r="Q33" s="710">
        <f>IFERROR(1/Q$3,1)*SUMIFS(Data!$AD$3:$AD$316,Data!$Y$3:$Y$316,Q$1,Data!$Z$3:$Z$316,IF(RIGHT(Q$2,3)="YTD","&lt;="&amp;LEFT(Q$2,2)*1,Q$2),Data!$K$3:$K$316,$B33)</f>
        <v>0</v>
      </c>
      <c r="R33" s="710">
        <f>IFERROR(1/R$3,1)*SUMIFS(Data!$AD$3:$AD$316,Data!$Y$3:$Y$316,R$1,Data!$Z$3:$Z$316,IF(RIGHT(R$2,3)="YTD","&lt;="&amp;LEFT(R$2,2)*1,R$2),Data!$K$3:$K$316,$B33)</f>
        <v>0</v>
      </c>
      <c r="S33" s="710">
        <f>IFERROR(1/S$3,1)*SUMIFS(Data!$AD$3:$AD$316,Data!$Y$3:$Y$316,S$1,Data!$Z$3:$Z$316,IF(RIGHT(S$2,3)="YTD","&lt;="&amp;LEFT(S$2,2)*1,S$2),Data!$K$3:$K$316,$B33)</f>
        <v>0</v>
      </c>
      <c r="T33" s="710">
        <f>IFERROR(1/T$3,1)*SUMIFS(Data!$AD$3:$AD$316,Data!$Y$3:$Y$316,T$1,Data!$Z$3:$Z$316,IF(RIGHT(T$2,3)="YTD","&lt;="&amp;LEFT(T$2,2)*1,T$2),Data!$K$3:$K$316,$B33)</f>
        <v>0</v>
      </c>
      <c r="V33" s="697">
        <f>'Reporting 2021'!M44</f>
        <v>0</v>
      </c>
      <c r="W33" s="697">
        <f>'Reporting 2021'!N44</f>
        <v>0</v>
      </c>
      <c r="X33" s="710">
        <f>IFERROR(1/X$3,1)*SUMIFS(Data!$AD$3:$AD$316,Data!$Y$3:$Y$316,X$1,Data!$Z$3:$Z$316,IF(RIGHT(X$2,3)="YTD","&lt;="&amp;LEFT(X$2,2)*1,X$2),Data!$K$3:$K$316,$B33)</f>
        <v>0</v>
      </c>
      <c r="Y33" s="697">
        <v>0</v>
      </c>
      <c r="Z33" s="697">
        <v>4770</v>
      </c>
      <c r="AA33" s="697">
        <f t="shared" si="19"/>
        <v>20833.333333333332</v>
      </c>
      <c r="AB33" s="697">
        <f t="shared" si="19"/>
        <v>20833.333333333332</v>
      </c>
      <c r="AC33" s="697">
        <f t="shared" si="19"/>
        <v>20833.333333333332</v>
      </c>
      <c r="AD33" s="697"/>
      <c r="AE33" s="697">
        <f ca="1">IFERROR(1/AE$3,1)*SUMIFS(Data!$AD$3:$AD$305,Data!$Y$3:$Y$305,AE$1,Data!$Z$3:$Z$305,IF(RIGHT(AE$2,3)="YTD","&lt;="&amp;LEFT(AE$2,2)*1,AE$2),Data!$K$3:$K$305,$B14)</f>
        <v>0</v>
      </c>
      <c r="AF33" s="697">
        <f t="shared" ca="1" si="16"/>
        <v>83333.333333333328</v>
      </c>
      <c r="AG33" s="716">
        <f t="shared" ca="1" si="17"/>
        <v>-83333.333333333328</v>
      </c>
      <c r="AI33" s="697">
        <v>45130</v>
      </c>
      <c r="AJ33" s="697">
        <v>250000</v>
      </c>
    </row>
    <row r="34" spans="1:44" x14ac:dyDescent="0.3">
      <c r="A34" s="437" t="s">
        <v>589</v>
      </c>
      <c r="B34" s="723" t="s">
        <v>583</v>
      </c>
      <c r="C34" s="666" t="s">
        <v>653</v>
      </c>
      <c r="E34" s="697">
        <f t="shared" si="14"/>
        <v>10592.833333333334</v>
      </c>
      <c r="F34" s="697">
        <f ca="1">IFERROR(1/F$3,1)*SUMIFS(Data!$AD$3:$AD$305,Data!$Y$3:$Y$305,F$1,Data!$Z$3:$Z$305,IF(RIGHT(F$2,3)="YTD","&lt;="&amp;LEFT(F$2,2)*1,F$2),Data!$K$3:$K$305,$B34)</f>
        <v>0</v>
      </c>
      <c r="G34" s="697">
        <f t="shared" si="18"/>
        <v>3750</v>
      </c>
      <c r="H34" s="719"/>
      <c r="I34" s="710">
        <f>'Reporting 2021'!I45</f>
        <v>0</v>
      </c>
      <c r="J34" s="710">
        <f>'Reporting 2021'!J45</f>
        <v>0</v>
      </c>
      <c r="K34" s="710">
        <f>'Reporting 2021'!K45</f>
        <v>0</v>
      </c>
      <c r="L34" s="710">
        <f>'Reporting 2021'!L45</f>
        <v>0</v>
      </c>
      <c r="M34" s="710">
        <f>IFERROR(1/M$3,1)*SUMIFS(Data!$AD$3:$AD$316,Data!$Y$3:$Y$316,M$1,Data!$Z$3:$Z$316,IF(RIGHT(M$2,3)="YTD","&lt;="&amp;LEFT(M$2,2)*1,M$2),Data!$K$3:$K$316,$B34)</f>
        <v>0</v>
      </c>
      <c r="N34" s="710">
        <f>IFERROR(1/N$3,1)*SUMIFS(Data!$AD$3:$AD$316,Data!$Y$3:$Y$316,N$1,Data!$Z$3:$Z$316,IF(RIGHT(N$2,3)="YTD","&lt;="&amp;LEFT(N$2,2)*1,N$2),Data!$K$3:$K$316,$B34)</f>
        <v>0</v>
      </c>
      <c r="O34" s="710">
        <f>IFERROR(1/O$3,1)*SUMIFS(Data!$AD$3:$AD$316,Data!$Y$3:$Y$316,O$1,Data!$Z$3:$Z$316,IF(RIGHT(O$2,3)="YTD","&lt;="&amp;LEFT(O$2,2)*1,O$2),Data!$K$3:$K$316,$B34)</f>
        <v>0</v>
      </c>
      <c r="P34" s="710">
        <f>IFERROR(1/P$3,1)*SUMIFS(Data!$AD$3:$AD$316,Data!$Y$3:$Y$316,P$1,Data!$Z$3:$Z$316,IF(RIGHT(P$2,3)="YTD","&lt;="&amp;LEFT(P$2,2)*1,P$2),Data!$K$3:$K$316,$B34)</f>
        <v>0</v>
      </c>
      <c r="Q34" s="710">
        <f>IFERROR(1/Q$3,1)*SUMIFS(Data!$AD$3:$AD$316,Data!$Y$3:$Y$316,Q$1,Data!$Z$3:$Z$316,IF(RIGHT(Q$2,3)="YTD","&lt;="&amp;LEFT(Q$2,2)*1,Q$2),Data!$K$3:$K$316,$B34)</f>
        <v>0</v>
      </c>
      <c r="R34" s="710">
        <f>IFERROR(1/R$3,1)*SUMIFS(Data!$AD$3:$AD$316,Data!$Y$3:$Y$316,R$1,Data!$Z$3:$Z$316,IF(RIGHT(R$2,3)="YTD","&lt;="&amp;LEFT(R$2,2)*1,R$2),Data!$K$3:$K$316,$B34)</f>
        <v>0</v>
      </c>
      <c r="S34" s="710">
        <f>IFERROR(1/S$3,1)*SUMIFS(Data!$AD$3:$AD$316,Data!$Y$3:$Y$316,S$1,Data!$Z$3:$Z$316,IF(RIGHT(S$2,3)="YTD","&lt;="&amp;LEFT(S$2,2)*1,S$2),Data!$K$3:$K$316,$B34)</f>
        <v>0</v>
      </c>
      <c r="T34" s="710">
        <f>IFERROR(1/T$3,1)*SUMIFS(Data!$AD$3:$AD$316,Data!$Y$3:$Y$316,T$1,Data!$Z$3:$Z$316,IF(RIGHT(T$2,3)="YTD","&lt;="&amp;LEFT(T$2,2)*1,T$2),Data!$K$3:$K$316,$B34)</f>
        <v>0</v>
      </c>
      <c r="V34" s="697">
        <f>'Reporting 2021'!M45</f>
        <v>0</v>
      </c>
      <c r="W34" s="697">
        <f>'Reporting 2021'!N45</f>
        <v>0</v>
      </c>
      <c r="X34" s="710">
        <f>IFERROR(1/X$3,1)*SUMIFS(Data!$AD$3:$AD$316,Data!$Y$3:$Y$316,X$1,Data!$Z$3:$Z$316,IF(RIGHT(X$2,3)="YTD","&lt;="&amp;LEFT(X$2,2)*1,X$2),Data!$K$3:$K$316,$B34)</f>
        <v>0</v>
      </c>
      <c r="Y34" s="697">
        <v>0</v>
      </c>
      <c r="Z34" s="697">
        <v>0</v>
      </c>
      <c r="AA34" s="697">
        <f t="shared" si="19"/>
        <v>3750</v>
      </c>
      <c r="AB34" s="697">
        <f t="shared" si="19"/>
        <v>3750</v>
      </c>
      <c r="AC34" s="697">
        <f t="shared" si="19"/>
        <v>3750</v>
      </c>
      <c r="AD34" s="697"/>
      <c r="AE34" s="697">
        <f ca="1">IFERROR(1/AE$3,1)*SUMIFS(Data!$AD$3:$AD$305,Data!$Y$3:$Y$305,AE$1,Data!$Z$3:$Z$305,IF(RIGHT(AE$2,3)="YTD","&lt;="&amp;LEFT(AE$2,2)*1,AE$2),Data!$K$3:$K$305,$B15)</f>
        <v>0</v>
      </c>
      <c r="AF34" s="697">
        <f t="shared" ca="1" si="16"/>
        <v>15000</v>
      </c>
      <c r="AG34" s="716">
        <f t="shared" ca="1" si="17"/>
        <v>-15000</v>
      </c>
      <c r="AI34" s="697">
        <v>127114</v>
      </c>
      <c r="AJ34" s="697">
        <v>45000</v>
      </c>
    </row>
    <row r="35" spans="1:44" x14ac:dyDescent="0.3">
      <c r="A35" s="437" t="s">
        <v>590</v>
      </c>
      <c r="B35" s="723" t="s">
        <v>574</v>
      </c>
      <c r="C35" s="666" t="s">
        <v>653</v>
      </c>
      <c r="E35" s="697">
        <f t="shared" si="14"/>
        <v>10881.333333333334</v>
      </c>
      <c r="F35" s="697">
        <f ca="1">IFERROR(1/F$3,1)*SUMIFS(Data!$AD$3:$AD$305,Data!$Y$3:$Y$305,F$1,Data!$Z$3:$Z$305,IF(RIGHT(F$2,3)="YTD","&lt;="&amp;LEFT(F$2,2)*1,F$2),Data!$K$3:$K$305,$B35)</f>
        <v>0</v>
      </c>
      <c r="G35" s="697">
        <f t="shared" si="18"/>
        <v>20833.333333333332</v>
      </c>
      <c r="H35" s="719"/>
      <c r="I35" s="710">
        <f>'Reporting 2021'!I46</f>
        <v>0</v>
      </c>
      <c r="J35" s="710">
        <f>'Reporting 2021'!J46</f>
        <v>0</v>
      </c>
      <c r="K35" s="710">
        <f>'Reporting 2021'!K46</f>
        <v>0</v>
      </c>
      <c r="L35" s="710">
        <f>'Reporting 2021'!L46</f>
        <v>0</v>
      </c>
      <c r="M35" s="710">
        <f>IFERROR(1/M$3,1)*SUMIFS(Data!$AD$3:$AD$316,Data!$Y$3:$Y$316,M$1,Data!$Z$3:$Z$316,IF(RIGHT(M$2,3)="YTD","&lt;="&amp;LEFT(M$2,2)*1,M$2),Data!$K$3:$K$316,$B35)</f>
        <v>0</v>
      </c>
      <c r="N35" s="710">
        <f>IFERROR(1/N$3,1)*SUMIFS(Data!$AD$3:$AD$316,Data!$Y$3:$Y$316,N$1,Data!$Z$3:$Z$316,IF(RIGHT(N$2,3)="YTD","&lt;="&amp;LEFT(N$2,2)*1,N$2),Data!$K$3:$K$316,$B35)</f>
        <v>0</v>
      </c>
      <c r="O35" s="710">
        <f>IFERROR(1/O$3,1)*SUMIFS(Data!$AD$3:$AD$316,Data!$Y$3:$Y$316,O$1,Data!$Z$3:$Z$316,IF(RIGHT(O$2,3)="YTD","&lt;="&amp;LEFT(O$2,2)*1,O$2),Data!$K$3:$K$316,$B35)</f>
        <v>0</v>
      </c>
      <c r="P35" s="710">
        <f>IFERROR(1/P$3,1)*SUMIFS(Data!$AD$3:$AD$316,Data!$Y$3:$Y$316,P$1,Data!$Z$3:$Z$316,IF(RIGHT(P$2,3)="YTD","&lt;="&amp;LEFT(P$2,2)*1,P$2),Data!$K$3:$K$316,$B35)</f>
        <v>0</v>
      </c>
      <c r="Q35" s="710">
        <f>IFERROR(1/Q$3,1)*SUMIFS(Data!$AD$3:$AD$316,Data!$Y$3:$Y$316,Q$1,Data!$Z$3:$Z$316,IF(RIGHT(Q$2,3)="YTD","&lt;="&amp;LEFT(Q$2,2)*1,Q$2),Data!$K$3:$K$316,$B35)</f>
        <v>0</v>
      </c>
      <c r="R35" s="710">
        <f>IFERROR(1/R$3,1)*SUMIFS(Data!$AD$3:$AD$316,Data!$Y$3:$Y$316,R$1,Data!$Z$3:$Z$316,IF(RIGHT(R$2,3)="YTD","&lt;="&amp;LEFT(R$2,2)*1,R$2),Data!$K$3:$K$316,$B35)</f>
        <v>0</v>
      </c>
      <c r="S35" s="710">
        <f>IFERROR(1/S$3,1)*SUMIFS(Data!$AD$3:$AD$316,Data!$Y$3:$Y$316,S$1,Data!$Z$3:$Z$316,IF(RIGHT(S$2,3)="YTD","&lt;="&amp;LEFT(S$2,2)*1,S$2),Data!$K$3:$K$316,$B35)</f>
        <v>0</v>
      </c>
      <c r="T35" s="710">
        <f>IFERROR(1/T$3,1)*SUMIFS(Data!$AD$3:$AD$316,Data!$Y$3:$Y$316,T$1,Data!$Z$3:$Z$316,IF(RIGHT(T$2,3)="YTD","&lt;="&amp;LEFT(T$2,2)*1,T$2),Data!$K$3:$K$316,$B35)</f>
        <v>0</v>
      </c>
      <c r="V35" s="697">
        <f>'Reporting 2021'!M46</f>
        <v>0</v>
      </c>
      <c r="W35" s="697">
        <f>'Reporting 2021'!N46</f>
        <v>0</v>
      </c>
      <c r="X35" s="710">
        <f>IFERROR(1/X$3,1)*SUMIFS(Data!$AD$3:$AD$316,Data!$Y$3:$Y$316,X$1,Data!$Z$3:$Z$316,IF(RIGHT(X$2,3)="YTD","&lt;="&amp;LEFT(X$2,2)*1,X$2),Data!$K$3:$K$316,$B35)</f>
        <v>0</v>
      </c>
      <c r="Y35" s="697">
        <v>27271.5</v>
      </c>
      <c r="Z35" s="697">
        <v>12588.5</v>
      </c>
      <c r="AA35" s="697">
        <f t="shared" si="19"/>
        <v>20833.333333333332</v>
      </c>
      <c r="AB35" s="697">
        <f t="shared" si="19"/>
        <v>20833.333333333332</v>
      </c>
      <c r="AC35" s="697">
        <f t="shared" si="19"/>
        <v>20833.333333333332</v>
      </c>
      <c r="AD35" s="697"/>
      <c r="AE35" s="697">
        <f ca="1">IFERROR(1/AE$3,1)*SUMIFS(Data!$AD$3:$AD$305,Data!$Y$3:$Y$305,AE$1,Data!$Z$3:$Z$305,IF(RIGHT(AE$2,3)="YTD","&lt;="&amp;LEFT(AE$2,2)*1,AE$2),Data!$K$3:$K$305,$B16)</f>
        <v>0</v>
      </c>
      <c r="AF35" s="697">
        <f t="shared" ca="1" si="16"/>
        <v>83333.333333333328</v>
      </c>
      <c r="AG35" s="716">
        <f t="shared" ca="1" si="17"/>
        <v>-83333.333333333328</v>
      </c>
      <c r="AI35" s="697">
        <v>130576</v>
      </c>
      <c r="AJ35" s="697">
        <v>250000</v>
      </c>
    </row>
    <row r="36" spans="1:44" x14ac:dyDescent="0.3">
      <c r="A36" s="437" t="s">
        <v>591</v>
      </c>
      <c r="B36" s="723" t="s">
        <v>592</v>
      </c>
      <c r="C36" s="666" t="s">
        <v>653</v>
      </c>
      <c r="E36" s="697">
        <f t="shared" si="14"/>
        <v>742</v>
      </c>
      <c r="F36" s="697">
        <f ca="1">IFERROR(1/F$3,1)*SUMIFS(Data!$AD$3:$AD$305,Data!$Y$3:$Y$305,F$1,Data!$Z$3:$Z$305,IF(RIGHT(F$2,3)="YTD","&lt;="&amp;LEFT(F$2,2)*1,F$2),Data!$K$3:$K$305,$B36)</f>
        <v>0</v>
      </c>
      <c r="G36" s="697">
        <f t="shared" si="18"/>
        <v>0</v>
      </c>
      <c r="H36" s="719"/>
      <c r="I36" s="710">
        <f>'Reporting 2021'!I47</f>
        <v>0</v>
      </c>
      <c r="J36" s="710">
        <f>'Reporting 2021'!J47</f>
        <v>0</v>
      </c>
      <c r="K36" s="710">
        <f>'Reporting 2021'!K47</f>
        <v>0</v>
      </c>
      <c r="L36" s="710">
        <f>'Reporting 2021'!L47</f>
        <v>0</v>
      </c>
      <c r="M36" s="710">
        <f>IFERROR(1/M$3,1)*SUMIFS(Data!$AD$3:$AD$316,Data!$Y$3:$Y$316,M$1,Data!$Z$3:$Z$316,IF(RIGHT(M$2,3)="YTD","&lt;="&amp;LEFT(M$2,2)*1,M$2),Data!$K$3:$K$316,$B36)</f>
        <v>0</v>
      </c>
      <c r="N36" s="710">
        <f>IFERROR(1/N$3,1)*SUMIFS(Data!$AD$3:$AD$316,Data!$Y$3:$Y$316,N$1,Data!$Z$3:$Z$316,IF(RIGHT(N$2,3)="YTD","&lt;="&amp;LEFT(N$2,2)*1,N$2),Data!$K$3:$K$316,$B36)</f>
        <v>0</v>
      </c>
      <c r="O36" s="710">
        <f>IFERROR(1/O$3,1)*SUMIFS(Data!$AD$3:$AD$316,Data!$Y$3:$Y$316,O$1,Data!$Z$3:$Z$316,IF(RIGHT(O$2,3)="YTD","&lt;="&amp;LEFT(O$2,2)*1,O$2),Data!$K$3:$K$316,$B36)</f>
        <v>0</v>
      </c>
      <c r="P36" s="710">
        <f>IFERROR(1/P$3,1)*SUMIFS(Data!$AD$3:$AD$316,Data!$Y$3:$Y$316,P$1,Data!$Z$3:$Z$316,IF(RIGHT(P$2,3)="YTD","&lt;="&amp;LEFT(P$2,2)*1,P$2),Data!$K$3:$K$316,$B36)</f>
        <v>0</v>
      </c>
      <c r="Q36" s="710">
        <f>IFERROR(1/Q$3,1)*SUMIFS(Data!$AD$3:$AD$316,Data!$Y$3:$Y$316,Q$1,Data!$Z$3:$Z$316,IF(RIGHT(Q$2,3)="YTD","&lt;="&amp;LEFT(Q$2,2)*1,Q$2),Data!$K$3:$K$316,$B36)</f>
        <v>0</v>
      </c>
      <c r="R36" s="710">
        <f>IFERROR(1/R$3,1)*SUMIFS(Data!$AD$3:$AD$316,Data!$Y$3:$Y$316,R$1,Data!$Z$3:$Z$316,IF(RIGHT(R$2,3)="YTD","&lt;="&amp;LEFT(R$2,2)*1,R$2),Data!$K$3:$K$316,$B36)</f>
        <v>0</v>
      </c>
      <c r="S36" s="710">
        <f>IFERROR(1/S$3,1)*SUMIFS(Data!$AD$3:$AD$316,Data!$Y$3:$Y$316,S$1,Data!$Z$3:$Z$316,IF(RIGHT(S$2,3)="YTD","&lt;="&amp;LEFT(S$2,2)*1,S$2),Data!$K$3:$K$316,$B36)</f>
        <v>0</v>
      </c>
      <c r="T36" s="710">
        <f>IFERROR(1/T$3,1)*SUMIFS(Data!$AD$3:$AD$316,Data!$Y$3:$Y$316,T$1,Data!$Z$3:$Z$316,IF(RIGHT(T$2,3)="YTD","&lt;="&amp;LEFT(T$2,2)*1,T$2),Data!$K$3:$K$316,$B36)</f>
        <v>0</v>
      </c>
      <c r="V36" s="697">
        <f>'Reporting 2021'!M47</f>
        <v>0</v>
      </c>
      <c r="W36" s="697">
        <f>'Reporting 2021'!N47</f>
        <v>0</v>
      </c>
      <c r="X36" s="710">
        <f>IFERROR(1/X$3,1)*SUMIFS(Data!$AD$3:$AD$316,Data!$Y$3:$Y$316,X$1,Data!$Z$3:$Z$316,IF(RIGHT(X$2,3)="YTD","&lt;="&amp;LEFT(X$2,2)*1,X$2),Data!$K$3:$K$316,$B36)</f>
        <v>0</v>
      </c>
      <c r="Y36" s="697">
        <v>0</v>
      </c>
      <c r="Z36" s="697">
        <v>40.5</v>
      </c>
      <c r="AA36" s="697">
        <f t="shared" si="19"/>
        <v>0</v>
      </c>
      <c r="AB36" s="697">
        <f t="shared" si="19"/>
        <v>0</v>
      </c>
      <c r="AC36" s="697">
        <f t="shared" si="19"/>
        <v>0</v>
      </c>
      <c r="AD36" s="697"/>
      <c r="AE36" s="697">
        <f ca="1">IFERROR(1/AE$3,1)*SUMIFS(Data!$AD$3:$AD$305,Data!$Y$3:$Y$305,AE$1,Data!$Z$3:$Z$305,IF(RIGHT(AE$2,3)="YTD","&lt;="&amp;LEFT(AE$2,2)*1,AE$2),Data!$K$3:$K$305,$B17)</f>
        <v>0</v>
      </c>
      <c r="AF36" s="697">
        <f t="shared" ca="1" si="16"/>
        <v>0</v>
      </c>
      <c r="AG36" s="716">
        <f t="shared" ca="1" si="17"/>
        <v>0</v>
      </c>
      <c r="AI36" s="697">
        <v>8904</v>
      </c>
      <c r="AJ36" s="697">
        <v>0</v>
      </c>
    </row>
    <row r="37" spans="1:44" x14ac:dyDescent="0.3">
      <c r="B37" s="723" t="s">
        <v>584</v>
      </c>
      <c r="C37" s="666" t="s">
        <v>653</v>
      </c>
      <c r="E37" s="697">
        <f t="shared" si="14"/>
        <v>22610</v>
      </c>
      <c r="F37" s="697">
        <f ca="1">IFERROR(1/F$3,1)*SUMIFS(Data!$AD$3:$AD$305,Data!$Y$3:$Y$305,F$1,Data!$Z$3:$Z$305,IF(RIGHT(F$2,3)="YTD","&lt;="&amp;LEFT(F$2,2)*1,F$2),Data!$K$3:$K$305,$B37)</f>
        <v>0</v>
      </c>
      <c r="G37" s="697">
        <f t="shared" si="18"/>
        <v>0</v>
      </c>
      <c r="H37" s="719"/>
      <c r="I37" s="710">
        <f>'Reporting 2021'!I48</f>
        <v>0</v>
      </c>
      <c r="J37" s="710">
        <f>'Reporting 2021'!J48</f>
        <v>0</v>
      </c>
      <c r="K37" s="710">
        <f>'Reporting 2021'!K48</f>
        <v>0</v>
      </c>
      <c r="L37" s="710">
        <f>'Reporting 2021'!L48</f>
        <v>0</v>
      </c>
      <c r="M37" s="710">
        <f>IFERROR(1/M$3,1)*SUMIFS(Data!$AD$3:$AD$316,Data!$Y$3:$Y$316,M$1,Data!$Z$3:$Z$316,IF(RIGHT(M$2,3)="YTD","&lt;="&amp;LEFT(M$2,2)*1,M$2),Data!$K$3:$K$316,$B37)</f>
        <v>0</v>
      </c>
      <c r="N37" s="710">
        <f>IFERROR(1/N$3,1)*SUMIFS(Data!$AD$3:$AD$316,Data!$Y$3:$Y$316,N$1,Data!$Z$3:$Z$316,IF(RIGHT(N$2,3)="YTD","&lt;="&amp;LEFT(N$2,2)*1,N$2),Data!$K$3:$K$316,$B37)</f>
        <v>0</v>
      </c>
      <c r="O37" s="710">
        <f>IFERROR(1/O$3,1)*SUMIFS(Data!$AD$3:$AD$316,Data!$Y$3:$Y$316,O$1,Data!$Z$3:$Z$316,IF(RIGHT(O$2,3)="YTD","&lt;="&amp;LEFT(O$2,2)*1,O$2),Data!$K$3:$K$316,$B37)</f>
        <v>0</v>
      </c>
      <c r="P37" s="710">
        <f>IFERROR(1/P$3,1)*SUMIFS(Data!$AD$3:$AD$316,Data!$Y$3:$Y$316,P$1,Data!$Z$3:$Z$316,IF(RIGHT(P$2,3)="YTD","&lt;="&amp;LEFT(P$2,2)*1,P$2),Data!$K$3:$K$316,$B37)</f>
        <v>0</v>
      </c>
      <c r="Q37" s="710">
        <f>IFERROR(1/Q$3,1)*SUMIFS(Data!$AD$3:$AD$316,Data!$Y$3:$Y$316,Q$1,Data!$Z$3:$Z$316,IF(RIGHT(Q$2,3)="YTD","&lt;="&amp;LEFT(Q$2,2)*1,Q$2),Data!$K$3:$K$316,$B37)</f>
        <v>0</v>
      </c>
      <c r="R37" s="710">
        <f>IFERROR(1/R$3,1)*SUMIFS(Data!$AD$3:$AD$316,Data!$Y$3:$Y$316,R$1,Data!$Z$3:$Z$316,IF(RIGHT(R$2,3)="YTD","&lt;="&amp;LEFT(R$2,2)*1,R$2),Data!$K$3:$K$316,$B37)</f>
        <v>0</v>
      </c>
      <c r="S37" s="710">
        <f>IFERROR(1/S$3,1)*SUMIFS(Data!$AD$3:$AD$316,Data!$Y$3:$Y$316,S$1,Data!$Z$3:$Z$316,IF(RIGHT(S$2,3)="YTD","&lt;="&amp;LEFT(S$2,2)*1,S$2),Data!$K$3:$K$316,$B37)</f>
        <v>0</v>
      </c>
      <c r="T37" s="710">
        <f>IFERROR(1/T$3,1)*SUMIFS(Data!$AD$3:$AD$316,Data!$Y$3:$Y$316,T$1,Data!$Z$3:$Z$316,IF(RIGHT(T$2,3)="YTD","&lt;="&amp;LEFT(T$2,2)*1,T$2),Data!$K$3:$K$316,$B37)</f>
        <v>0</v>
      </c>
      <c r="V37" s="697">
        <f>'Reporting 2021'!M48</f>
        <v>0</v>
      </c>
      <c r="W37" s="697">
        <f>'Reporting 2021'!N48</f>
        <v>0</v>
      </c>
      <c r="X37" s="710">
        <f>IFERROR(1/X$3,1)*SUMIFS(Data!$AD$3:$AD$316,Data!$Y$3:$Y$316,X$1,Data!$Z$3:$Z$316,IF(RIGHT(X$2,3)="YTD","&lt;="&amp;LEFT(X$2,2)*1,X$2),Data!$K$3:$K$316,$B37)</f>
        <v>0</v>
      </c>
      <c r="Y37" s="697">
        <v>0</v>
      </c>
      <c r="Z37" s="697">
        <v>0</v>
      </c>
      <c r="AA37" s="697">
        <f t="shared" si="19"/>
        <v>0</v>
      </c>
      <c r="AB37" s="697">
        <f t="shared" si="19"/>
        <v>0</v>
      </c>
      <c r="AC37" s="697">
        <f t="shared" si="19"/>
        <v>0</v>
      </c>
      <c r="AD37" s="697"/>
      <c r="AE37" s="697">
        <f ca="1">IFERROR(1/AE$3,1)*SUMIFS(Data!$AD$3:$AD$305,Data!$Y$3:$Y$305,AE$1,Data!$Z$3:$Z$305,IF(RIGHT(AE$2,3)="YTD","&lt;="&amp;LEFT(AE$2,2)*1,AE$2),Data!$K$3:$K$305,$B18)</f>
        <v>0</v>
      </c>
      <c r="AF37" s="697">
        <f t="shared" ca="1" si="16"/>
        <v>0</v>
      </c>
      <c r="AG37" s="716">
        <f t="shared" ca="1" si="17"/>
        <v>0</v>
      </c>
      <c r="AI37" s="697">
        <v>271320</v>
      </c>
      <c r="AJ37" s="697">
        <v>0</v>
      </c>
    </row>
    <row r="38" spans="1:44" s="391" customFormat="1" x14ac:dyDescent="0.3">
      <c r="B38" s="724" t="s">
        <v>601</v>
      </c>
      <c r="C38" s="666" t="s">
        <v>653</v>
      </c>
      <c r="D38" s="437"/>
      <c r="E38" s="711"/>
      <c r="F38" s="711"/>
      <c r="G38" s="697"/>
      <c r="H38" s="719"/>
      <c r="I38" s="712">
        <f>SUM(I28:I37)</f>
        <v>0</v>
      </c>
      <c r="J38" s="712">
        <f t="shared" ref="J38:X38" si="20">SUM(J28:J37)</f>
        <v>0</v>
      </c>
      <c r="K38" s="712">
        <f t="shared" si="20"/>
        <v>0</v>
      </c>
      <c r="L38" s="712">
        <f t="shared" si="20"/>
        <v>0</v>
      </c>
      <c r="M38" s="712">
        <f t="shared" si="20"/>
        <v>0</v>
      </c>
      <c r="N38" s="712">
        <f t="shared" si="20"/>
        <v>0</v>
      </c>
      <c r="O38" s="712">
        <f t="shared" si="20"/>
        <v>0</v>
      </c>
      <c r="P38" s="712">
        <f t="shared" si="20"/>
        <v>0</v>
      </c>
      <c r="Q38" s="712">
        <f t="shared" si="20"/>
        <v>0</v>
      </c>
      <c r="R38" s="712">
        <f t="shared" si="20"/>
        <v>0</v>
      </c>
      <c r="S38" s="712">
        <f t="shared" si="20"/>
        <v>0</v>
      </c>
      <c r="T38" s="712">
        <f t="shared" si="20"/>
        <v>0</v>
      </c>
      <c r="U38" s="712">
        <f t="shared" si="20"/>
        <v>0</v>
      </c>
      <c r="V38" s="712">
        <f t="shared" si="20"/>
        <v>0</v>
      </c>
      <c r="W38" s="712">
        <f t="shared" si="20"/>
        <v>0</v>
      </c>
      <c r="X38" s="712">
        <f t="shared" si="20"/>
        <v>0</v>
      </c>
      <c r="Y38" s="711">
        <v>27271.5</v>
      </c>
      <c r="Z38" s="711">
        <v>17399</v>
      </c>
      <c r="AA38" s="711"/>
      <c r="AB38" s="711"/>
      <c r="AC38" s="711"/>
      <c r="AD38" s="711"/>
      <c r="AE38" s="711">
        <f ca="1">SUM(AE28:AE37)</f>
        <v>0</v>
      </c>
      <c r="AF38" s="711">
        <f ca="1">SUM(AF28:AF37)</f>
        <v>305000</v>
      </c>
      <c r="AG38" s="711">
        <f ca="1">SUM(AG28:AG37)</f>
        <v>-305000</v>
      </c>
      <c r="AH38" s="437"/>
      <c r="AI38" s="711">
        <v>1606577.5</v>
      </c>
      <c r="AJ38" s="711">
        <f>SUM(AJ28:AJ37)</f>
        <v>915000</v>
      </c>
    </row>
    <row r="39" spans="1:44" x14ac:dyDescent="0.3">
      <c r="B39" s="726" t="s">
        <v>593</v>
      </c>
      <c r="C39" s="666" t="s">
        <v>653</v>
      </c>
      <c r="E39" s="713">
        <f>$AI39/E$3</f>
        <v>245265.98583333334</v>
      </c>
      <c r="F39" s="713">
        <f ca="1">SUM(I39:T39)/LEFT($F$2,2)</f>
        <v>287294.10333333333</v>
      </c>
      <c r="G39" s="713">
        <f t="shared" si="18"/>
        <v>552500</v>
      </c>
      <c r="H39" s="719"/>
      <c r="I39" s="714">
        <f>'Reporting 2021'!I50</f>
        <v>387460</v>
      </c>
      <c r="J39" s="714">
        <f>'Reporting 2021'!J50</f>
        <v>296375.80999999994</v>
      </c>
      <c r="K39" s="714">
        <f>'Reporting 2021'!K50</f>
        <v>176379.5</v>
      </c>
      <c r="L39" s="714">
        <f>'Reporting 2021'!L50</f>
        <v>1667</v>
      </c>
      <c r="M39" s="714">
        <f>Reporting!G74</f>
        <v>0</v>
      </c>
      <c r="N39" s="704">
        <f>Reporting!H74</f>
        <v>0</v>
      </c>
      <c r="O39" s="704">
        <f>Reporting!I74</f>
        <v>0</v>
      </c>
      <c r="P39" s="704">
        <f>Reporting!J74</f>
        <v>0</v>
      </c>
      <c r="Q39" s="704">
        <f>Reporting!K74</f>
        <v>0</v>
      </c>
      <c r="R39" s="704">
        <f>Reporting!L74</f>
        <v>0</v>
      </c>
      <c r="S39" s="704">
        <f>Reporting!M74</f>
        <v>0</v>
      </c>
      <c r="T39" s="704">
        <f>Reporting!N74</f>
        <v>0</v>
      </c>
      <c r="V39" s="713">
        <f>'Reporting 2021'!M50</f>
        <v>0</v>
      </c>
      <c r="W39" s="713">
        <f>'Reporting 2021'!N50</f>
        <v>0</v>
      </c>
      <c r="X39" s="704">
        <f>Reporting!R75</f>
        <v>0</v>
      </c>
      <c r="Y39" s="713">
        <v>527830</v>
      </c>
      <c r="Z39" s="713">
        <v>178647</v>
      </c>
      <c r="AA39" s="713">
        <f>AJ39/12</f>
        <v>552500</v>
      </c>
      <c r="AB39" s="713">
        <f>AJ39/12</f>
        <v>552500</v>
      </c>
      <c r="AC39" s="713">
        <f>Y39</f>
        <v>527830</v>
      </c>
      <c r="AD39" s="713"/>
      <c r="AE39" s="713">
        <f>SUM(I39:T39)</f>
        <v>861882.30999999994</v>
      </c>
      <c r="AF39" s="713">
        <f ca="1">AJ39/12*$C$5</f>
        <v>2210000</v>
      </c>
      <c r="AG39" s="721"/>
      <c r="AI39" s="713">
        <v>2943191.83</v>
      </c>
      <c r="AJ39" s="713">
        <v>6630000</v>
      </c>
    </row>
    <row r="40" spans="1:44" s="391" customFormat="1" x14ac:dyDescent="0.3">
      <c r="B40" s="724" t="s">
        <v>602</v>
      </c>
      <c r="C40" s="666" t="s">
        <v>653</v>
      </c>
      <c r="D40" s="437"/>
      <c r="E40" s="711"/>
      <c r="F40" s="711"/>
      <c r="G40" s="697"/>
      <c r="H40" s="719"/>
      <c r="I40" s="712">
        <f>I38+I39</f>
        <v>387460</v>
      </c>
      <c r="J40" s="712">
        <f t="shared" ref="J40:X40" si="21">J38+J39</f>
        <v>296375.80999999994</v>
      </c>
      <c r="K40" s="712">
        <f t="shared" si="21"/>
        <v>176379.5</v>
      </c>
      <c r="L40" s="712">
        <f t="shared" si="21"/>
        <v>1667</v>
      </c>
      <c r="M40" s="712">
        <f t="shared" si="21"/>
        <v>0</v>
      </c>
      <c r="N40" s="712">
        <f t="shared" si="21"/>
        <v>0</v>
      </c>
      <c r="O40" s="712">
        <f t="shared" si="21"/>
        <v>0</v>
      </c>
      <c r="P40" s="712">
        <f t="shared" si="21"/>
        <v>0</v>
      </c>
      <c r="Q40" s="712">
        <f t="shared" si="21"/>
        <v>0</v>
      </c>
      <c r="R40" s="712">
        <f t="shared" si="21"/>
        <v>0</v>
      </c>
      <c r="S40" s="712">
        <f t="shared" si="21"/>
        <v>0</v>
      </c>
      <c r="T40" s="712">
        <f t="shared" si="21"/>
        <v>0</v>
      </c>
      <c r="U40" s="712">
        <f t="shared" si="21"/>
        <v>0</v>
      </c>
      <c r="V40" s="712">
        <f t="shared" si="21"/>
        <v>0</v>
      </c>
      <c r="W40" s="712">
        <f t="shared" si="21"/>
        <v>0</v>
      </c>
      <c r="X40" s="712">
        <f t="shared" si="21"/>
        <v>0</v>
      </c>
      <c r="Y40" s="711">
        <f t="shared" ref="Y40:AI40" si="22">Y39+Y38</f>
        <v>555101.5</v>
      </c>
      <c r="Z40" s="711">
        <f t="shared" si="22"/>
        <v>196046</v>
      </c>
      <c r="AA40" s="711">
        <f t="shared" si="22"/>
        <v>552500</v>
      </c>
      <c r="AB40" s="711">
        <f t="shared" si="22"/>
        <v>552500</v>
      </c>
      <c r="AC40" s="711">
        <f t="shared" si="22"/>
        <v>527830</v>
      </c>
      <c r="AD40" s="711">
        <f t="shared" si="22"/>
        <v>0</v>
      </c>
      <c r="AE40" s="711">
        <f t="shared" ca="1" si="22"/>
        <v>861882.30999999994</v>
      </c>
      <c r="AF40" s="711">
        <f t="shared" ca="1" si="22"/>
        <v>2515000</v>
      </c>
      <c r="AG40" s="711">
        <f t="shared" ca="1" si="22"/>
        <v>-305000</v>
      </c>
      <c r="AH40" s="711">
        <f t="shared" si="22"/>
        <v>0</v>
      </c>
      <c r="AI40" s="711">
        <f t="shared" si="22"/>
        <v>4549769.33</v>
      </c>
      <c r="AJ40" s="711">
        <f>AJ39+AJ38</f>
        <v>7545000</v>
      </c>
      <c r="AK40" s="685"/>
      <c r="AL40" s="685"/>
      <c r="AM40" s="685"/>
      <c r="AN40" s="685"/>
      <c r="AO40" s="685"/>
      <c r="AP40" s="685"/>
      <c r="AQ40" s="685"/>
      <c r="AR40" s="685"/>
    </row>
    <row r="41" spans="1:44" s="391" customFormat="1" x14ac:dyDescent="0.3">
      <c r="B41" s="724" t="s">
        <v>667</v>
      </c>
      <c r="C41" s="666"/>
      <c r="D41" s="437"/>
      <c r="E41" s="711"/>
      <c r="F41" s="711"/>
      <c r="G41" s="697"/>
      <c r="H41" s="719"/>
      <c r="I41" s="712">
        <f>I40</f>
        <v>387460</v>
      </c>
      <c r="J41" s="712">
        <f>I41+J40</f>
        <v>683835.80999999994</v>
      </c>
      <c r="K41" s="712">
        <f>K40+J41</f>
        <v>860215.30999999994</v>
      </c>
      <c r="L41" s="712">
        <f>L40+K41</f>
        <v>861882.30999999994</v>
      </c>
      <c r="M41" s="712"/>
      <c r="N41" s="702"/>
      <c r="O41" s="702"/>
      <c r="P41" s="702"/>
      <c r="Q41" s="702"/>
      <c r="R41" s="702"/>
      <c r="S41" s="702"/>
      <c r="T41" s="702"/>
      <c r="U41" s="437"/>
      <c r="V41" s="711">
        <f>L41+V40</f>
        <v>861882.30999999994</v>
      </c>
      <c r="W41" s="711">
        <f>V41+W40</f>
        <v>861882.30999999994</v>
      </c>
      <c r="X41" s="711">
        <f>W41+X40</f>
        <v>861882.30999999994</v>
      </c>
      <c r="Y41" s="711">
        <f>X41+Y40</f>
        <v>1416983.81</v>
      </c>
      <c r="Z41" s="711">
        <f>Y41+Z40</f>
        <v>1613029.81</v>
      </c>
      <c r="AA41" s="711">
        <f>Z41+AA40</f>
        <v>2165529.81</v>
      </c>
      <c r="AB41" s="711"/>
      <c r="AC41" s="711"/>
      <c r="AD41" s="711"/>
      <c r="AE41" s="711"/>
      <c r="AF41" s="711"/>
      <c r="AG41" s="715"/>
      <c r="AH41" s="437"/>
      <c r="AI41" s="711"/>
      <c r="AJ41" s="711"/>
      <c r="AK41" s="685"/>
      <c r="AL41" s="685"/>
      <c r="AM41" s="685"/>
      <c r="AN41" s="685"/>
      <c r="AO41" s="685"/>
      <c r="AP41" s="685"/>
      <c r="AQ41" s="685"/>
      <c r="AR41" s="685"/>
    </row>
    <row r="42" spans="1:44" s="391" customFormat="1" x14ac:dyDescent="0.3">
      <c r="B42" s="724" t="s">
        <v>662</v>
      </c>
      <c r="C42" s="666"/>
      <c r="D42" s="437"/>
      <c r="E42" s="711"/>
      <c r="F42" s="711"/>
      <c r="G42" s="697"/>
      <c r="H42" s="719"/>
      <c r="I42" s="712">
        <f>(AJ39+AJ38)/12</f>
        <v>628750</v>
      </c>
      <c r="J42" s="712">
        <f>I42*2</f>
        <v>1257500</v>
      </c>
      <c r="K42" s="712">
        <f>I42*3</f>
        <v>1886250</v>
      </c>
      <c r="L42" s="712">
        <f>I42*4</f>
        <v>2515000</v>
      </c>
      <c r="M42" s="712">
        <f t="shared" ref="M42:U42" si="23">(AN39+AN38)/12</f>
        <v>0</v>
      </c>
      <c r="N42" s="712">
        <f t="shared" si="23"/>
        <v>0</v>
      </c>
      <c r="O42" s="712">
        <f t="shared" si="23"/>
        <v>0</v>
      </c>
      <c r="P42" s="712">
        <f t="shared" si="23"/>
        <v>0</v>
      </c>
      <c r="Q42" s="712">
        <f t="shared" si="23"/>
        <v>0</v>
      </c>
      <c r="R42" s="712">
        <f t="shared" si="23"/>
        <v>0</v>
      </c>
      <c r="S42" s="712">
        <f t="shared" si="23"/>
        <v>0</v>
      </c>
      <c r="T42" s="712">
        <f t="shared" si="23"/>
        <v>0</v>
      </c>
      <c r="U42" s="712">
        <f t="shared" si="23"/>
        <v>0</v>
      </c>
      <c r="V42" s="712">
        <f>I42*5</f>
        <v>3143750</v>
      </c>
      <c r="W42" s="712">
        <f>I42*6</f>
        <v>3772500</v>
      </c>
      <c r="X42" s="712">
        <f>I42*7</f>
        <v>4401250</v>
      </c>
      <c r="Y42" s="712">
        <f>I42*8</f>
        <v>5030000</v>
      </c>
      <c r="Z42" s="712">
        <f>I42*9</f>
        <v>5658750</v>
      </c>
      <c r="AA42" s="712">
        <f>I42*10</f>
        <v>6287500</v>
      </c>
      <c r="AB42" s="712">
        <f>I42*11</f>
        <v>6916250</v>
      </c>
      <c r="AC42" s="712">
        <f>I42*12</f>
        <v>7545000</v>
      </c>
      <c r="AD42" s="711"/>
      <c r="AE42" s="711"/>
      <c r="AF42" s="711"/>
      <c r="AG42" s="715"/>
      <c r="AH42" s="437"/>
      <c r="AI42" s="711"/>
      <c r="AJ42" s="711"/>
      <c r="AK42" s="685"/>
      <c r="AL42" s="685"/>
      <c r="AM42" s="685"/>
      <c r="AN42" s="685"/>
      <c r="AO42" s="685"/>
      <c r="AP42" s="685"/>
      <c r="AQ42" s="685"/>
      <c r="AR42" s="685"/>
    </row>
    <row r="43" spans="1:44" s="391" customFormat="1" x14ac:dyDescent="0.3">
      <c r="B43" s="724"/>
      <c r="C43" s="666"/>
      <c r="D43" s="437"/>
      <c r="E43" s="711"/>
      <c r="F43" s="711"/>
      <c r="G43" s="697"/>
      <c r="H43" s="719"/>
      <c r="I43" s="712"/>
      <c r="J43" s="712"/>
      <c r="K43" s="712"/>
      <c r="L43" s="712"/>
      <c r="M43" s="712"/>
      <c r="N43" s="702"/>
      <c r="O43" s="702"/>
      <c r="P43" s="702"/>
      <c r="Q43" s="702"/>
      <c r="R43" s="702"/>
      <c r="S43" s="702"/>
      <c r="T43" s="702"/>
      <c r="U43" s="437"/>
      <c r="V43" s="711"/>
      <c r="W43" s="711"/>
      <c r="X43" s="711"/>
      <c r="Y43" s="711"/>
      <c r="Z43" s="711"/>
      <c r="AA43" s="711"/>
      <c r="AB43" s="711"/>
      <c r="AC43" s="711"/>
      <c r="AD43" s="711"/>
      <c r="AE43" s="711"/>
      <c r="AF43" s="711"/>
      <c r="AG43" s="715"/>
      <c r="AH43" s="437"/>
      <c r="AI43" s="711"/>
      <c r="AJ43" s="711"/>
      <c r="AK43" s="685"/>
      <c r="AL43" s="685"/>
      <c r="AM43" s="685"/>
      <c r="AN43" s="685"/>
      <c r="AO43" s="685"/>
      <c r="AP43" s="685"/>
      <c r="AQ43" s="685"/>
      <c r="AR43" s="685"/>
    </row>
    <row r="44" spans="1:44" x14ac:dyDescent="0.3">
      <c r="B44" s="728"/>
      <c r="C44" s="387"/>
      <c r="E44" s="706"/>
      <c r="F44" s="706"/>
      <c r="G44" s="706"/>
      <c r="I44" s="706"/>
      <c r="J44" s="706"/>
      <c r="K44" s="706"/>
      <c r="L44" s="706"/>
      <c r="M44" s="706"/>
      <c r="N44" s="706"/>
      <c r="O44" s="706"/>
      <c r="P44" s="706"/>
      <c r="Q44" s="706"/>
      <c r="R44" s="706"/>
      <c r="S44" s="706"/>
      <c r="T44" s="706"/>
      <c r="V44" s="706"/>
      <c r="W44" s="706"/>
      <c r="X44" s="706"/>
      <c r="Y44" s="706"/>
      <c r="Z44" s="706"/>
      <c r="AA44" s="706"/>
      <c r="AB44" s="706"/>
      <c r="AI44" s="656"/>
      <c r="AJ44" s="437"/>
    </row>
    <row r="45" spans="1:44" s="55" customFormat="1" x14ac:dyDescent="0.3">
      <c r="C45" s="666"/>
      <c r="D45" s="391"/>
      <c r="E45" s="692" t="s">
        <v>550</v>
      </c>
      <c r="F45" s="729" t="s">
        <v>551</v>
      </c>
      <c r="G45" s="730" t="s">
        <v>551</v>
      </c>
      <c r="H45" s="437"/>
      <c r="I45" s="729" t="str">
        <f t="shared" ref="I45:T45" si="24">TEXT(I$2,"00")&amp;" "&amp;I$1</f>
        <v>01 2021</v>
      </c>
      <c r="J45" s="729" t="str">
        <f t="shared" si="24"/>
        <v>02 2021</v>
      </c>
      <c r="K45" s="729" t="str">
        <f t="shared" si="24"/>
        <v>03 2021</v>
      </c>
      <c r="L45" s="729" t="str">
        <f t="shared" si="24"/>
        <v>04 2021</v>
      </c>
      <c r="M45" s="729" t="str">
        <f t="shared" si="24"/>
        <v>05 2021</v>
      </c>
      <c r="N45" s="729" t="str">
        <f t="shared" si="24"/>
        <v>06 2021</v>
      </c>
      <c r="O45" s="729" t="str">
        <f t="shared" si="24"/>
        <v>07 2021</v>
      </c>
      <c r="P45" s="729" t="str">
        <f t="shared" si="24"/>
        <v>08 2021</v>
      </c>
      <c r="Q45" s="729" t="str">
        <f t="shared" si="24"/>
        <v>09 2021</v>
      </c>
      <c r="R45" s="729" t="str">
        <f t="shared" si="24"/>
        <v>10 2021</v>
      </c>
      <c r="S45" s="729" t="str">
        <f t="shared" si="24"/>
        <v>11 2021</v>
      </c>
      <c r="T45" s="729" t="str">
        <f t="shared" si="24"/>
        <v>12 2021</v>
      </c>
      <c r="U45" s="437"/>
      <c r="V45" s="729" t="s">
        <v>558</v>
      </c>
      <c r="W45" s="729" t="s">
        <v>559</v>
      </c>
      <c r="X45" s="729" t="s">
        <v>554</v>
      </c>
      <c r="Y45" s="729" t="s">
        <v>555</v>
      </c>
      <c r="Z45" s="729" t="s">
        <v>560</v>
      </c>
      <c r="AA45" s="662" t="s">
        <v>561</v>
      </c>
      <c r="AB45" s="662" t="s">
        <v>562</v>
      </c>
      <c r="AC45" s="662" t="s">
        <v>563</v>
      </c>
      <c r="AD45" s="666"/>
      <c r="AE45" s="729" t="str">
        <f ca="1">AE$2&amp;" "&amp;AE$1</f>
        <v>3 YTD 2021</v>
      </c>
      <c r="AF45" s="730" t="str">
        <f ca="1">AF$2&amp;" "&amp;AF$1</f>
        <v>3 YTD 2021</v>
      </c>
      <c r="AG45" s="694" t="str">
        <f ca="1">AG$2&amp;" "&amp;AG$1</f>
        <v>3 YTD 2021</v>
      </c>
      <c r="AH45" s="437"/>
      <c r="AI45" s="661" t="str">
        <f>AI$2&amp;" "&amp;AI$1</f>
        <v>12 YTD 2020</v>
      </c>
      <c r="AJ45" s="730" t="str">
        <f>AJ$2&amp;" "&amp;AJ$1</f>
        <v>12 YTD 2021</v>
      </c>
    </row>
    <row r="46" spans="1:44" s="357" customFormat="1" x14ac:dyDescent="0.3">
      <c r="C46" s="663"/>
      <c r="D46" s="437"/>
      <c r="E46" s="692" t="s">
        <v>245</v>
      </c>
      <c r="F46" s="729" t="s">
        <v>245</v>
      </c>
      <c r="G46" s="730" t="s">
        <v>115</v>
      </c>
      <c r="H46" s="437"/>
      <c r="I46" s="729" t="s">
        <v>245</v>
      </c>
      <c r="J46" s="729" t="s">
        <v>245</v>
      </c>
      <c r="K46" s="729" t="s">
        <v>245</v>
      </c>
      <c r="L46" s="729" t="s">
        <v>245</v>
      </c>
      <c r="M46" s="729" t="s">
        <v>245</v>
      </c>
      <c r="N46" s="729" t="s">
        <v>245</v>
      </c>
      <c r="O46" s="729" t="s">
        <v>245</v>
      </c>
      <c r="P46" s="729" t="s">
        <v>245</v>
      </c>
      <c r="Q46" s="729" t="s">
        <v>245</v>
      </c>
      <c r="R46" s="729" t="s">
        <v>245</v>
      </c>
      <c r="S46" s="729" t="s">
        <v>245</v>
      </c>
      <c r="T46" s="729" t="s">
        <v>245</v>
      </c>
      <c r="U46" s="729" t="s">
        <v>245</v>
      </c>
      <c r="V46" s="729" t="s">
        <v>245</v>
      </c>
      <c r="W46" s="729" t="s">
        <v>245</v>
      </c>
      <c r="X46" s="729" t="s">
        <v>245</v>
      </c>
      <c r="Y46" s="729" t="s">
        <v>245</v>
      </c>
      <c r="Z46" s="729" t="s">
        <v>245</v>
      </c>
      <c r="AA46" s="662" t="s">
        <v>564</v>
      </c>
      <c r="AB46" s="662" t="s">
        <v>564</v>
      </c>
      <c r="AC46" s="662" t="s">
        <v>564</v>
      </c>
      <c r="AD46" s="666"/>
      <c r="AE46" s="729" t="s">
        <v>654</v>
      </c>
      <c r="AF46" s="730" t="s">
        <v>655</v>
      </c>
      <c r="AG46" s="695" t="s">
        <v>652</v>
      </c>
      <c r="AH46" s="437"/>
      <c r="AI46" s="661" t="s">
        <v>654</v>
      </c>
      <c r="AJ46" s="730" t="s">
        <v>655</v>
      </c>
    </row>
    <row r="47" spans="1:44" x14ac:dyDescent="0.3">
      <c r="B47" s="731" t="s">
        <v>530</v>
      </c>
      <c r="C47" s="437"/>
      <c r="E47" s="437"/>
      <c r="F47" s="437"/>
      <c r="G47" s="437"/>
      <c r="I47" s="437"/>
      <c r="J47" s="437"/>
      <c r="K47" s="437"/>
      <c r="L47" s="437"/>
      <c r="M47" s="437"/>
      <c r="N47" s="437"/>
      <c r="O47" s="437"/>
      <c r="P47" s="437"/>
      <c r="Q47" s="437"/>
      <c r="R47" s="437"/>
      <c r="S47" s="437"/>
      <c r="T47" s="437"/>
      <c r="V47" s="437"/>
      <c r="W47" s="437"/>
      <c r="X47" s="437"/>
      <c r="Y47" s="437"/>
      <c r="Z47" s="437"/>
      <c r="AA47" s="437"/>
      <c r="AB47" s="437"/>
      <c r="AC47" s="437"/>
      <c r="AD47" s="437"/>
      <c r="AE47" s="437"/>
      <c r="AF47" s="437"/>
      <c r="AI47" s="437"/>
      <c r="AJ47" s="437"/>
    </row>
    <row r="48" spans="1:44" s="391" customFormat="1" x14ac:dyDescent="0.3">
      <c r="B48" s="723" t="s">
        <v>547</v>
      </c>
      <c r="C48" s="666" t="s">
        <v>566</v>
      </c>
      <c r="E48" s="697"/>
      <c r="F48" s="697">
        <f ca="1">IFERROR(1/F$3,1)*SUM(I48:T48)</f>
        <v>112.79066666666665</v>
      </c>
      <c r="G48" s="697">
        <f>AJ48/12</f>
        <v>95.75</v>
      </c>
      <c r="H48" s="732"/>
      <c r="I48" s="697">
        <v>80.292000000000002</v>
      </c>
      <c r="J48" s="697">
        <v>75.122</v>
      </c>
      <c r="K48" s="697">
        <v>91.468999999999994</v>
      </c>
      <c r="L48" s="697">
        <v>91.489000000000004</v>
      </c>
      <c r="M48" s="697"/>
      <c r="N48" s="697"/>
      <c r="O48" s="697"/>
      <c r="P48" s="697"/>
      <c r="Q48" s="697"/>
      <c r="R48" s="697"/>
      <c r="S48" s="697"/>
      <c r="T48" s="697"/>
      <c r="U48" s="732"/>
      <c r="V48" s="697">
        <v>99.927999999999997</v>
      </c>
      <c r="W48" s="697">
        <v>96.218999999999994</v>
      </c>
      <c r="X48" s="697">
        <f>86.952</f>
        <v>86.951999999999998</v>
      </c>
      <c r="Y48" s="697">
        <f>AJ48/12</f>
        <v>95.75</v>
      </c>
      <c r="Z48" s="697">
        <f>AJ48/12</f>
        <v>95.75</v>
      </c>
      <c r="AA48" s="697">
        <f>AJ48/12</f>
        <v>95.75</v>
      </c>
      <c r="AB48" s="697">
        <f>AJ48/12</f>
        <v>95.75</v>
      </c>
      <c r="AC48" s="697">
        <f>AJ48/12</f>
        <v>95.75</v>
      </c>
      <c r="AD48" s="697"/>
      <c r="AE48" s="697">
        <f>SUM(I48:L48)</f>
        <v>338.37199999999996</v>
      </c>
      <c r="AF48" s="697">
        <f ca="1">AC48*C5</f>
        <v>383</v>
      </c>
      <c r="AG48" s="732"/>
      <c r="AH48" s="732"/>
      <c r="AI48" s="697">
        <f>SUM(M48:P48)</f>
        <v>0</v>
      </c>
      <c r="AJ48" s="697">
        <v>1149</v>
      </c>
    </row>
    <row r="49" spans="2:36" s="391" customFormat="1" x14ac:dyDescent="0.3">
      <c r="B49" s="723" t="s">
        <v>665</v>
      </c>
      <c r="C49" s="666"/>
      <c r="E49" s="697"/>
      <c r="F49" s="697"/>
      <c r="G49" s="697"/>
      <c r="H49" s="732"/>
      <c r="I49" s="697">
        <f>I48</f>
        <v>80.292000000000002</v>
      </c>
      <c r="J49" s="697">
        <f>J48+I49</f>
        <v>155.41399999999999</v>
      </c>
      <c r="K49" s="697">
        <f>K48+J49</f>
        <v>246.88299999999998</v>
      </c>
      <c r="L49" s="697">
        <f>L48+K49</f>
        <v>338.37199999999996</v>
      </c>
      <c r="M49" s="697"/>
      <c r="N49" s="697"/>
      <c r="O49" s="697"/>
      <c r="P49" s="697"/>
      <c r="Q49" s="697"/>
      <c r="R49" s="697"/>
      <c r="S49" s="697"/>
      <c r="T49" s="697"/>
      <c r="U49" s="732"/>
      <c r="V49" s="697">
        <f>L49+V48</f>
        <v>438.29999999999995</v>
      </c>
      <c r="W49" s="697">
        <f t="shared" ref="W49:AC49" si="25">V49+W48</f>
        <v>534.51900000000001</v>
      </c>
      <c r="X49" s="697">
        <f t="shared" si="25"/>
        <v>621.471</v>
      </c>
      <c r="Y49" s="697">
        <f t="shared" si="25"/>
        <v>717.221</v>
      </c>
      <c r="Z49" s="697">
        <f t="shared" si="25"/>
        <v>812.971</v>
      </c>
      <c r="AA49" s="697">
        <f t="shared" si="25"/>
        <v>908.721</v>
      </c>
      <c r="AB49" s="697">
        <f t="shared" si="25"/>
        <v>1004.471</v>
      </c>
      <c r="AC49" s="697">
        <f t="shared" si="25"/>
        <v>1100.221</v>
      </c>
      <c r="AD49" s="697"/>
      <c r="AE49" s="697"/>
      <c r="AF49" s="697"/>
      <c r="AG49" s="732"/>
      <c r="AH49" s="732"/>
      <c r="AI49" s="697"/>
      <c r="AJ49" s="697"/>
    </row>
    <row r="50" spans="2:36" s="391" customFormat="1" x14ac:dyDescent="0.3">
      <c r="B50" s="723" t="s">
        <v>661</v>
      </c>
      <c r="C50" s="666" t="s">
        <v>566</v>
      </c>
      <c r="E50" s="697"/>
      <c r="F50" s="697">
        <f ca="1">IFERROR(1/F$3,1)*SUM(I50:T50)</f>
        <v>319.16666666666663</v>
      </c>
      <c r="G50" s="697">
        <f>AJ50/12</f>
        <v>95.75</v>
      </c>
      <c r="H50" s="732"/>
      <c r="I50" s="697">
        <f>AJ48/12</f>
        <v>95.75</v>
      </c>
      <c r="J50" s="697">
        <f>I50*2</f>
        <v>191.5</v>
      </c>
      <c r="K50" s="697">
        <f>I50*3</f>
        <v>287.25</v>
      </c>
      <c r="L50" s="697">
        <f>I50*4</f>
        <v>383</v>
      </c>
      <c r="M50" s="697"/>
      <c r="N50" s="697"/>
      <c r="O50" s="697"/>
      <c r="P50" s="697"/>
      <c r="Q50" s="697"/>
      <c r="R50" s="697"/>
      <c r="S50" s="697"/>
      <c r="T50" s="697"/>
      <c r="U50" s="732"/>
      <c r="V50" s="697">
        <f>I50*5</f>
        <v>478.75</v>
      </c>
      <c r="W50" s="697">
        <f>I50*6</f>
        <v>574.5</v>
      </c>
      <c r="X50" s="697">
        <f>I50*7</f>
        <v>670.25</v>
      </c>
      <c r="Y50" s="697">
        <f>I50*8</f>
        <v>766</v>
      </c>
      <c r="Z50" s="697">
        <f>I50*9</f>
        <v>861.75</v>
      </c>
      <c r="AA50" s="697">
        <f>I50*10</f>
        <v>957.5</v>
      </c>
      <c r="AB50" s="697">
        <f>I50*11</f>
        <v>1053.25</v>
      </c>
      <c r="AC50" s="697">
        <f>I50*12</f>
        <v>1149</v>
      </c>
      <c r="AD50" s="697"/>
      <c r="AE50" s="697">
        <f>SUM(I50:L50)</f>
        <v>957.5</v>
      </c>
      <c r="AF50" s="697">
        <f>AC50*C6</f>
        <v>0</v>
      </c>
      <c r="AG50" s="732"/>
      <c r="AH50" s="732"/>
      <c r="AI50" s="697">
        <f>SUM(M50:P50)</f>
        <v>0</v>
      </c>
      <c r="AJ50" s="697">
        <v>1149</v>
      </c>
    </row>
    <row r="51" spans="2:36" s="391" customFormat="1" x14ac:dyDescent="0.3">
      <c r="B51" s="723" t="s">
        <v>548</v>
      </c>
      <c r="C51" s="666" t="s">
        <v>567</v>
      </c>
      <c r="E51" s="697"/>
      <c r="F51" s="697">
        <f ca="1">IFERROR(1/F$3,1)*SUM(I51:T51)</f>
        <v>9270</v>
      </c>
      <c r="G51" s="697">
        <f>AJ51/12</f>
        <v>17833.333333333332</v>
      </c>
      <c r="H51" s="732"/>
      <c r="I51" s="697">
        <v>10974</v>
      </c>
      <c r="J51" s="697">
        <v>11021</v>
      </c>
      <c r="K51" s="697">
        <v>464</v>
      </c>
      <c r="L51" s="697">
        <v>5351</v>
      </c>
      <c r="M51" s="697"/>
      <c r="N51" s="697"/>
      <c r="O51" s="697"/>
      <c r="P51" s="697"/>
      <c r="Q51" s="697"/>
      <c r="R51" s="697"/>
      <c r="S51" s="697"/>
      <c r="T51" s="697"/>
      <c r="U51" s="732"/>
      <c r="V51" s="697">
        <v>4939</v>
      </c>
      <c r="W51" s="697">
        <v>-17669</v>
      </c>
      <c r="X51" s="697">
        <v>68299</v>
      </c>
      <c r="Y51" s="697">
        <f>G51</f>
        <v>17833.333333333332</v>
      </c>
      <c r="Z51" s="697">
        <f t="shared" ref="Z51:AC51" si="26">V51</f>
        <v>4939</v>
      </c>
      <c r="AA51" s="697">
        <f t="shared" si="26"/>
        <v>-17669</v>
      </c>
      <c r="AB51" s="697">
        <f t="shared" si="26"/>
        <v>68299</v>
      </c>
      <c r="AC51" s="697">
        <f t="shared" si="26"/>
        <v>17833.333333333332</v>
      </c>
      <c r="AD51" s="697"/>
      <c r="AE51" s="697">
        <f>SUM(I51:K51)</f>
        <v>22459</v>
      </c>
      <c r="AF51" s="697">
        <f ca="1">AC51*C5</f>
        <v>71333.333333333328</v>
      </c>
      <c r="AG51" s="732"/>
      <c r="AH51" s="732"/>
      <c r="AI51" s="697">
        <f>SUM(M51:O51)</f>
        <v>0</v>
      </c>
      <c r="AJ51" s="697">
        <v>214000</v>
      </c>
    </row>
    <row r="52" spans="2:36" s="391" customFormat="1" x14ac:dyDescent="0.3">
      <c r="B52" s="723" t="s">
        <v>664</v>
      </c>
      <c r="C52" s="666"/>
      <c r="E52" s="697"/>
      <c r="F52" s="697"/>
      <c r="G52" s="697"/>
      <c r="H52" s="732"/>
      <c r="I52" s="697">
        <f>I51</f>
        <v>10974</v>
      </c>
      <c r="J52" s="697">
        <f>J51+I52</f>
        <v>21995</v>
      </c>
      <c r="K52" s="697">
        <f>J52+K51</f>
        <v>22459</v>
      </c>
      <c r="L52" s="697">
        <f>K52+L51</f>
        <v>27810</v>
      </c>
      <c r="M52" s="697"/>
      <c r="N52" s="697"/>
      <c r="O52" s="697"/>
      <c r="P52" s="697"/>
      <c r="Q52" s="697"/>
      <c r="R52" s="697"/>
      <c r="S52" s="697"/>
      <c r="T52" s="697"/>
      <c r="U52" s="732"/>
      <c r="V52" s="697">
        <f>L52+V51</f>
        <v>32749</v>
      </c>
      <c r="W52" s="697">
        <f>V52+W51</f>
        <v>15080</v>
      </c>
      <c r="X52" s="697">
        <f t="shared" ref="X52:AC52" si="27">W52+X51</f>
        <v>83379</v>
      </c>
      <c r="Y52" s="697">
        <f t="shared" si="27"/>
        <v>101212.33333333333</v>
      </c>
      <c r="Z52" s="697">
        <f t="shared" si="27"/>
        <v>106151.33333333333</v>
      </c>
      <c r="AA52" s="697">
        <f t="shared" si="27"/>
        <v>88482.333333333328</v>
      </c>
      <c r="AB52" s="697">
        <f t="shared" si="27"/>
        <v>156781.33333333331</v>
      </c>
      <c r="AC52" s="697">
        <f t="shared" si="27"/>
        <v>174614.66666666666</v>
      </c>
      <c r="AD52" s="697"/>
      <c r="AE52" s="697"/>
      <c r="AF52" s="697"/>
      <c r="AG52" s="732"/>
      <c r="AH52" s="732"/>
      <c r="AI52" s="697"/>
      <c r="AJ52" s="697"/>
    </row>
    <row r="53" spans="2:36" s="391" customFormat="1" x14ac:dyDescent="0.3">
      <c r="B53" s="723" t="s">
        <v>660</v>
      </c>
      <c r="C53" s="666" t="s">
        <v>567</v>
      </c>
      <c r="E53" s="697"/>
      <c r="F53" s="697">
        <f ca="1">IFERROR(1/F$3,1)*SUM(I53:T53)</f>
        <v>5052777.7777777771</v>
      </c>
      <c r="G53" s="697">
        <f>AJ53/12</f>
        <v>17833.333333333332</v>
      </c>
      <c r="H53" s="732"/>
      <c r="I53" s="697">
        <f>AJ51/12</f>
        <v>17833.333333333332</v>
      </c>
      <c r="J53" s="697">
        <f>I53*2</f>
        <v>35666.666666666664</v>
      </c>
      <c r="K53" s="697">
        <f>I53*3</f>
        <v>53500</v>
      </c>
      <c r="L53" s="697">
        <f>I53*4</f>
        <v>71333.333333333328</v>
      </c>
      <c r="M53" s="697">
        <f t="shared" ref="M53:AI53" si="28">K53*3</f>
        <v>160500</v>
      </c>
      <c r="N53" s="697">
        <f t="shared" si="28"/>
        <v>214000</v>
      </c>
      <c r="O53" s="697">
        <f t="shared" si="28"/>
        <v>481500</v>
      </c>
      <c r="P53" s="697">
        <f t="shared" si="28"/>
        <v>642000</v>
      </c>
      <c r="Q53" s="697">
        <f t="shared" si="28"/>
        <v>1444500</v>
      </c>
      <c r="R53" s="697">
        <f t="shared" si="28"/>
        <v>1926000</v>
      </c>
      <c r="S53" s="697">
        <f t="shared" si="28"/>
        <v>4333500</v>
      </c>
      <c r="T53" s="697">
        <f t="shared" si="28"/>
        <v>5778000</v>
      </c>
      <c r="U53" s="697">
        <f t="shared" si="28"/>
        <v>13000500</v>
      </c>
      <c r="V53" s="697">
        <f>I53*5</f>
        <v>89166.666666666657</v>
      </c>
      <c r="W53" s="697">
        <f>I53*6</f>
        <v>107000</v>
      </c>
      <c r="X53" s="697">
        <f>I53*7</f>
        <v>124833.33333333333</v>
      </c>
      <c r="Y53" s="697">
        <f>I53*8</f>
        <v>142666.66666666666</v>
      </c>
      <c r="Z53" s="697">
        <f>I53*9</f>
        <v>160500</v>
      </c>
      <c r="AA53" s="697">
        <f>I53*10</f>
        <v>178333.33333333331</v>
      </c>
      <c r="AB53" s="697">
        <f>I53*11</f>
        <v>196166.66666666666</v>
      </c>
      <c r="AC53" s="697">
        <f>I53*12</f>
        <v>214000</v>
      </c>
      <c r="AD53" s="697">
        <f t="shared" si="28"/>
        <v>588500</v>
      </c>
      <c r="AE53" s="697">
        <f t="shared" si="28"/>
        <v>642000</v>
      </c>
      <c r="AF53" s="697">
        <f t="shared" si="28"/>
        <v>1765500</v>
      </c>
      <c r="AG53" s="697">
        <f t="shared" si="28"/>
        <v>1926000</v>
      </c>
      <c r="AH53" s="697">
        <f t="shared" si="28"/>
        <v>5296500</v>
      </c>
      <c r="AI53" s="697">
        <f t="shared" si="28"/>
        <v>5778000</v>
      </c>
      <c r="AJ53" s="697">
        <v>214000</v>
      </c>
    </row>
    <row r="54" spans="2:36" s="391" customFormat="1" x14ac:dyDescent="0.3">
      <c r="B54" s="723" t="s">
        <v>549</v>
      </c>
      <c r="C54" s="666" t="s">
        <v>567</v>
      </c>
      <c r="E54" s="697"/>
      <c r="F54" s="697">
        <f ca="1">IFERROR(1/F$3,1)*SUM(I54:T54)</f>
        <v>0</v>
      </c>
      <c r="G54" s="697">
        <f>AJ54/12</f>
        <v>41666.666666666664</v>
      </c>
      <c r="H54" s="732"/>
      <c r="I54" s="697">
        <f>I33+I34+I35</f>
        <v>0</v>
      </c>
      <c r="J54" s="697">
        <f t="shared" ref="J54:AA54" si="29">J33+J34+J35</f>
        <v>0</v>
      </c>
      <c r="K54" s="697">
        <f t="shared" si="29"/>
        <v>0</v>
      </c>
      <c r="L54" s="697">
        <f t="shared" si="29"/>
        <v>0</v>
      </c>
      <c r="M54" s="697">
        <f t="shared" si="29"/>
        <v>0</v>
      </c>
      <c r="N54" s="697">
        <f t="shared" si="29"/>
        <v>0</v>
      </c>
      <c r="O54" s="697">
        <f t="shared" si="29"/>
        <v>0</v>
      </c>
      <c r="P54" s="697">
        <f t="shared" si="29"/>
        <v>0</v>
      </c>
      <c r="Q54" s="697">
        <f t="shared" si="29"/>
        <v>0</v>
      </c>
      <c r="R54" s="697">
        <f t="shared" si="29"/>
        <v>0</v>
      </c>
      <c r="S54" s="697">
        <f t="shared" si="29"/>
        <v>0</v>
      </c>
      <c r="T54" s="697">
        <f t="shared" si="29"/>
        <v>0</v>
      </c>
      <c r="U54" s="697">
        <f t="shared" si="29"/>
        <v>0</v>
      </c>
      <c r="V54" s="697">
        <f t="shared" si="29"/>
        <v>0</v>
      </c>
      <c r="W54" s="697">
        <f t="shared" si="29"/>
        <v>0</v>
      </c>
      <c r="X54" s="697">
        <f t="shared" si="29"/>
        <v>0</v>
      </c>
      <c r="Y54" s="697">
        <f t="shared" si="29"/>
        <v>27271.5</v>
      </c>
      <c r="Z54" s="697">
        <f t="shared" si="29"/>
        <v>17358.5</v>
      </c>
      <c r="AA54" s="697">
        <f t="shared" si="29"/>
        <v>45416.666666666664</v>
      </c>
      <c r="AB54" s="697">
        <f>AJ54/12</f>
        <v>41666.666666666664</v>
      </c>
      <c r="AC54" s="697">
        <f>AJ54/12</f>
        <v>41666.666666666664</v>
      </c>
      <c r="AD54" s="697"/>
      <c r="AE54" s="697">
        <f>SUM(I54:K54)</f>
        <v>0</v>
      </c>
      <c r="AF54" s="697">
        <f ca="1">AC54*C5</f>
        <v>166666.66666666666</v>
      </c>
      <c r="AG54" s="732"/>
      <c r="AH54" s="732"/>
      <c r="AI54" s="697">
        <f>SUM(M54:O54)</f>
        <v>0</v>
      </c>
      <c r="AJ54" s="697">
        <v>500000</v>
      </c>
    </row>
    <row r="55" spans="2:36" s="391" customFormat="1" x14ac:dyDescent="0.3">
      <c r="B55" s="723" t="s">
        <v>663</v>
      </c>
      <c r="C55" s="666"/>
      <c r="E55" s="697"/>
      <c r="F55" s="697"/>
      <c r="G55" s="697"/>
      <c r="H55" s="732"/>
      <c r="I55" s="697">
        <f>I54</f>
        <v>0</v>
      </c>
      <c r="J55" s="697">
        <f>I55+J54</f>
        <v>0</v>
      </c>
      <c r="K55" s="697">
        <f>J55+K54</f>
        <v>0</v>
      </c>
      <c r="L55" s="697">
        <f>K55+L54</f>
        <v>0</v>
      </c>
      <c r="M55" s="697">
        <f t="shared" ref="M55" si="30">M54</f>
        <v>0</v>
      </c>
      <c r="N55" s="697">
        <f t="shared" ref="N55" si="31">N54</f>
        <v>0</v>
      </c>
      <c r="O55" s="697">
        <f t="shared" ref="O55" si="32">O54</f>
        <v>0</v>
      </c>
      <c r="P55" s="697">
        <f t="shared" ref="P55:Q55" si="33">P54</f>
        <v>0</v>
      </c>
      <c r="Q55" s="697">
        <f t="shared" si="33"/>
        <v>0</v>
      </c>
      <c r="R55" s="697">
        <f t="shared" ref="R55" si="34">R54</f>
        <v>0</v>
      </c>
      <c r="S55" s="697">
        <f t="shared" ref="S55" si="35">S54</f>
        <v>0</v>
      </c>
      <c r="T55" s="697">
        <f t="shared" ref="T55:U55" si="36">T54</f>
        <v>0</v>
      </c>
      <c r="U55" s="697">
        <f t="shared" si="36"/>
        <v>0</v>
      </c>
      <c r="V55" s="697">
        <f>L55+V54</f>
        <v>0</v>
      </c>
      <c r="W55" s="697">
        <f>V55+W54</f>
        <v>0</v>
      </c>
      <c r="X55" s="697">
        <f t="shared" ref="X55:AI55" si="37">W55+X54</f>
        <v>0</v>
      </c>
      <c r="Y55" s="697">
        <f t="shared" si="37"/>
        <v>27271.5</v>
      </c>
      <c r="Z55" s="697">
        <f t="shared" si="37"/>
        <v>44630</v>
      </c>
      <c r="AA55" s="697">
        <f>Z55+AA54</f>
        <v>90046.666666666657</v>
      </c>
      <c r="AB55" s="697">
        <f t="shared" si="37"/>
        <v>131713.33333333331</v>
      </c>
      <c r="AC55" s="697">
        <f t="shared" si="37"/>
        <v>173379.99999999997</v>
      </c>
      <c r="AD55" s="697">
        <f t="shared" si="37"/>
        <v>173379.99999999997</v>
      </c>
      <c r="AE55" s="697">
        <f t="shared" si="37"/>
        <v>173379.99999999997</v>
      </c>
      <c r="AF55" s="697">
        <f t="shared" ca="1" si="37"/>
        <v>340046.66666666663</v>
      </c>
      <c r="AG55" s="697">
        <f t="shared" ca="1" si="37"/>
        <v>340046.66666666663</v>
      </c>
      <c r="AH55" s="697">
        <f t="shared" ca="1" si="37"/>
        <v>340046.66666666663</v>
      </c>
      <c r="AI55" s="697">
        <f t="shared" ca="1" si="37"/>
        <v>340046.66666666663</v>
      </c>
      <c r="AJ55" s="697"/>
    </row>
    <row r="56" spans="2:36" x14ac:dyDescent="0.3">
      <c r="B56" s="735" t="s">
        <v>659</v>
      </c>
      <c r="I56" s="697">
        <f>AJ56/12</f>
        <v>41666.666666666664</v>
      </c>
      <c r="J56" s="697">
        <f>I56*2</f>
        <v>83333.333333333328</v>
      </c>
      <c r="K56" s="697">
        <f>I56*3</f>
        <v>125000</v>
      </c>
      <c r="L56" s="697">
        <f>I56*4</f>
        <v>166666.66666666666</v>
      </c>
      <c r="M56" s="697"/>
      <c r="N56" s="697"/>
      <c r="O56" s="697"/>
      <c r="P56" s="697"/>
      <c r="Q56" s="697"/>
      <c r="R56" s="697"/>
      <c r="S56" s="697"/>
      <c r="T56" s="697"/>
      <c r="U56" s="732"/>
      <c r="V56" s="697">
        <f>I56*5</f>
        <v>208333.33333333331</v>
      </c>
      <c r="W56" s="697">
        <f>I56*6</f>
        <v>250000</v>
      </c>
      <c r="X56" s="697">
        <f>I56*7</f>
        <v>291666.66666666663</v>
      </c>
      <c r="Y56" s="697">
        <f>I56*8</f>
        <v>333333.33333333331</v>
      </c>
      <c r="Z56" s="697">
        <f>I56*9</f>
        <v>375000</v>
      </c>
      <c r="AA56" s="697">
        <f>I56*10</f>
        <v>416666.66666666663</v>
      </c>
      <c r="AB56" s="697">
        <f>I56*11</f>
        <v>458333.33333333331</v>
      </c>
      <c r="AC56" s="697">
        <f>I56*12</f>
        <v>500000</v>
      </c>
      <c r="AD56" s="697"/>
      <c r="AE56" s="697">
        <f>SUM(I56:K56)</f>
        <v>250000</v>
      </c>
      <c r="AF56" s="697">
        <f>AC56*C6</f>
        <v>0</v>
      </c>
      <c r="AG56" s="732"/>
      <c r="AH56" s="732"/>
      <c r="AI56" s="697">
        <f>SUM(M56:O56)</f>
        <v>0</v>
      </c>
      <c r="AJ56" s="697">
        <v>500000</v>
      </c>
    </row>
  </sheetData>
  <conditionalFormatting sqref="AE9:AG18 E9:G18 B9:C18 B20:C20 E20:G20 I20:M20 V20:X20 AE20:AG20 B28:C37 B39:C39 E28:G37 I39:M39 V39:W39 AE28:AG37 AE39:AG39 B48:C49 E48:G49 I48:M49 AE48:AG49 AI9:AJ18 AI20:AJ20 AI28:AJ37 AI39:AJ39 AI48:AJ49 E39:G39 AI54:AJ54 AE54:AG54 E54:G55 B54:C55 AI51:AJ52 AE51:AG52 I51:M52 E51:G52 B51:C52 V9:X18 I9:M18 I28:M37 V28:W37 V51:AC52 I55:AJ55 I53:AJ53 AA9:AC18 AA20:AC20 Y28:AC37 Y39:AC39 V48:AC49 I54:AC54">
    <cfRule type="expression" dxfId="425" priority="33">
      <formula>MOD(ROW(),2)</formula>
    </cfRule>
  </conditionalFormatting>
  <conditionalFormatting sqref="N28:T37">
    <cfRule type="expression" dxfId="424" priority="32">
      <formula>MOD(ROW(),2)</formula>
    </cfRule>
  </conditionalFormatting>
  <conditionalFormatting sqref="N48:R49 N51:R52">
    <cfRule type="expression" dxfId="423" priority="31">
      <formula>MOD(ROW(),2)</formula>
    </cfRule>
  </conditionalFormatting>
  <conditionalFormatting sqref="S48:T49 S51:T52">
    <cfRule type="expression" dxfId="422" priority="30">
      <formula>MOD(ROW(),2)</formula>
    </cfRule>
  </conditionalFormatting>
  <conditionalFormatting sqref="I56:M56 V56:AC56 AE56:AG56 AI56:AJ56">
    <cfRule type="expression" dxfId="421" priority="15">
      <formula>MOD(ROW(),2)</formula>
    </cfRule>
  </conditionalFormatting>
  <conditionalFormatting sqref="N56:R56">
    <cfRule type="expression" dxfId="420" priority="14">
      <formula>MOD(ROW(),2)</formula>
    </cfRule>
  </conditionalFormatting>
  <conditionalFormatting sqref="S56:T56">
    <cfRule type="expression" dxfId="419" priority="13">
      <formula>MOD(ROW(),2)</formula>
    </cfRule>
  </conditionalFormatting>
  <conditionalFormatting sqref="B53:C53 E53:G53">
    <cfRule type="expression" dxfId="418" priority="11">
      <formula>MOD(ROW(),2)</formula>
    </cfRule>
  </conditionalFormatting>
  <conditionalFormatting sqref="N50:R50">
    <cfRule type="expression" dxfId="417" priority="6">
      <formula>MOD(ROW(),2)</formula>
    </cfRule>
  </conditionalFormatting>
  <conditionalFormatting sqref="S50:T50">
    <cfRule type="expression" dxfId="416" priority="5">
      <formula>MOD(ROW(),2)</formula>
    </cfRule>
  </conditionalFormatting>
  <conditionalFormatting sqref="B50:C50 E50:G50 I50:M50 V50:AC50 AE50:AG50 AI50:AJ50">
    <cfRule type="expression" dxfId="415" priority="7">
      <formula>MOD(ROW(),2)</formula>
    </cfRule>
  </conditionalFormatting>
  <conditionalFormatting sqref="Y9:Y18 Y20">
    <cfRule type="expression" dxfId="414" priority="3">
      <formula>MOD(ROW(),2)</formula>
    </cfRule>
  </conditionalFormatting>
  <conditionalFormatting sqref="X28:X37">
    <cfRule type="expression" dxfId="413" priority="2">
      <formula>MOD(ROW(),2)</formula>
    </cfRule>
  </conditionalFormatting>
  <conditionalFormatting sqref="Z9:Z18 Z20">
    <cfRule type="expression" dxfId="412" priority="1">
      <formula>MOD(ROW(),2)</formula>
    </cfRule>
  </conditionalFormatting>
  <pageMargins left="0.7" right="0.7" top="0.75" bottom="0.75" header="0.3" footer="0.3"/>
  <pageSetup paperSize="9" scale="47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BB88"/>
  <sheetViews>
    <sheetView zoomScaleNormal="100" workbookViewId="0">
      <pane xSplit="2" ySplit="1" topLeftCell="C2" activePane="bottomRight" state="frozenSplit"/>
      <selection pane="topRight" activeCell="G1" sqref="G1"/>
      <selection pane="bottomLeft" activeCell="A10" sqref="A10"/>
      <selection pane="bottomRight" activeCell="E5" sqref="E5"/>
    </sheetView>
  </sheetViews>
  <sheetFormatPr baseColWidth="10" defaultColWidth="9.109375" defaultRowHeight="14.4" x14ac:dyDescent="0.3"/>
  <cols>
    <col min="1" max="1" width="12.109375" bestFit="1" customWidth="1"/>
    <col min="2" max="2" width="26" bestFit="1" customWidth="1"/>
    <col min="3" max="4" width="12.109375" bestFit="1" customWidth="1"/>
    <col min="5" max="7" width="12" bestFit="1" customWidth="1"/>
    <col min="8" max="8" width="12.109375" bestFit="1" customWidth="1"/>
    <col min="9" max="10" width="12" bestFit="1" customWidth="1"/>
    <col min="11" max="14" width="13.109375" bestFit="1" customWidth="1"/>
    <col min="15" max="15" width="12.44140625" customWidth="1"/>
    <col min="16" max="16" width="10.44140625" bestFit="1" customWidth="1"/>
    <col min="17" max="17" width="13.5546875" bestFit="1" customWidth="1"/>
  </cols>
  <sheetData>
    <row r="1" spans="1:19" s="37" customFormat="1" x14ac:dyDescent="0.3">
      <c r="A1" s="17" t="s">
        <v>23</v>
      </c>
      <c r="C1" s="684" t="s">
        <v>37</v>
      </c>
      <c r="D1" s="684" t="s">
        <v>38</v>
      </c>
      <c r="E1" s="684" t="s">
        <v>645</v>
      </c>
      <c r="F1" s="684" t="s">
        <v>40</v>
      </c>
      <c r="G1" s="684" t="s">
        <v>646</v>
      </c>
      <c r="H1" s="684" t="s">
        <v>42</v>
      </c>
      <c r="I1" s="684" t="s">
        <v>43</v>
      </c>
      <c r="J1" s="684" t="s">
        <v>44</v>
      </c>
      <c r="K1" s="684" t="s">
        <v>45</v>
      </c>
      <c r="L1" s="684" t="s">
        <v>647</v>
      </c>
      <c r="M1" s="684" t="s">
        <v>47</v>
      </c>
      <c r="N1" s="684" t="s">
        <v>648</v>
      </c>
      <c r="O1" s="682" t="s">
        <v>119</v>
      </c>
    </row>
    <row r="2" spans="1:19" x14ac:dyDescent="0.3">
      <c r="A2" s="362">
        <f>SUM(C2:N2)</f>
        <v>271455.40000000002</v>
      </c>
      <c r="B2" s="380" t="s">
        <v>142</v>
      </c>
      <c r="C2" s="342" cm="1">
        <f t="array" ref="C2">SUMPRODUCT((YEAR(Data!$D$3:$D511)=2022)*(MONTH(Data!$D$3:$D511)=1)*(Data!$I$3:I511))</f>
        <v>83855</v>
      </c>
      <c r="D2" s="341" cm="1">
        <f t="array" ref="D2">SUMPRODUCT((YEAR(Data!$D$3:$D511)=2022)*(MONTH(Data!$D$3:$D511)=2)*(Data!$I$3:I511))</f>
        <v>128182.39999999999</v>
      </c>
      <c r="E2" s="341" cm="1">
        <f t="array" ref="E2">SUMPRODUCT((YEAR(Data!$D$3:$D$511)=2022)*(MONTH(Data!$D$3:$D$511)=3)*(Data!$I$3:$I$511))</f>
        <v>40885</v>
      </c>
      <c r="F2" s="341" cm="1">
        <f t="array" ref="F2">SUMPRODUCT((YEAR(Data!$D$3:$D$511)=2022)*(MONTH(Data!$D$3:$D$511)=4)*(Data!$I$3:$I$511))</f>
        <v>18533</v>
      </c>
      <c r="G2" s="341" cm="1">
        <f t="array" ref="G2">SUMPRODUCT((YEAR(Data!$D$3:$D$511)=2022)*(MONTH(Data!$D$3:$D$511)=5)*(Data!$I$3:$I$511))</f>
        <v>0</v>
      </c>
      <c r="H2" s="341" cm="1">
        <f t="array" ref="H2">SUMPRODUCT((YEAR(Data!$D$3:$D$511)=2022)*(MONTH(Data!$D$3:$D$511)=6)*(Data!$I$3:$I$511))</f>
        <v>0</v>
      </c>
      <c r="I2" s="341" cm="1">
        <f t="array" ref="I2">SUMPRODUCT((YEAR(Data!$D$3:$D$511)=2022)*(MONTH(Data!$D$3:$D$511)=7)*(Data!$I$3:$I$511))</f>
        <v>0</v>
      </c>
      <c r="J2" s="341" cm="1">
        <f t="array" ref="J2">SUMPRODUCT((YEAR(Data!$D$3:$D$511)=2022)*(MONTH(Data!$D$3:$D$511)=8)*(Data!$I$3:$I$511))</f>
        <v>0</v>
      </c>
      <c r="K2" s="341" cm="1">
        <f t="array" ref="K2">SUMPRODUCT((YEAR(Data!$D$3:$D$511)=2022)*(MONTH(Data!$D$3:$D$511)=9)*(Data!$I$3:$I$511))</f>
        <v>0</v>
      </c>
      <c r="L2" s="341" cm="1">
        <f t="array" ref="L2">SUMPRODUCT((YEAR(Data!$D$3:$D$511)=2022)*(MONTH(Data!$D$3:$D$511)=10)*(Data!$I$3:$I$511))</f>
        <v>0</v>
      </c>
      <c r="M2" s="341" cm="1">
        <f t="array" ref="M2">SUMPRODUCT((YEAR(Data!$D$3:$D$511)=2022)*(MONTH(Data!$D$3:$D$511)=11)*(Data!$I$3:$I$511))</f>
        <v>0</v>
      </c>
      <c r="N2" s="341" cm="1">
        <f t="array" ref="N2">SUMPRODUCT((YEAR(Data!$D$3:$D$511)=2022)*(MONTH(Data!$D$3:$D$511)=12)*(Data!$I$3:$I$511))</f>
        <v>0</v>
      </c>
      <c r="O2" s="32">
        <f>SUM(C2:N2)</f>
        <v>271455.40000000002</v>
      </c>
      <c r="P2" s="102"/>
    </row>
    <row r="3" spans="1:19" s="258" customFormat="1" x14ac:dyDescent="0.3">
      <c r="A3" s="382">
        <f>SUM(C3:N3)</f>
        <v>193371</v>
      </c>
      <c r="B3" s="237" t="s">
        <v>141</v>
      </c>
      <c r="C3" s="383">
        <f>SUMIFS(Data!$S$3:$S$348,Data!$P$3:$P$348,C$21,Data!$O$3:$O$348,"2022")</f>
        <v>21780</v>
      </c>
      <c r="D3" s="383">
        <f>SUMIFS(Data!$S$3:$S$348,Data!$P$3:$P$348,D$21,Data!$O$3:$O$348,"2022")</f>
        <v>118682</v>
      </c>
      <c r="E3" s="383">
        <f>SUMIFS(Data!$S$3:$S$348,Data!$P$3:$P$348,E$21,Data!$O$3:$O$348,"2022")</f>
        <v>37778</v>
      </c>
      <c r="F3" s="383">
        <f>SUMIFS(Data!$S$3:$S$348,Data!$P$3:$P$348,F$21,Data!$O$3:$O$348,"2022")</f>
        <v>15131</v>
      </c>
      <c r="G3" s="383">
        <f>SUMIFS(Data!$S$3:$S$348,Data!$P$3:$P$348,G$21,Data!$O$3:$O$348,"2022")</f>
        <v>0</v>
      </c>
      <c r="H3" s="383">
        <f>SUMIFS(Data!$S$3:$S$348,Data!$P$3:$P$348,H$21,Data!$O$3:$O$348,"2022")</f>
        <v>0</v>
      </c>
      <c r="I3" s="383">
        <f>SUMIFS(Data!$S$3:$S$348,Data!$P$3:$P$348,I$21,Data!$O$3:$O$348,"2022")</f>
        <v>0</v>
      </c>
      <c r="J3" s="383">
        <f>SUMIFS(Data!$S$3:$S$348,Data!$P$3:$P$348,J$21,Data!$O$3:$O$348,"2022")</f>
        <v>0</v>
      </c>
      <c r="K3" s="383">
        <f>SUMIFS(Data!$S$3:$S$348,Data!$P$3:$P$348,K$21,Data!$O$3:$O$348,"2022")</f>
        <v>0</v>
      </c>
      <c r="L3" s="383">
        <f>SUMIFS(Data!$S$3:$S$348,Data!$P$3:$P$348,L$21,Data!$O$3:$O$348,"2022")</f>
        <v>0</v>
      </c>
      <c r="M3" s="383">
        <f>SUMIFS(Data!$S$3:$S$348,Data!$P$3:$P$348,M$21,Data!$O$3:$O$348,"2022")</f>
        <v>0</v>
      </c>
      <c r="N3" s="383">
        <f>SUMIFS(Data!$S$3:$S$348,Data!$P$3:$P$348,N$21,Data!$O$3:$O$348,"2022")</f>
        <v>0</v>
      </c>
      <c r="O3" s="389">
        <f t="shared" ref="O3:O4" si="0">SUM(C3:N3)</f>
        <v>193371</v>
      </c>
      <c r="P3" s="334"/>
    </row>
    <row r="4" spans="1:19" s="14" customFormat="1" x14ac:dyDescent="0.3">
      <c r="A4" s="384">
        <f>SUM(C4:N4)</f>
        <v>109215.5</v>
      </c>
      <c r="B4" s="385" t="s">
        <v>140</v>
      </c>
      <c r="C4" s="386" cm="1">
        <f t="array" ref="C4">SUMPRODUCT((YEAR(Data!$AC$3:$AC$511)=2022)*(MONTH(Data!$AC$3:$AC$511)=1)*(Data!$AD$3:$AD$511))-Data!AD64-Data!AD65-Data!AD95</f>
        <v>9356</v>
      </c>
      <c r="D4" s="386" cm="1">
        <f t="array" ref="D4">SUMPRODUCT((YEAR(Data!$AC$3:$AC$511)=2022)*(MONTH(Data!$AC$3:$AC$511)=2)*(Data!$AD$3:$AD$511))</f>
        <v>35273</v>
      </c>
      <c r="E4" s="386" cm="1">
        <f t="array" ref="E4">SUMPRODUCT((YEAR(Data!$AC$3:$AC$511)=2022)*(MONTH(Data!$AC$3:$AC$511)=3)*(Data!$AD$3:$AD$511))-Data!AD128-Data!AD129-Data!AD130</f>
        <v>48892.5</v>
      </c>
      <c r="F4" s="386" cm="1">
        <f t="array" ref="F4">SUMPRODUCT((YEAR(Data!$AC$3:$AC$511)=2022)*(MONTH(Data!$AC$3:$AC$511)=4)*(Data!$AD$3:$AD$511))</f>
        <v>15694</v>
      </c>
      <c r="G4" s="386" cm="1">
        <f t="array" ref="G4">SUMPRODUCT((YEAR(Data!$AC$3:$AC$511)=2022)*(MONTH(Data!$AC$3:$AC$511)=5)*(Data!$AD$3:$AD$511))</f>
        <v>0</v>
      </c>
      <c r="H4" s="386" cm="1">
        <f t="array" ref="H4">SUMPRODUCT((YEAR(Data!$AC$3:$AC$511)=2022)*(MONTH(Data!$AC$3:$AC$511)=6)*(Data!$AD$3:$AD$511))</f>
        <v>0</v>
      </c>
      <c r="I4" s="386" cm="1">
        <f t="array" ref="I4">SUMPRODUCT((YEAR(Data!$AC$3:$AC$511)=2022)*(MONTH(Data!$AC$3:$AC$511)=7)*(Data!$AD$3:$AD$511))</f>
        <v>0</v>
      </c>
      <c r="J4" s="386" cm="1">
        <f t="array" ref="J4">SUMPRODUCT((YEAR(Data!$AC$3:$AC$511)=2022)*(MONTH(Data!$AC$3:$AC$511)=8)*(Data!$AD$3:$AD$511))</f>
        <v>0</v>
      </c>
      <c r="K4" s="386" cm="1">
        <f t="array" ref="K4">SUMPRODUCT((YEAR(Data!$AC$3:$AC$511)=2022)*(MONTH(Data!$AC$3:$AC$511)=9)*(Data!$AD$3:$AD$511))</f>
        <v>0</v>
      </c>
      <c r="L4" s="386" cm="1">
        <f t="array" ref="L4">SUMPRODUCT((YEAR(Data!$AC$3:$AC$511)=2022)*(MONTH(Data!$AC$3:$AC$511)=10)*(Data!$AD$3:$AD$511))</f>
        <v>0</v>
      </c>
      <c r="M4" s="386" cm="1">
        <f t="array" ref="M4">SUMPRODUCT((YEAR(Data!$AC$3:$AC$511)=2022)*(MONTH(Data!$AC$3:$AC$511)=11)*(Data!$AD$3:$AD$511))</f>
        <v>0</v>
      </c>
      <c r="N4" s="386" cm="1">
        <f t="array" ref="N4">SUMPRODUCT((YEAR(Data!$AC$3:$AC$511)=2022)*(MONTH(Data!$AC$3:$AC$511)=12)*(Data!$AD$3:$AD$511))</f>
        <v>0</v>
      </c>
      <c r="O4" s="389">
        <f t="shared" si="0"/>
        <v>109215.5</v>
      </c>
      <c r="P4" s="74"/>
    </row>
    <row r="5" spans="1:19" x14ac:dyDescent="0.3">
      <c r="A5" s="382">
        <f>SUM(C5:N5)</f>
        <v>0</v>
      </c>
      <c r="B5" s="237" t="s">
        <v>141</v>
      </c>
      <c r="C5" s="383">
        <f>C17*$O$5</f>
        <v>0</v>
      </c>
      <c r="D5" s="383">
        <f>D17*$O$5</f>
        <v>0</v>
      </c>
      <c r="E5" s="383">
        <f t="shared" ref="E5:N5" si="1">E17*$O$5</f>
        <v>0</v>
      </c>
      <c r="F5" s="383">
        <f t="shared" si="1"/>
        <v>0</v>
      </c>
      <c r="G5" s="383">
        <f t="shared" si="1"/>
        <v>0</v>
      </c>
      <c r="H5" s="383">
        <f t="shared" si="1"/>
        <v>0</v>
      </c>
      <c r="I5" s="383">
        <f t="shared" si="1"/>
        <v>0</v>
      </c>
      <c r="J5" s="383">
        <f t="shared" si="1"/>
        <v>0</v>
      </c>
      <c r="K5" s="383">
        <f t="shared" si="1"/>
        <v>0</v>
      </c>
      <c r="L5" s="383">
        <f t="shared" si="1"/>
        <v>0</v>
      </c>
      <c r="M5" s="383">
        <f t="shared" si="1"/>
        <v>0</v>
      </c>
      <c r="N5" s="383">
        <f t="shared" si="1"/>
        <v>0</v>
      </c>
      <c r="O5" s="673"/>
      <c r="P5" s="334"/>
    </row>
    <row r="6" spans="1:19" s="14" customFormat="1" x14ac:dyDescent="0.3">
      <c r="A6" s="384">
        <f>SUM(C6:N6)</f>
        <v>0</v>
      </c>
      <c r="B6" s="385" t="s">
        <v>140</v>
      </c>
      <c r="C6" s="386">
        <f>C19*$O$6</f>
        <v>0</v>
      </c>
      <c r="D6" s="386">
        <f t="shared" ref="D6:N6" si="2">D19*$O$6</f>
        <v>0</v>
      </c>
      <c r="E6" s="386">
        <f t="shared" si="2"/>
        <v>0</v>
      </c>
      <c r="F6" s="386">
        <f t="shared" si="2"/>
        <v>0</v>
      </c>
      <c r="G6" s="386">
        <f t="shared" si="2"/>
        <v>0</v>
      </c>
      <c r="H6" s="386">
        <f t="shared" si="2"/>
        <v>0</v>
      </c>
      <c r="I6" s="386">
        <f t="shared" si="2"/>
        <v>0</v>
      </c>
      <c r="J6" s="386">
        <f t="shared" si="2"/>
        <v>0</v>
      </c>
      <c r="K6" s="386">
        <f t="shared" si="2"/>
        <v>0</v>
      </c>
      <c r="L6" s="386">
        <f t="shared" si="2"/>
        <v>0</v>
      </c>
      <c r="M6" s="386">
        <f t="shared" si="2"/>
        <v>0</v>
      </c>
      <c r="N6" s="386">
        <f t="shared" si="2"/>
        <v>0</v>
      </c>
      <c r="O6" s="674"/>
      <c r="P6" s="74"/>
    </row>
    <row r="7" spans="1:19" s="39" customFormat="1" x14ac:dyDescent="0.3">
      <c r="A7" s="61"/>
      <c r="B7" s="62" t="s">
        <v>51</v>
      </c>
      <c r="C7" s="363">
        <f>C2</f>
        <v>83855</v>
      </c>
      <c r="D7" s="364">
        <f t="shared" ref="D7:N7" si="3">C7+D2</f>
        <v>212037.4</v>
      </c>
      <c r="E7" s="364">
        <f t="shared" si="3"/>
        <v>252922.4</v>
      </c>
      <c r="F7" s="364">
        <f t="shared" si="3"/>
        <v>271455.40000000002</v>
      </c>
      <c r="G7" s="363">
        <f t="shared" si="3"/>
        <v>271455.40000000002</v>
      </c>
      <c r="H7" s="365">
        <f t="shared" si="3"/>
        <v>271455.40000000002</v>
      </c>
      <c r="I7" s="363">
        <f t="shared" si="3"/>
        <v>271455.40000000002</v>
      </c>
      <c r="J7" s="366">
        <f t="shared" si="3"/>
        <v>271455.40000000002</v>
      </c>
      <c r="K7" s="366">
        <f t="shared" si="3"/>
        <v>271455.40000000002</v>
      </c>
      <c r="L7" s="366">
        <f t="shared" si="3"/>
        <v>271455.40000000002</v>
      </c>
      <c r="M7" s="366">
        <f t="shared" si="3"/>
        <v>271455.40000000002</v>
      </c>
      <c r="N7" s="366">
        <f t="shared" si="3"/>
        <v>271455.40000000002</v>
      </c>
    </row>
    <row r="8" spans="1:19" s="60" customFormat="1" x14ac:dyDescent="0.3">
      <c r="A8" s="92" t="s">
        <v>138</v>
      </c>
      <c r="B8" s="59" t="s">
        <v>193</v>
      </c>
      <c r="C8" s="367">
        <f>C3</f>
        <v>21780</v>
      </c>
      <c r="D8" s="368">
        <f>C8+D3</f>
        <v>140462</v>
      </c>
      <c r="E8" s="368">
        <f t="shared" ref="E8:N8" si="4">D8+E3</f>
        <v>178240</v>
      </c>
      <c r="F8" s="368">
        <f t="shared" si="4"/>
        <v>193371</v>
      </c>
      <c r="G8" s="368">
        <f t="shared" si="4"/>
        <v>193371</v>
      </c>
      <c r="H8" s="368">
        <f t="shared" si="4"/>
        <v>193371</v>
      </c>
      <c r="I8" s="368">
        <f t="shared" si="4"/>
        <v>193371</v>
      </c>
      <c r="J8" s="368">
        <f t="shared" si="4"/>
        <v>193371</v>
      </c>
      <c r="K8" s="368">
        <f t="shared" si="4"/>
        <v>193371</v>
      </c>
      <c r="L8" s="368">
        <f t="shared" si="4"/>
        <v>193371</v>
      </c>
      <c r="M8" s="368">
        <f t="shared" si="4"/>
        <v>193371</v>
      </c>
      <c r="N8" s="368">
        <f t="shared" si="4"/>
        <v>193371</v>
      </c>
    </row>
    <row r="9" spans="1:19" s="60" customFormat="1" x14ac:dyDescent="0.3">
      <c r="A9" s="96" t="s">
        <v>115</v>
      </c>
      <c r="B9" s="71" t="s">
        <v>197</v>
      </c>
      <c r="C9" s="342">
        <f>SUM('Weekly Data'!C5:G5)</f>
        <v>0</v>
      </c>
      <c r="D9" s="369">
        <f>SUM('Weekly Data'!H5:K5)</f>
        <v>0</v>
      </c>
      <c r="E9" s="369">
        <f>SUM('Weekly Data'!L5:O5)</f>
        <v>0</v>
      </c>
      <c r="F9" s="342">
        <f>SUM('Weekly Data'!P5:S5)</f>
        <v>0</v>
      </c>
      <c r="G9" s="342">
        <f>SUM('Weekly Data'!T5:X5)</f>
        <v>0</v>
      </c>
      <c r="H9" s="342">
        <f>SUM('Weekly Data'!Y5:AB5)</f>
        <v>0</v>
      </c>
      <c r="I9" s="342">
        <f>SUM('Weekly Data'!AC5:AG5)</f>
        <v>0</v>
      </c>
      <c r="J9" s="370">
        <f>SUM('Weekly Data'!AH5:AK5)</f>
        <v>0</v>
      </c>
      <c r="K9" s="342">
        <f>SUM('Weekly Data'!AL5:AO5)</f>
        <v>0</v>
      </c>
      <c r="L9" s="342">
        <f>SUM('Weekly Data'!AP5:AT5)</f>
        <v>0</v>
      </c>
      <c r="M9" s="342">
        <f>SUM('Weekly Data'!AU5:AX5)</f>
        <v>0</v>
      </c>
      <c r="N9" s="342">
        <f>SUM('Weekly Data'!AY5:BB5)</f>
        <v>0</v>
      </c>
    </row>
    <row r="10" spans="1:19" x14ac:dyDescent="0.3">
      <c r="A10" s="97" t="s">
        <v>115</v>
      </c>
      <c r="B10" s="71" t="s">
        <v>198</v>
      </c>
      <c r="C10" s="342">
        <f>C9</f>
        <v>0</v>
      </c>
      <c r="D10" s="369">
        <f>C10+D9</f>
        <v>0</v>
      </c>
      <c r="E10" s="369">
        <f t="shared" ref="E10:N10" si="5">D10+E9</f>
        <v>0</v>
      </c>
      <c r="F10" s="342">
        <f t="shared" si="5"/>
        <v>0</v>
      </c>
      <c r="G10" s="342">
        <f t="shared" si="5"/>
        <v>0</v>
      </c>
      <c r="H10" s="342">
        <f t="shared" si="5"/>
        <v>0</v>
      </c>
      <c r="I10" s="342">
        <f t="shared" si="5"/>
        <v>0</v>
      </c>
      <c r="J10" s="370">
        <f t="shared" si="5"/>
        <v>0</v>
      </c>
      <c r="K10" s="342">
        <f t="shared" si="5"/>
        <v>0</v>
      </c>
      <c r="L10" s="342">
        <f t="shared" si="5"/>
        <v>0</v>
      </c>
      <c r="M10" s="342">
        <f t="shared" si="5"/>
        <v>0</v>
      </c>
      <c r="N10" s="342">
        <f t="shared" si="5"/>
        <v>0</v>
      </c>
    </row>
    <row r="11" spans="1:19" x14ac:dyDescent="0.3">
      <c r="A11" s="98" t="s">
        <v>117</v>
      </c>
      <c r="B11" s="14" t="s">
        <v>199</v>
      </c>
      <c r="C11" s="371">
        <f>C8-C10</f>
        <v>21780</v>
      </c>
      <c r="D11" s="372">
        <f t="shared" ref="D11:F11" si="6">D8-D10</f>
        <v>140462</v>
      </c>
      <c r="E11" s="372">
        <f t="shared" si="6"/>
        <v>178240</v>
      </c>
      <c r="F11" s="371">
        <f t="shared" si="6"/>
        <v>193371</v>
      </c>
      <c r="G11" s="371">
        <f t="shared" ref="G11:I11" si="7">G8-G10</f>
        <v>193371</v>
      </c>
      <c r="H11" s="373">
        <f t="shared" si="7"/>
        <v>193371</v>
      </c>
      <c r="I11" s="373">
        <f t="shared" si="7"/>
        <v>193371</v>
      </c>
      <c r="J11" s="373">
        <f t="shared" ref="J11:K11" si="8">J8-J10</f>
        <v>193371</v>
      </c>
      <c r="K11" s="373">
        <f t="shared" si="8"/>
        <v>193371</v>
      </c>
      <c r="L11" s="374">
        <f t="shared" ref="L11" si="9">L8-L10</f>
        <v>193371</v>
      </c>
      <c r="M11" s="374">
        <f t="shared" ref="M11" si="10">M8-M10</f>
        <v>193371</v>
      </c>
      <c r="N11" s="375">
        <f t="shared" ref="N11" si="11">N8-N10</f>
        <v>193371</v>
      </c>
    </row>
    <row r="12" spans="1:19" s="55" customFormat="1" x14ac:dyDescent="0.3">
      <c r="A12" s="69" t="s">
        <v>139</v>
      </c>
      <c r="B12" s="58" t="s">
        <v>196</v>
      </c>
      <c r="C12" s="376">
        <f>C4</f>
        <v>9356</v>
      </c>
      <c r="D12" s="377">
        <f>D4+C12</f>
        <v>44629</v>
      </c>
      <c r="E12" s="377">
        <f t="shared" ref="E12:N12" si="12">E4+D12</f>
        <v>93521.5</v>
      </c>
      <c r="F12" s="377">
        <f t="shared" si="12"/>
        <v>109215.5</v>
      </c>
      <c r="G12" s="377">
        <f t="shared" si="12"/>
        <v>109215.5</v>
      </c>
      <c r="H12" s="377">
        <f t="shared" si="12"/>
        <v>109215.5</v>
      </c>
      <c r="I12" s="377">
        <f t="shared" si="12"/>
        <v>109215.5</v>
      </c>
      <c r="J12" s="377">
        <f t="shared" si="12"/>
        <v>109215.5</v>
      </c>
      <c r="K12" s="377">
        <f t="shared" si="12"/>
        <v>109215.5</v>
      </c>
      <c r="L12" s="377">
        <f t="shared" si="12"/>
        <v>109215.5</v>
      </c>
      <c r="M12" s="377">
        <f t="shared" si="12"/>
        <v>109215.5</v>
      </c>
      <c r="N12" s="377">
        <f t="shared" si="12"/>
        <v>109215.5</v>
      </c>
    </row>
    <row r="13" spans="1:19" s="55" customFormat="1" x14ac:dyDescent="0.3">
      <c r="A13" s="93" t="s">
        <v>115</v>
      </c>
      <c r="B13" s="39" t="s">
        <v>200</v>
      </c>
      <c r="C13" s="342">
        <f>SUM('Weekly Data'!C6:G6)</f>
        <v>0</v>
      </c>
      <c r="D13" s="369">
        <f>SUM('Weekly Data'!H6:K6)</f>
        <v>0</v>
      </c>
      <c r="E13" s="369">
        <f>SUM('Weekly Data'!L6:O6)</f>
        <v>0</v>
      </c>
      <c r="F13" s="342">
        <f>SUM('Weekly Data'!P6:S6)</f>
        <v>0</v>
      </c>
      <c r="G13" s="342">
        <f>SUM('Weekly Data'!T6:X6)</f>
        <v>0</v>
      </c>
      <c r="H13" s="342">
        <f>SUM('Weekly Data'!Y6:AB6)</f>
        <v>0</v>
      </c>
      <c r="I13" s="342">
        <f>SUM('Weekly Data'!AC6:AG6)</f>
        <v>0</v>
      </c>
      <c r="J13" s="370">
        <f>SUM('Weekly Data'!AH6:AK6)</f>
        <v>0</v>
      </c>
      <c r="K13" s="342">
        <f>SUM('Weekly Data'!AL6:AO6)</f>
        <v>0</v>
      </c>
      <c r="L13" s="342">
        <f>SUM('Weekly Data'!AP6:AT6)</f>
        <v>0</v>
      </c>
      <c r="M13" s="342">
        <f>SUM('Weekly Data'!AU6:AX6)</f>
        <v>0</v>
      </c>
      <c r="N13" s="342">
        <f>SUM('Weekly Data'!AV6:AY6)</f>
        <v>0</v>
      </c>
    </row>
    <row r="14" spans="1:19" x14ac:dyDescent="0.3">
      <c r="A14" s="94" t="s">
        <v>115</v>
      </c>
      <c r="B14" s="39" t="s">
        <v>201</v>
      </c>
      <c r="C14" s="378">
        <f>C13</f>
        <v>0</v>
      </c>
      <c r="D14" s="369">
        <f>C14+D13</f>
        <v>0</v>
      </c>
      <c r="E14" s="369">
        <f t="shared" ref="E14" si="13">D14+E13</f>
        <v>0</v>
      </c>
      <c r="F14" s="342">
        <f t="shared" ref="F14" si="14">E14+F13</f>
        <v>0</v>
      </c>
      <c r="G14" s="342">
        <f t="shared" ref="G14" si="15">F14+G13</f>
        <v>0</v>
      </c>
      <c r="H14" s="342">
        <f t="shared" ref="H14" si="16">G14+H13</f>
        <v>0</v>
      </c>
      <c r="I14" s="342">
        <f t="shared" ref="I14" si="17">H14+I13</f>
        <v>0</v>
      </c>
      <c r="J14" s="370">
        <f t="shared" ref="J14" si="18">I14+J13</f>
        <v>0</v>
      </c>
      <c r="K14" s="342">
        <f t="shared" ref="K14" si="19">J14+K13</f>
        <v>0</v>
      </c>
      <c r="L14" s="342">
        <f t="shared" ref="L14" si="20">K14+L13</f>
        <v>0</v>
      </c>
      <c r="M14" s="342">
        <f t="shared" ref="M14:N14" si="21">L14+M13</f>
        <v>0</v>
      </c>
      <c r="N14" s="342">
        <f t="shared" si="21"/>
        <v>0</v>
      </c>
    </row>
    <row r="15" spans="1:19" x14ac:dyDescent="0.3">
      <c r="A15" s="95" t="s">
        <v>117</v>
      </c>
      <c r="B15" s="72" t="s">
        <v>202</v>
      </c>
      <c r="C15" s="371">
        <f>C12-C14</f>
        <v>9356</v>
      </c>
      <c r="D15" s="372">
        <f t="shared" ref="D15:F15" si="22">D12-D14</f>
        <v>44629</v>
      </c>
      <c r="E15" s="372">
        <f t="shared" si="22"/>
        <v>93521.5</v>
      </c>
      <c r="F15" s="371">
        <f t="shared" si="22"/>
        <v>109215.5</v>
      </c>
      <c r="G15" s="371">
        <f t="shared" ref="G15:L15" si="23">G12-G14</f>
        <v>109215.5</v>
      </c>
      <c r="H15" s="373">
        <f t="shared" si="23"/>
        <v>109215.5</v>
      </c>
      <c r="I15" s="373">
        <f t="shared" si="23"/>
        <v>109215.5</v>
      </c>
      <c r="J15" s="373">
        <f t="shared" si="23"/>
        <v>109215.5</v>
      </c>
      <c r="K15" s="373">
        <f t="shared" si="23"/>
        <v>109215.5</v>
      </c>
      <c r="L15" s="373">
        <f t="shared" si="23"/>
        <v>109215.5</v>
      </c>
      <c r="M15" s="373">
        <f t="shared" ref="M15" si="24">M12-M14</f>
        <v>109215.5</v>
      </c>
      <c r="N15" s="379">
        <f t="shared" ref="N15" si="25">N12-N14</f>
        <v>109215.5</v>
      </c>
      <c r="S15" s="73"/>
    </row>
    <row r="16" spans="1:19" x14ac:dyDescent="0.3">
      <c r="A16" t="s">
        <v>306</v>
      </c>
      <c r="B16" s="42">
        <v>39254</v>
      </c>
      <c r="C16" s="257">
        <f>B16+C3-C4</f>
        <v>51678</v>
      </c>
      <c r="D16" s="388">
        <f>C16+D3-D4</f>
        <v>135087</v>
      </c>
      <c r="E16" s="388">
        <f>D16+E3-E4</f>
        <v>123972.5</v>
      </c>
      <c r="F16" s="388">
        <f t="shared" ref="F16:N16" si="26">E16+F3-F4</f>
        <v>123409.5</v>
      </c>
      <c r="G16" s="388">
        <f t="shared" si="26"/>
        <v>123409.5</v>
      </c>
      <c r="H16" s="388">
        <f t="shared" si="26"/>
        <v>123409.5</v>
      </c>
      <c r="I16" s="388">
        <f t="shared" si="26"/>
        <v>123409.5</v>
      </c>
      <c r="J16" s="388">
        <f t="shared" si="26"/>
        <v>123409.5</v>
      </c>
      <c r="K16" s="388">
        <f t="shared" si="26"/>
        <v>123409.5</v>
      </c>
      <c r="L16" s="388">
        <f t="shared" si="26"/>
        <v>123409.5</v>
      </c>
      <c r="M16" s="388">
        <f t="shared" si="26"/>
        <v>123409.5</v>
      </c>
      <c r="N16" s="388">
        <f t="shared" si="26"/>
        <v>123409.5</v>
      </c>
      <c r="O16" s="15"/>
      <c r="S16" s="73"/>
    </row>
    <row r="17" spans="2:54" s="258" customFormat="1" x14ac:dyDescent="0.3">
      <c r="B17" s="42" t="s">
        <v>301</v>
      </c>
      <c r="C17" s="361">
        <v>9.8184313208132007E-2</v>
      </c>
      <c r="D17" s="361">
        <v>7.6283963113623163E-2</v>
      </c>
      <c r="E17" s="361">
        <v>0.1005893766451187</v>
      </c>
      <c r="F17" s="361">
        <v>8.8330163836395206E-2</v>
      </c>
      <c r="G17" s="361">
        <v>0.10279784677762692</v>
      </c>
      <c r="H17" s="361">
        <v>0.11307931654085657</v>
      </c>
      <c r="I17" s="361">
        <v>0.12490371968934515</v>
      </c>
      <c r="J17" s="361">
        <v>6.9549382221743422E-2</v>
      </c>
      <c r="K17" s="361">
        <v>6.6172010067881593E-2</v>
      </c>
      <c r="L17" s="361">
        <v>4.4890388790984302E-2</v>
      </c>
      <c r="M17" s="361">
        <v>5.7609759554146552E-2</v>
      </c>
      <c r="N17" s="361">
        <v>5.7609759554146552E-2</v>
      </c>
      <c r="O17" s="257"/>
      <c r="S17" s="73"/>
    </row>
    <row r="18" spans="2:54" s="258" customFormat="1" x14ac:dyDescent="0.3">
      <c r="B18" s="42" t="s">
        <v>300</v>
      </c>
      <c r="C18" s="361">
        <v>3.9068801241139865E-2</v>
      </c>
      <c r="D18" s="361">
        <v>0.10838886958878646</v>
      </c>
      <c r="E18" s="361">
        <v>5.9582366010513754E-2</v>
      </c>
      <c r="F18" s="361">
        <v>6.1204080294494284E-2</v>
      </c>
      <c r="G18" s="361">
        <v>0.1166287491291777</v>
      </c>
      <c r="H18" s="361">
        <v>3.9928456458716073E-2</v>
      </c>
      <c r="I18" s="361">
        <v>0.108953713634688</v>
      </c>
      <c r="J18" s="361">
        <v>7.527545628729071E-2</v>
      </c>
      <c r="K18" s="361">
        <v>7.1639620396483097E-2</v>
      </c>
      <c r="L18" s="361">
        <v>0.11705807105842606</v>
      </c>
      <c r="M18" s="361">
        <v>0.13484787726685604</v>
      </c>
      <c r="N18" s="361">
        <v>6.7423938633428021E-2</v>
      </c>
      <c r="O18" s="257"/>
      <c r="S18" s="73"/>
    </row>
    <row r="19" spans="2:54" s="258" customFormat="1" x14ac:dyDescent="0.3">
      <c r="B19" s="42" t="s">
        <v>302</v>
      </c>
      <c r="C19" s="361">
        <f>C18*2/3+D18/3</f>
        <v>6.2175490690355398E-2</v>
      </c>
      <c r="D19" s="361">
        <f>C18/3+D18/3+E18/3</f>
        <v>6.9013345613480021E-2</v>
      </c>
      <c r="E19" s="361">
        <f t="shared" ref="E19:M19" si="27">D18/3+E18/3+F18/3</f>
        <v>7.6391771964598162E-2</v>
      </c>
      <c r="F19" s="361">
        <f t="shared" si="27"/>
        <v>7.9138398478061922E-2</v>
      </c>
      <c r="G19" s="361">
        <f t="shared" si="27"/>
        <v>7.258709529412935E-2</v>
      </c>
      <c r="H19" s="361">
        <f t="shared" si="27"/>
        <v>8.850363974086059E-2</v>
      </c>
      <c r="I19" s="361">
        <f t="shared" si="27"/>
        <v>7.4719208793564931E-2</v>
      </c>
      <c r="J19" s="361">
        <f t="shared" si="27"/>
        <v>8.5289596772820594E-2</v>
      </c>
      <c r="K19" s="361">
        <f t="shared" si="27"/>
        <v>8.7991049247399949E-2</v>
      </c>
      <c r="L19" s="361">
        <f t="shared" si="27"/>
        <v>0.10784852290725506</v>
      </c>
      <c r="M19" s="361">
        <f t="shared" si="27"/>
        <v>0.10644329565290336</v>
      </c>
      <c r="N19" s="361">
        <f>M18/3+N18*2/3</f>
        <v>8.9898584844570695E-2</v>
      </c>
      <c r="O19" s="257"/>
      <c r="S19" s="73"/>
    </row>
    <row r="21" spans="2:54" s="681" customFormat="1" x14ac:dyDescent="0.3">
      <c r="C21" s="683">
        <v>1</v>
      </c>
      <c r="D21" s="683">
        <v>2</v>
      </c>
      <c r="E21" s="683">
        <v>3</v>
      </c>
      <c r="F21" s="683">
        <v>4</v>
      </c>
      <c r="G21" s="683">
        <v>5</v>
      </c>
      <c r="H21" s="683">
        <v>6</v>
      </c>
      <c r="I21" s="683">
        <v>7</v>
      </c>
      <c r="J21" s="683">
        <v>8</v>
      </c>
      <c r="K21" s="683">
        <v>9</v>
      </c>
      <c r="L21" s="683">
        <v>10</v>
      </c>
      <c r="M21" s="683">
        <v>11</v>
      </c>
      <c r="N21" s="683">
        <v>12</v>
      </c>
    </row>
    <row r="22" spans="2:54" s="437" customFormat="1" x14ac:dyDescent="0.3">
      <c r="B22" s="725" t="s">
        <v>819</v>
      </c>
      <c r="C22" s="637">
        <f>SUMIFS(tbl_DCFC[C Montant € HT],tbl_DCFC[OI_Month],C$21,tbl_DCFC[BU_Key],"GSE",tbl_DCFC[OI_Year],2022)</f>
        <v>0</v>
      </c>
      <c r="D22" s="637">
        <f>SUMIFS(tbl_DCFC[C Montant € HT],tbl_DCFC[OI_Month],D$21,tbl_DCFC[BU_Key],"GSE",tbl_DCFC[OI_Year],2022)</f>
        <v>8579</v>
      </c>
      <c r="E22" s="637">
        <f>SUMIFS(tbl_DCFC[C Montant € HT],tbl_DCFC[OI_Month],E$21,tbl_DCFC[BU_Key],"GSE",tbl_DCFC[OI_Year],2022)</f>
        <v>0</v>
      </c>
      <c r="F22" s="637">
        <f>SUMIFS(tbl_DCFC[C Montant € HT],tbl_DCFC[OI_Month],F$21,tbl_DCFC[BU_Key],"GSE",tbl_DCFC[OI_Year],2022)</f>
        <v>0</v>
      </c>
      <c r="G22" s="637">
        <f>SUMIFS(tbl_DCFC[C Montant € HT],tbl_DCFC[OI_Month],G$21,tbl_DCFC[BU_Key],"GSE",tbl_DCFC[OI_Year],2022)</f>
        <v>0</v>
      </c>
      <c r="H22" s="637">
        <f>SUMIFS(tbl_DCFC[C Montant € HT],tbl_DCFC[OI_Month],H$21,tbl_DCFC[BU_Key],"GSE",tbl_DCFC[OI_Year],2022)</f>
        <v>0</v>
      </c>
      <c r="I22" s="637">
        <f>SUMIFS(tbl_DCFC[C Montant € HT],tbl_DCFC[OI_Month],I$21,tbl_DCFC[BU_Key],"GSE",tbl_DCFC[OI_Year],2022)</f>
        <v>0</v>
      </c>
      <c r="J22" s="637">
        <f>SUMIFS(tbl_DCFC[C Montant € HT],tbl_DCFC[OI_Month],J$21,tbl_DCFC[BU_Key],"GSE",tbl_DCFC[OI_Year],2022)</f>
        <v>0</v>
      </c>
      <c r="K22" s="637">
        <f>SUMIFS(tbl_DCFC[C Montant € HT],tbl_DCFC[OI_Month],K$21,tbl_DCFC[BU_Key],"GSE",tbl_DCFC[OI_Year],2022)</f>
        <v>0</v>
      </c>
      <c r="L22" s="637">
        <f>SUMIFS(tbl_DCFC[C Montant € HT],tbl_DCFC[OI_Month],L$21,tbl_DCFC[BU_Key],"GSE",tbl_DCFC[OI_Year],2022)</f>
        <v>0</v>
      </c>
      <c r="M22" s="637">
        <f>SUMIFS(tbl_DCFC[C Montant € HT],tbl_DCFC[OI_Month],M$21,tbl_DCFC[BU_Key],"GSE",tbl_DCFC[OI_Year],2022)</f>
        <v>0</v>
      </c>
      <c r="N22" s="637">
        <f>SUMIFS(tbl_DCFC[C Montant € HT],tbl_DCFC[OI_Month],N$21,tbl_DCFC[BU_Key],"GSE",tbl_DCFC[OI_Year],2022)</f>
        <v>0</v>
      </c>
      <c r="O22" s="637"/>
      <c r="P22" s="637"/>
      <c r="Q22" s="637"/>
      <c r="R22" s="637"/>
      <c r="S22" s="637"/>
      <c r="T22" s="637"/>
      <c r="U22" s="637"/>
      <c r="V22" s="637"/>
      <c r="W22" s="637"/>
      <c r="X22" s="637"/>
      <c r="Y22" s="637"/>
      <c r="Z22" s="637"/>
      <c r="AA22" s="637"/>
      <c r="AB22" s="637"/>
      <c r="AC22" s="637"/>
      <c r="AD22" s="637"/>
      <c r="AE22" s="637"/>
      <c r="AF22" s="637"/>
      <c r="AG22" s="637"/>
      <c r="AH22" s="637"/>
      <c r="AI22" s="637"/>
      <c r="AJ22" s="637"/>
      <c r="AK22" s="637"/>
      <c r="AL22" s="637"/>
      <c r="AM22" s="637"/>
      <c r="AN22" s="637"/>
      <c r="AO22" s="637"/>
      <c r="AP22" s="637"/>
      <c r="AQ22" s="637"/>
      <c r="AR22" s="637"/>
      <c r="AS22" s="637"/>
      <c r="AT22" s="637">
        <f>SUMIFS(tbl_DCFC[Status],tbl_DCFC[Client],AT$1,tbl_DCFC[Contact Person],"GSE")</f>
        <v>0</v>
      </c>
      <c r="AU22" s="637">
        <f>SUMIFS(tbl_DCFC[Spalte2],tbl_DCFC[End Client],AU$1,tbl_DCFC[Spalte12],"GSE")</f>
        <v>0</v>
      </c>
      <c r="AV22" s="637">
        <f>SUMIFS(tbl_DCFC[CW ORDER],tbl_DCFC[D Montant € HT],AV$1,tbl_DCFC[Coûts achats],"GSE")</f>
        <v>0</v>
      </c>
      <c r="AW22" s="637">
        <f>SUMIFS(tbl_DCFC[OI_Year],tbl_DCFC[ASM],AW$1,tbl_DCFC[Coûts main d''œuvre],"GSE")</f>
        <v>0</v>
      </c>
      <c r="AX22" s="637">
        <f>SUMIFS(tbl_DCFC[OI_Month],tbl_DCFC[Categorie],AX$1,tbl_DCFC[Marge],"GSE")</f>
        <v>0</v>
      </c>
      <c r="AY22" s="637">
        <f>SUMIFS(tbl_DCFC[Date Cmde],tbl_DCFC[Status],AY$1,tbl_DCFC[Marge %],"GSE")</f>
        <v>0</v>
      </c>
      <c r="AZ22" s="637">
        <f>SUMIFS(tbl_DCFC[Cmde N°],tbl_DCFC[Spalte2],AZ$1,tbl_DCFC[Date],"GSE")</f>
        <v>0</v>
      </c>
      <c r="BA22" s="637">
        <f>SUMIFS(tbl_DCFC[C Montant € HT],tbl_DCFC[CW ORDER],BA$1,tbl_DCFC[BU_Key],"GSE")</f>
        <v>0</v>
      </c>
      <c r="BB22" s="637">
        <f>SUMIFS(tbl_DCFC[Montant Restant €],tbl_DCFC[OI_Year],BB$1,tbl_DCFC[CW],"GSE")</f>
        <v>0</v>
      </c>
    </row>
    <row r="23" spans="2:54" s="437" customFormat="1" x14ac:dyDescent="0.3">
      <c r="B23" s="725" t="s">
        <v>820</v>
      </c>
      <c r="C23" s="637">
        <f>SUMIFS(tbl_DCFC[C Montant € HT],tbl_DCFC[OI_Month],C$21,tbl_DCFC[BU_Key],"TOO",tbl_DCFC[OI_Year],2022)</f>
        <v>0</v>
      </c>
      <c r="D23" s="637">
        <f>SUMIFS(tbl_DCFC[C Montant € HT],tbl_DCFC[OI_Month],D$21,tbl_DCFC[BU_Key],"TOO",tbl_DCFC[OI_Year],2022)</f>
        <v>9590</v>
      </c>
      <c r="E23" s="637">
        <f>SUMIFS(tbl_DCFC[C Montant € HT],tbl_DCFC[OI_Month],E$21,tbl_DCFC[BU_Key],"TOO",tbl_DCFC[OI_Year],2022)</f>
        <v>186</v>
      </c>
      <c r="F23" s="637">
        <f>SUMIFS(tbl_DCFC[C Montant € HT],tbl_DCFC[OI_Month],F$21,tbl_DCFC[BU_Key],"TOO",tbl_DCFC[OI_Year],2022)</f>
        <v>0</v>
      </c>
      <c r="G23" s="637">
        <f>SUMIFS(tbl_DCFC[C Montant € HT],tbl_DCFC[OI_Month],G$21,tbl_DCFC[BU_Key],"TOO",tbl_DCFC[OI_Year],2022)</f>
        <v>0</v>
      </c>
      <c r="H23" s="637">
        <f>SUMIFS(tbl_DCFC[C Montant € HT],tbl_DCFC[OI_Month],H$21,tbl_DCFC[BU_Key],"TOO",tbl_DCFC[OI_Year],2022)</f>
        <v>0</v>
      </c>
      <c r="I23" s="637">
        <f>SUMIFS(tbl_DCFC[C Montant € HT],tbl_DCFC[OI_Month],I$21,tbl_DCFC[BU_Key],"TOO",tbl_DCFC[OI_Year],2022)</f>
        <v>0</v>
      </c>
      <c r="J23" s="637">
        <f>SUMIFS(tbl_DCFC[C Montant € HT],tbl_DCFC[OI_Month],J$21,tbl_DCFC[BU_Key],"TOO",tbl_DCFC[OI_Year],2022)</f>
        <v>0</v>
      </c>
      <c r="K23" s="637">
        <f>SUMIFS(tbl_DCFC[C Montant € HT],tbl_DCFC[OI_Month],K$21,tbl_DCFC[BU_Key],"TOO",tbl_DCFC[OI_Year],2022)</f>
        <v>0</v>
      </c>
      <c r="L23" s="637">
        <f>SUMIFS(tbl_DCFC[C Montant € HT],tbl_DCFC[OI_Month],L$21,tbl_DCFC[BU_Key],"TOO",tbl_DCFC[OI_Year],2022)</f>
        <v>0</v>
      </c>
      <c r="M23" s="637">
        <f>SUMIFS(tbl_DCFC[C Montant € HT],tbl_DCFC[OI_Month],M$21,tbl_DCFC[BU_Key],"TOO",tbl_DCFC[OI_Year],2022)</f>
        <v>0</v>
      </c>
      <c r="N23" s="637">
        <f>SUMIFS(tbl_DCFC[C Montant € HT],tbl_DCFC[OI_Month],N$21,tbl_DCFC[BU_Key],"TOO",tbl_DCFC[OI_Year],2022)</f>
        <v>0</v>
      </c>
      <c r="O23" s="637"/>
      <c r="P23" s="637"/>
      <c r="Q23" s="637"/>
      <c r="R23" s="637"/>
      <c r="S23" s="637"/>
      <c r="T23" s="637"/>
      <c r="U23" s="637"/>
      <c r="V23" s="637"/>
      <c r="W23" s="637"/>
      <c r="X23" s="637"/>
      <c r="Y23" s="637"/>
      <c r="Z23" s="637"/>
      <c r="AA23" s="637"/>
      <c r="AB23" s="637"/>
      <c r="AC23" s="637"/>
      <c r="AD23" s="637"/>
      <c r="AE23" s="637"/>
      <c r="AF23" s="637"/>
      <c r="AG23" s="637"/>
      <c r="AH23" s="637"/>
      <c r="AI23" s="637"/>
      <c r="AJ23" s="637"/>
      <c r="AK23" s="637"/>
      <c r="AL23" s="637"/>
      <c r="AM23" s="637"/>
      <c r="AN23" s="637"/>
      <c r="AO23" s="637"/>
      <c r="AP23" s="637"/>
      <c r="AQ23" s="637"/>
      <c r="AR23" s="637"/>
      <c r="AS23" s="637"/>
      <c r="AT23" s="637">
        <f>SUMIFS(tbl_DCFC[Status],tbl_DCFC[Client],AT$1,tbl_DCFC[Contact Person],"TOO")</f>
        <v>0</v>
      </c>
      <c r="AU23" s="637">
        <f>SUMIFS(tbl_DCFC[Spalte2],tbl_DCFC[End Client],AU$1,tbl_DCFC[Spalte12],"TOO")</f>
        <v>0</v>
      </c>
      <c r="AV23" s="637">
        <f>SUMIFS(tbl_DCFC[CW ORDER],tbl_DCFC[D Montant € HT],AV$1,tbl_DCFC[Coûts achats],"TOO")</f>
        <v>0</v>
      </c>
      <c r="AW23" s="637">
        <f>SUMIFS(tbl_DCFC[OI_Year],tbl_DCFC[ASM],AW$1,tbl_DCFC[Coûts main d''œuvre],"TOO")</f>
        <v>0</v>
      </c>
      <c r="AX23" s="637">
        <f>SUMIFS(tbl_DCFC[OI_Month],tbl_DCFC[Categorie],AX$1,tbl_DCFC[Marge],"TOO")</f>
        <v>0</v>
      </c>
      <c r="AY23" s="637">
        <f>SUMIFS(tbl_DCFC[Date Cmde],tbl_DCFC[Status],AY$1,tbl_DCFC[Marge %],"TOO")</f>
        <v>0</v>
      </c>
      <c r="AZ23" s="637">
        <f>SUMIFS(tbl_DCFC[Cmde N°],tbl_DCFC[Spalte2],AZ$1,tbl_DCFC[Date],"TOO")</f>
        <v>0</v>
      </c>
      <c r="BA23" s="637">
        <f>SUMIFS(tbl_DCFC[C Montant € HT],tbl_DCFC[CW ORDER],BA$1,tbl_DCFC[BU_Key],"TOO")</f>
        <v>0</v>
      </c>
      <c r="BB23" s="637">
        <f>SUMIFS(tbl_DCFC[Montant Restant €],tbl_DCFC[OI_Year],BB$1,tbl_DCFC[CW],"TOO")</f>
        <v>0</v>
      </c>
    </row>
    <row r="24" spans="2:54" s="437" customFormat="1" x14ac:dyDescent="0.3">
      <c r="B24" s="725" t="s">
        <v>821</v>
      </c>
      <c r="C24" s="637">
        <f>SUMIFS(tbl_DCFC[C Montant € HT],tbl_DCFC[OI_Month],C$21,tbl_DCFC[BU_Key],"SER",tbl_DCFC[OI_Year],2022)</f>
        <v>21780</v>
      </c>
      <c r="D24" s="637">
        <f>SUMIFS(tbl_DCFC[C Montant € HT],tbl_DCFC[OI_Month],D$21,tbl_DCFC[BU_Key],"SER",tbl_DCFC[OI_Year],2022)</f>
        <v>100513</v>
      </c>
      <c r="E24" s="637">
        <f>SUMIFS(tbl_DCFC[C Montant € HT],tbl_DCFC[OI_Month],E$21,tbl_DCFC[BU_Key],"SER",tbl_DCFC[OI_Year],2022)</f>
        <v>37592</v>
      </c>
      <c r="F24" s="637">
        <f>SUMIFS(tbl_DCFC[C Montant € HT],tbl_DCFC[OI_Month],F$21,tbl_DCFC[BU_Key],"SER",tbl_DCFC[OI_Year],2022)</f>
        <v>15131</v>
      </c>
      <c r="G24" s="637">
        <f>SUMIFS(tbl_DCFC[C Montant € HT],tbl_DCFC[OI_Month],G$21,tbl_DCFC[BU_Key],"SER",tbl_DCFC[OI_Year],2022)</f>
        <v>0</v>
      </c>
      <c r="H24" s="637">
        <f>SUMIFS(tbl_DCFC[C Montant € HT],tbl_DCFC[OI_Month],H$21,tbl_DCFC[BU_Key],"SER",tbl_DCFC[OI_Year],2022)</f>
        <v>0</v>
      </c>
      <c r="I24" s="637">
        <f>SUMIFS(tbl_DCFC[C Montant € HT],tbl_DCFC[OI_Month],I$21,tbl_DCFC[BU_Key],"SER",tbl_DCFC[OI_Year],2022)</f>
        <v>0</v>
      </c>
      <c r="J24" s="637">
        <f>SUMIFS(tbl_DCFC[C Montant € HT],tbl_DCFC[OI_Month],J$21,tbl_DCFC[BU_Key],"SER",tbl_DCFC[OI_Year],2022)</f>
        <v>0</v>
      </c>
      <c r="K24" s="637">
        <f>SUMIFS(tbl_DCFC[C Montant € HT],tbl_DCFC[OI_Month],K$21,tbl_DCFC[BU_Key],"SER",tbl_DCFC[OI_Year],2022)</f>
        <v>0</v>
      </c>
      <c r="L24" s="637">
        <f>SUMIFS(tbl_DCFC[C Montant € HT],tbl_DCFC[OI_Month],L$21,tbl_DCFC[BU_Key],"SER",tbl_DCFC[OI_Year],2022)</f>
        <v>0</v>
      </c>
      <c r="M24" s="637">
        <f>SUMIFS(tbl_DCFC[C Montant € HT],tbl_DCFC[OI_Month],M$21,tbl_DCFC[BU_Key],"SER",tbl_DCFC[OI_Year],2022)</f>
        <v>0</v>
      </c>
      <c r="N24" s="637">
        <f>SUMIFS(tbl_DCFC[C Montant € HT],tbl_DCFC[OI_Month],N$21,tbl_DCFC[BU_Key],"SER",tbl_DCFC[OI_Year],2022)</f>
        <v>0</v>
      </c>
      <c r="O24" s="637"/>
      <c r="P24" s="637"/>
      <c r="Q24" s="637"/>
      <c r="R24" s="637"/>
      <c r="S24" s="637"/>
      <c r="T24" s="637"/>
      <c r="U24" s="637"/>
      <c r="V24" s="637"/>
      <c r="W24" s="637"/>
      <c r="X24" s="637"/>
      <c r="Y24" s="637"/>
      <c r="Z24" s="637"/>
      <c r="AA24" s="637"/>
      <c r="AB24" s="637"/>
      <c r="AC24" s="637"/>
      <c r="AD24" s="637"/>
      <c r="AE24" s="637"/>
      <c r="AF24" s="637"/>
      <c r="AG24" s="637"/>
      <c r="AH24" s="637"/>
      <c r="AI24" s="637"/>
      <c r="AJ24" s="637"/>
      <c r="AK24" s="637"/>
      <c r="AL24" s="637"/>
      <c r="AM24" s="637"/>
      <c r="AN24" s="637"/>
      <c r="AO24" s="637"/>
      <c r="AP24" s="637"/>
      <c r="AQ24" s="637"/>
      <c r="AR24" s="637"/>
      <c r="AS24" s="637"/>
      <c r="AT24" s="637">
        <f>SUMIFS(tbl_DCFC[Status],tbl_DCFC[Client],AT$1,tbl_DCFC[Contact Person],"SER")</f>
        <v>0</v>
      </c>
      <c r="AU24" s="637">
        <f>SUMIFS(tbl_DCFC[Spalte2],tbl_DCFC[End Client],AU$1,tbl_DCFC[Spalte12],"SER")</f>
        <v>0</v>
      </c>
      <c r="AV24" s="637">
        <f>SUMIFS(tbl_DCFC[CW ORDER],tbl_DCFC[D Montant € HT],AV$1,tbl_DCFC[Coûts achats],"SER")</f>
        <v>0</v>
      </c>
      <c r="AW24" s="637">
        <f>SUMIFS(tbl_DCFC[OI_Year],tbl_DCFC[ASM],AW$1,tbl_DCFC[Coûts main d''œuvre],"SER")</f>
        <v>0</v>
      </c>
      <c r="AX24" s="637">
        <f>SUMIFS(tbl_DCFC[OI_Month],tbl_DCFC[Categorie],AX$1,tbl_DCFC[Marge],"SER")</f>
        <v>0</v>
      </c>
      <c r="AY24" s="637">
        <f>SUMIFS(tbl_DCFC[Date Cmde],tbl_DCFC[Status],AY$1,tbl_DCFC[Marge %],"SER")</f>
        <v>0</v>
      </c>
      <c r="AZ24" s="637">
        <f>SUMIFS(tbl_DCFC[Cmde N°],tbl_DCFC[Spalte2],AZ$1,tbl_DCFC[Date],"SER")</f>
        <v>0</v>
      </c>
      <c r="BA24" s="637">
        <f>SUMIFS(tbl_DCFC[C Montant € HT],tbl_DCFC[CW ORDER],BA$1,tbl_DCFC[BU_Key],"SER")</f>
        <v>0</v>
      </c>
      <c r="BB24" s="637">
        <f>SUMIFS(tbl_DCFC[Montant Restant €],tbl_DCFC[OI_Year],BB$1,tbl_DCFC[CW],"SER")</f>
        <v>0</v>
      </c>
    </row>
    <row r="25" spans="2:54" s="437" customFormat="1" x14ac:dyDescent="0.3">
      <c r="B25" s="725" t="s">
        <v>786</v>
      </c>
      <c r="C25" s="400">
        <f>SUMIFS(tbl_DCFC[C Montant € HT],tbl_DCFC[OI_Month],C$21,tbl_DCFC[BU_Key],"INT",tbl_DCFC[OI_Year],2022)</f>
        <v>0</v>
      </c>
      <c r="D25" s="400">
        <f>SUMIFS(tbl_DCFC[C Montant € HT],tbl_DCFC[OI_Month],D$21,tbl_DCFC[BU_Key],"INT",tbl_DCFC[OI_Year],2022)</f>
        <v>0</v>
      </c>
      <c r="E25" s="400">
        <f>SUMIFS(tbl_DCFC[C Montant € HT],tbl_DCFC[OI_Month],E$21,tbl_DCFC[BU_Key],"INT",tbl_DCFC[OI_Year],2022)</f>
        <v>0</v>
      </c>
      <c r="F25" s="400">
        <f>SUMIFS(tbl_DCFC[C Montant € HT],tbl_DCFC[OI_Month],F$21,tbl_DCFC[BU_Key],"INT",tbl_DCFC[OI_Year],2022)</f>
        <v>0</v>
      </c>
      <c r="G25" s="400">
        <f>SUMIFS(tbl_DCFC[C Montant € HT],tbl_DCFC[OI_Month],G$21,tbl_DCFC[BU_Key],"INT",tbl_DCFC[OI_Year],2022)</f>
        <v>0</v>
      </c>
      <c r="H25" s="400">
        <f>SUMIFS(tbl_DCFC[C Montant € HT],tbl_DCFC[OI_Month],H$21,tbl_DCFC[BU_Key],"INT",tbl_DCFC[OI_Year],2022)</f>
        <v>0</v>
      </c>
      <c r="I25" s="400">
        <f>SUMIFS(tbl_DCFC[C Montant € HT],tbl_DCFC[OI_Month],I$21,tbl_DCFC[BU_Key],"INT",tbl_DCFC[OI_Year],2022)</f>
        <v>0</v>
      </c>
      <c r="J25" s="400">
        <f>SUMIFS(tbl_DCFC[C Montant € HT],tbl_DCFC[OI_Month],J$21,tbl_DCFC[BU_Key],"INT",tbl_DCFC[OI_Year],2022)</f>
        <v>0</v>
      </c>
      <c r="K25" s="400">
        <f>SUMIFS(tbl_DCFC[C Montant € HT],tbl_DCFC[OI_Month],K$21,tbl_DCFC[BU_Key],"INT",tbl_DCFC[OI_Year],2022)</f>
        <v>0</v>
      </c>
      <c r="L25" s="400">
        <f>SUMIFS(tbl_DCFC[C Montant € HT],tbl_DCFC[OI_Month],L$21,tbl_DCFC[BU_Key],"INT",tbl_DCFC[OI_Year],2022)</f>
        <v>0</v>
      </c>
      <c r="M25" s="400">
        <f>SUMIFS(tbl_DCFC[C Montant € HT],tbl_DCFC[OI_Month],M$21,tbl_DCFC[BU_Key],"INT",tbl_DCFC[OI_Year],2022)</f>
        <v>0</v>
      </c>
      <c r="N25" s="400">
        <f>SUMIFS(tbl_DCFC[C Montant € HT],tbl_DCFC[OI_Month],N$21,tbl_DCFC[BU_Key],"INT",tbl_DCFC[OI_Year],2022)</f>
        <v>0</v>
      </c>
      <c r="O25" s="400"/>
      <c r="P25" s="400"/>
      <c r="Q25" s="400"/>
      <c r="R25" s="400"/>
      <c r="S25" s="400"/>
      <c r="T25" s="400"/>
      <c r="U25" s="400"/>
      <c r="V25" s="400"/>
      <c r="W25" s="400"/>
      <c r="X25" s="400"/>
      <c r="Y25" s="400"/>
      <c r="Z25" s="400"/>
      <c r="AA25" s="400"/>
      <c r="AB25" s="400"/>
      <c r="AC25" s="400"/>
      <c r="AD25" s="400"/>
      <c r="AE25" s="400"/>
      <c r="AF25" s="400"/>
      <c r="AG25" s="400"/>
      <c r="AH25" s="400"/>
      <c r="AI25" s="400"/>
      <c r="AJ25" s="400"/>
      <c r="AK25" s="400"/>
      <c r="AL25" s="400"/>
      <c r="AM25" s="400"/>
      <c r="AN25" s="400"/>
      <c r="AO25" s="400"/>
      <c r="AP25" s="400"/>
      <c r="AQ25" s="400"/>
      <c r="AR25" s="400"/>
      <c r="AS25" s="400"/>
      <c r="AT25" s="400">
        <f>SUMIFS(tbl_DCFC[C Montant € HT],tbl_DCFC[CW ORDER],AT$1,tbl_DCFC[BU_Key],"INT")</f>
        <v>0</v>
      </c>
      <c r="AU25" s="400">
        <f>SUMIFS(tbl_DCFC[C Montant € HT],tbl_DCFC[CW ORDER],AU$1,tbl_DCFC[BU_Key],"INT")</f>
        <v>0</v>
      </c>
      <c r="AV25" s="400">
        <f>SUMIFS(tbl_DCFC[C Montant € HT],tbl_DCFC[CW ORDER],AV$1,tbl_DCFC[BU_Key],"INT")</f>
        <v>0</v>
      </c>
      <c r="AW25" s="400">
        <f>SUMIFS(tbl_DCFC[C Montant € HT],tbl_DCFC[CW ORDER],AW$1,tbl_DCFC[BU_Key],"INT")</f>
        <v>0</v>
      </c>
      <c r="AX25" s="400">
        <f>SUMIFS(tbl_DCFC[C Montant € HT],tbl_DCFC[CW ORDER],AX$1,tbl_DCFC[BU_Key],"INT")</f>
        <v>0</v>
      </c>
      <c r="AY25" s="400">
        <f>SUMIFS(tbl_DCFC[C Montant € HT],tbl_DCFC[CW ORDER],AY$1,tbl_DCFC[BU_Key],"INT")</f>
        <v>0</v>
      </c>
      <c r="AZ25" s="400">
        <f>SUMIFS(tbl_DCFC[C Montant € HT],tbl_DCFC[CW ORDER],AZ$1,tbl_DCFC[BU_Key],"INT")</f>
        <v>0</v>
      </c>
      <c r="BA25" s="400">
        <f>SUMIFS(tbl_DCFC[C Montant € HT],tbl_DCFC[CW ORDER],BA$1,tbl_DCFC[BU_Key],"INT")</f>
        <v>0</v>
      </c>
      <c r="BB25" s="400">
        <f>SUMIFS(tbl_DCFC[C Montant € HT],tbl_DCFC[CW ORDER],BB$1,tbl_DCFC[BU_Key],"INT")</f>
        <v>0</v>
      </c>
    </row>
    <row r="26" spans="2:54" s="437" customFormat="1" x14ac:dyDescent="0.3">
      <c r="B26" s="725" t="s">
        <v>822</v>
      </c>
      <c r="C26" s="435">
        <f>C22</f>
        <v>0</v>
      </c>
      <c r="D26" s="435">
        <f t="shared" ref="D26:N26" si="28">C26+D22</f>
        <v>8579</v>
      </c>
      <c r="E26" s="435">
        <f t="shared" si="28"/>
        <v>8579</v>
      </c>
      <c r="F26" s="435">
        <f t="shared" si="28"/>
        <v>8579</v>
      </c>
      <c r="G26" s="435">
        <f t="shared" si="28"/>
        <v>8579</v>
      </c>
      <c r="H26" s="435">
        <f t="shared" si="28"/>
        <v>8579</v>
      </c>
      <c r="I26" s="435">
        <f t="shared" si="28"/>
        <v>8579</v>
      </c>
      <c r="J26" s="435">
        <f t="shared" si="28"/>
        <v>8579</v>
      </c>
      <c r="K26" s="435">
        <f t="shared" si="28"/>
        <v>8579</v>
      </c>
      <c r="L26" s="435">
        <f t="shared" si="28"/>
        <v>8579</v>
      </c>
      <c r="M26" s="435">
        <f t="shared" si="28"/>
        <v>8579</v>
      </c>
      <c r="N26" s="435">
        <f t="shared" si="28"/>
        <v>8579</v>
      </c>
      <c r="O26" s="435"/>
      <c r="P26" s="435"/>
      <c r="Q26" s="435"/>
      <c r="R26" s="435"/>
      <c r="S26" s="435"/>
      <c r="T26" s="435"/>
      <c r="U26" s="435"/>
      <c r="V26" s="435"/>
      <c r="W26" s="435"/>
      <c r="X26" s="435"/>
      <c r="Y26" s="435"/>
      <c r="Z26" s="435"/>
      <c r="AA26" s="435"/>
      <c r="AB26" s="435"/>
      <c r="AC26" s="435"/>
      <c r="AD26" s="435"/>
      <c r="AE26" s="435"/>
      <c r="AF26" s="435"/>
      <c r="AG26" s="435"/>
      <c r="AH26" s="435"/>
      <c r="AI26" s="435"/>
      <c r="AJ26" s="435"/>
      <c r="AK26" s="435"/>
      <c r="AL26" s="435"/>
      <c r="AM26" s="435"/>
      <c r="AN26" s="435"/>
      <c r="AO26" s="435"/>
      <c r="AP26" s="435"/>
      <c r="AQ26" s="435"/>
      <c r="AR26" s="435"/>
      <c r="AS26" s="435"/>
      <c r="AT26" s="435">
        <f t="shared" ref="AT26:BB26" si="29">AS26+AT22</f>
        <v>0</v>
      </c>
      <c r="AU26" s="435">
        <f t="shared" si="29"/>
        <v>0</v>
      </c>
      <c r="AV26" s="435">
        <f t="shared" si="29"/>
        <v>0</v>
      </c>
      <c r="AW26" s="435">
        <f t="shared" si="29"/>
        <v>0</v>
      </c>
      <c r="AX26" s="435">
        <f t="shared" si="29"/>
        <v>0</v>
      </c>
      <c r="AY26" s="435">
        <f t="shared" si="29"/>
        <v>0</v>
      </c>
      <c r="AZ26" s="435">
        <f t="shared" si="29"/>
        <v>0</v>
      </c>
      <c r="BA26" s="435">
        <f t="shared" si="29"/>
        <v>0</v>
      </c>
      <c r="BB26" s="435">
        <f t="shared" si="29"/>
        <v>0</v>
      </c>
    </row>
    <row r="27" spans="2:54" s="437" customFormat="1" x14ac:dyDescent="0.3">
      <c r="B27" s="725" t="s">
        <v>823</v>
      </c>
      <c r="C27" s="438">
        <f>C23</f>
        <v>0</v>
      </c>
      <c r="D27" s="438">
        <f t="shared" ref="D27:N27" si="30">C27+D23</f>
        <v>9590</v>
      </c>
      <c r="E27" s="438">
        <f t="shared" si="30"/>
        <v>9776</v>
      </c>
      <c r="F27" s="438">
        <f t="shared" si="30"/>
        <v>9776</v>
      </c>
      <c r="G27" s="438">
        <f t="shared" si="30"/>
        <v>9776</v>
      </c>
      <c r="H27" s="438">
        <f t="shared" si="30"/>
        <v>9776</v>
      </c>
      <c r="I27" s="438">
        <f t="shared" si="30"/>
        <v>9776</v>
      </c>
      <c r="J27" s="438">
        <f t="shared" si="30"/>
        <v>9776</v>
      </c>
      <c r="K27" s="438">
        <f t="shared" si="30"/>
        <v>9776</v>
      </c>
      <c r="L27" s="438">
        <f t="shared" si="30"/>
        <v>9776</v>
      </c>
      <c r="M27" s="438">
        <f t="shared" si="30"/>
        <v>9776</v>
      </c>
      <c r="N27" s="438">
        <f t="shared" si="30"/>
        <v>9776</v>
      </c>
      <c r="O27" s="438"/>
      <c r="P27" s="438"/>
      <c r="Q27" s="438"/>
      <c r="R27" s="438"/>
      <c r="S27" s="438"/>
      <c r="T27" s="438"/>
      <c r="U27" s="438"/>
      <c r="V27" s="438"/>
      <c r="W27" s="438"/>
      <c r="X27" s="438"/>
      <c r="Y27" s="438"/>
      <c r="Z27" s="438"/>
      <c r="AA27" s="438"/>
      <c r="AB27" s="438"/>
      <c r="AC27" s="438"/>
      <c r="AD27" s="438"/>
      <c r="AE27" s="438"/>
      <c r="AF27" s="438"/>
      <c r="AG27" s="438"/>
      <c r="AH27" s="438"/>
      <c r="AI27" s="438"/>
      <c r="AJ27" s="438"/>
      <c r="AK27" s="438"/>
      <c r="AL27" s="438"/>
      <c r="AM27" s="438"/>
      <c r="AN27" s="438"/>
      <c r="AO27" s="438"/>
      <c r="AP27" s="438"/>
      <c r="AQ27" s="438"/>
      <c r="AR27" s="438"/>
      <c r="AS27" s="438"/>
      <c r="AT27" s="438">
        <f t="shared" ref="AT27:BB27" si="31">AS27+AT23</f>
        <v>0</v>
      </c>
      <c r="AU27" s="438">
        <f t="shared" si="31"/>
        <v>0</v>
      </c>
      <c r="AV27" s="438">
        <f t="shared" si="31"/>
        <v>0</v>
      </c>
      <c r="AW27" s="438">
        <f t="shared" si="31"/>
        <v>0</v>
      </c>
      <c r="AX27" s="438">
        <f t="shared" si="31"/>
        <v>0</v>
      </c>
      <c r="AY27" s="438">
        <f t="shared" si="31"/>
        <v>0</v>
      </c>
      <c r="AZ27" s="438">
        <f t="shared" si="31"/>
        <v>0</v>
      </c>
      <c r="BA27" s="438">
        <f t="shared" si="31"/>
        <v>0</v>
      </c>
      <c r="BB27" s="438">
        <f t="shared" si="31"/>
        <v>0</v>
      </c>
    </row>
    <row r="28" spans="2:54" s="437" customFormat="1" x14ac:dyDescent="0.3">
      <c r="B28" s="725" t="s">
        <v>824</v>
      </c>
      <c r="C28" s="438">
        <f>C24</f>
        <v>21780</v>
      </c>
      <c r="D28" s="438">
        <f t="shared" ref="D28:N28" si="32">C28+D24</f>
        <v>122293</v>
      </c>
      <c r="E28" s="438">
        <f t="shared" si="32"/>
        <v>159885</v>
      </c>
      <c r="F28" s="438">
        <f t="shared" si="32"/>
        <v>175016</v>
      </c>
      <c r="G28" s="438">
        <f t="shared" si="32"/>
        <v>175016</v>
      </c>
      <c r="H28" s="438">
        <f t="shared" si="32"/>
        <v>175016</v>
      </c>
      <c r="I28" s="438">
        <f t="shared" si="32"/>
        <v>175016</v>
      </c>
      <c r="J28" s="438">
        <f t="shared" si="32"/>
        <v>175016</v>
      </c>
      <c r="K28" s="438">
        <f t="shared" si="32"/>
        <v>175016</v>
      </c>
      <c r="L28" s="438">
        <f t="shared" si="32"/>
        <v>175016</v>
      </c>
      <c r="M28" s="438">
        <f t="shared" si="32"/>
        <v>175016</v>
      </c>
      <c r="N28" s="438">
        <f t="shared" si="32"/>
        <v>175016</v>
      </c>
      <c r="O28" s="438"/>
      <c r="P28" s="438"/>
      <c r="Q28" s="438"/>
      <c r="R28" s="438"/>
      <c r="S28" s="438"/>
      <c r="T28" s="438"/>
      <c r="U28" s="438"/>
      <c r="V28" s="438"/>
      <c r="W28" s="438"/>
      <c r="X28" s="438"/>
      <c r="Y28" s="438"/>
      <c r="Z28" s="438"/>
      <c r="AA28" s="438"/>
      <c r="AB28" s="438"/>
      <c r="AC28" s="438"/>
      <c r="AD28" s="438"/>
      <c r="AE28" s="438"/>
      <c r="AF28" s="438"/>
      <c r="AG28" s="438"/>
      <c r="AH28" s="438"/>
      <c r="AI28" s="438"/>
      <c r="AJ28" s="438"/>
      <c r="AK28" s="438"/>
      <c r="AL28" s="438"/>
      <c r="AM28" s="438"/>
      <c r="AN28" s="438"/>
      <c r="AO28" s="438"/>
      <c r="AP28" s="438"/>
      <c r="AQ28" s="438"/>
      <c r="AR28" s="438"/>
      <c r="AS28" s="438"/>
      <c r="AT28" s="438">
        <f t="shared" ref="AT28:BB28" si="33">AS28+AT24</f>
        <v>0</v>
      </c>
      <c r="AU28" s="438">
        <f t="shared" si="33"/>
        <v>0</v>
      </c>
      <c r="AV28" s="438">
        <f t="shared" si="33"/>
        <v>0</v>
      </c>
      <c r="AW28" s="438">
        <f t="shared" si="33"/>
        <v>0</v>
      </c>
      <c r="AX28" s="438">
        <f t="shared" si="33"/>
        <v>0</v>
      </c>
      <c r="AY28" s="438">
        <f t="shared" si="33"/>
        <v>0</v>
      </c>
      <c r="AZ28" s="438">
        <f t="shared" si="33"/>
        <v>0</v>
      </c>
      <c r="BA28" s="438">
        <f t="shared" si="33"/>
        <v>0</v>
      </c>
      <c r="BB28" s="438">
        <f t="shared" si="33"/>
        <v>0</v>
      </c>
    </row>
    <row r="29" spans="2:54" s="437" customFormat="1" x14ac:dyDescent="0.3">
      <c r="B29" s="725" t="s">
        <v>833</v>
      </c>
      <c r="C29" s="439">
        <f>C25</f>
        <v>0</v>
      </c>
      <c r="D29" s="439">
        <f>C29+D25</f>
        <v>0</v>
      </c>
      <c r="E29" s="439">
        <f t="shared" ref="E29:BB29" si="34">D29+E25</f>
        <v>0</v>
      </c>
      <c r="F29" s="439">
        <f t="shared" si="34"/>
        <v>0</v>
      </c>
      <c r="G29" s="439">
        <f t="shared" si="34"/>
        <v>0</v>
      </c>
      <c r="H29" s="439">
        <f t="shared" si="34"/>
        <v>0</v>
      </c>
      <c r="I29" s="439">
        <f t="shared" si="34"/>
        <v>0</v>
      </c>
      <c r="J29" s="439">
        <f t="shared" si="34"/>
        <v>0</v>
      </c>
      <c r="K29" s="439">
        <f t="shared" si="34"/>
        <v>0</v>
      </c>
      <c r="L29" s="439">
        <f t="shared" si="34"/>
        <v>0</v>
      </c>
      <c r="M29" s="439">
        <f t="shared" si="34"/>
        <v>0</v>
      </c>
      <c r="N29" s="439">
        <f t="shared" si="34"/>
        <v>0</v>
      </c>
      <c r="O29" s="439"/>
      <c r="P29" s="439"/>
      <c r="Q29" s="439"/>
      <c r="R29" s="439"/>
      <c r="S29" s="439"/>
      <c r="T29" s="439"/>
      <c r="U29" s="439"/>
      <c r="V29" s="439"/>
      <c r="W29" s="439"/>
      <c r="X29" s="439"/>
      <c r="Y29" s="439"/>
      <c r="Z29" s="439"/>
      <c r="AA29" s="439"/>
      <c r="AB29" s="439"/>
      <c r="AC29" s="439"/>
      <c r="AD29" s="439"/>
      <c r="AE29" s="439"/>
      <c r="AF29" s="439"/>
      <c r="AG29" s="439"/>
      <c r="AH29" s="439"/>
      <c r="AI29" s="439"/>
      <c r="AJ29" s="439"/>
      <c r="AK29" s="439"/>
      <c r="AL29" s="439"/>
      <c r="AM29" s="439"/>
      <c r="AN29" s="439"/>
      <c r="AO29" s="439"/>
      <c r="AP29" s="439"/>
      <c r="AQ29" s="439"/>
      <c r="AR29" s="439"/>
      <c r="AS29" s="439"/>
      <c r="AT29" s="439">
        <f t="shared" si="34"/>
        <v>0</v>
      </c>
      <c r="AU29" s="439">
        <f t="shared" si="34"/>
        <v>0</v>
      </c>
      <c r="AV29" s="439">
        <f t="shared" si="34"/>
        <v>0</v>
      </c>
      <c r="AW29" s="439">
        <f t="shared" si="34"/>
        <v>0</v>
      </c>
      <c r="AX29" s="439">
        <f t="shared" si="34"/>
        <v>0</v>
      </c>
      <c r="AY29" s="439">
        <f t="shared" si="34"/>
        <v>0</v>
      </c>
      <c r="AZ29" s="439">
        <f t="shared" si="34"/>
        <v>0</v>
      </c>
      <c r="BA29" s="439">
        <f t="shared" si="34"/>
        <v>0</v>
      </c>
      <c r="BB29" s="439">
        <f t="shared" si="34"/>
        <v>0</v>
      </c>
    </row>
    <row r="30" spans="2:54" s="437" customFormat="1" x14ac:dyDescent="0.3">
      <c r="B30" s="387"/>
    </row>
    <row r="31" spans="2:54" s="437" customFormat="1" x14ac:dyDescent="0.3">
      <c r="B31" s="387"/>
    </row>
    <row r="32" spans="2:54" s="437" customFormat="1" x14ac:dyDescent="0.3">
      <c r="B32" s="387"/>
    </row>
    <row r="33" spans="2:54" s="437" customFormat="1" x14ac:dyDescent="0.3">
      <c r="B33" s="725" t="s">
        <v>825</v>
      </c>
      <c r="C33" s="637">
        <f>SUMIFS(tbl_DCFC[F Montant HT],tbl_DCFC[Revenue_Month],C$21,tbl_DCFC[BU_Key],"GSE")</f>
        <v>0</v>
      </c>
      <c r="D33" s="637">
        <f>SUMIFS(tbl_DCFC[F Montant HT],tbl_DCFC[Revenue_Month],D$21,tbl_DCFC[BU_Key],"GSE")</f>
        <v>0</v>
      </c>
      <c r="E33" s="637">
        <f>SUMIFS(tbl_DCFC[F Montant HT],tbl_DCFC[Revenue_Month],E$21,tbl_DCFC[BU_Key],"GSE")</f>
        <v>8579</v>
      </c>
      <c r="F33" s="637">
        <f>SUMIFS(tbl_DCFC[F Montant HT],tbl_DCFC[Revenue_Month],F$21,tbl_DCFC[BU_Key],"GSE")</f>
        <v>0</v>
      </c>
      <c r="G33" s="637">
        <f>SUMIFS(tbl_DCFC[F Montant HT],tbl_DCFC[Revenue_Month],G$21,tbl_DCFC[BU_Key],"GSE")</f>
        <v>0</v>
      </c>
      <c r="H33" s="637">
        <f>SUMIFS(tbl_DCFC[F Montant HT],tbl_DCFC[Revenue_Month],H$21,tbl_DCFC[BU_Key],"GSE")</f>
        <v>0</v>
      </c>
      <c r="I33" s="637">
        <f>SUMIFS(tbl_DCFC[F Montant HT],tbl_DCFC[Revenue_Month],I$21,tbl_DCFC[BU_Key],"GSE")</f>
        <v>0</v>
      </c>
      <c r="J33" s="637">
        <f>SUMIFS(tbl_DCFC[F Montant HT],tbl_DCFC[Revenue_Month],J$21,tbl_DCFC[BU_Key],"GSE")</f>
        <v>0</v>
      </c>
      <c r="K33" s="637">
        <f>SUMIFS(tbl_DCFC[F Montant HT],tbl_DCFC[Revenue_Month],K$21,tbl_DCFC[BU_Key],"GSE")</f>
        <v>0</v>
      </c>
      <c r="L33" s="637">
        <f>SUMIFS(tbl_DCFC[F Montant HT],tbl_DCFC[Revenue_Month],L$21,tbl_DCFC[BU_Key],"GSE")</f>
        <v>0</v>
      </c>
      <c r="M33" s="637">
        <f>SUMIFS(tbl_DCFC[F Montant HT],tbl_DCFC[Revenue_Month],M$21,tbl_DCFC[BU_Key],"GSE")</f>
        <v>0</v>
      </c>
      <c r="N33" s="637">
        <f>SUMIFS(tbl_DCFC[F Montant HT],tbl_DCFC[Revenue_Month],N$21,tbl_DCFC[BU_Key],"GSE")</f>
        <v>0</v>
      </c>
      <c r="O33" s="637"/>
      <c r="P33" s="637"/>
      <c r="Q33" s="637"/>
      <c r="R33" s="637"/>
      <c r="S33" s="637"/>
      <c r="T33" s="637"/>
      <c r="U33" s="637"/>
      <c r="V33" s="637"/>
      <c r="W33" s="637"/>
      <c r="X33" s="637"/>
      <c r="Y33" s="637"/>
      <c r="Z33" s="637"/>
      <c r="AA33" s="637"/>
      <c r="AB33" s="637"/>
      <c r="AC33" s="637"/>
      <c r="AD33" s="637"/>
      <c r="AE33" s="637"/>
      <c r="AF33" s="637"/>
      <c r="AG33" s="637"/>
      <c r="AH33" s="637"/>
      <c r="AI33" s="637"/>
      <c r="AJ33" s="637"/>
      <c r="AK33" s="637"/>
      <c r="AL33" s="637"/>
      <c r="AM33" s="637"/>
      <c r="AN33" s="637"/>
      <c r="AO33" s="637"/>
      <c r="AP33" s="637"/>
      <c r="AQ33" s="637"/>
      <c r="AR33" s="637"/>
      <c r="AS33" s="637"/>
      <c r="AT33" s="637">
        <f>SUMIFS(tbl_DCFC[F Montant HT],tbl_DCFC[CW REV],AT$1,tbl_DCFC[BU_Key],"GSE")</f>
        <v>0</v>
      </c>
      <c r="AU33" s="637">
        <f>SUMIFS(tbl_DCFC[F Montant HT],tbl_DCFC[CW REV],AU$1,tbl_DCFC[BU_Key],"GSE")</f>
        <v>0</v>
      </c>
      <c r="AV33" s="637">
        <f>SUMIFS(tbl_DCFC[F Montant HT],tbl_DCFC[CW REV],AV$1,tbl_DCFC[BU_Key],"GSE")</f>
        <v>0</v>
      </c>
      <c r="AW33" s="637">
        <f>SUMIFS(tbl_DCFC[F Montant HT],tbl_DCFC[CW REV],AW$1,tbl_DCFC[BU_Key],"GSE")</f>
        <v>0</v>
      </c>
      <c r="AX33" s="637">
        <f>SUMIFS(tbl_DCFC[F Montant HT],tbl_DCFC[CW REV],AX$1,tbl_DCFC[BU_Key],"GSE")</f>
        <v>0</v>
      </c>
      <c r="AY33" s="637">
        <f>SUMIFS(tbl_DCFC[F Montant HT],tbl_DCFC[CW REV],AY$1,tbl_DCFC[BU_Key],"GSE")</f>
        <v>0</v>
      </c>
      <c r="AZ33" s="637">
        <f>SUMIFS(tbl_DCFC[F Montant HT],tbl_DCFC[CW REV],AZ$1,tbl_DCFC[BU_Key],"GSE")</f>
        <v>0</v>
      </c>
      <c r="BA33" s="637">
        <f>SUMIFS(tbl_DCFC[F Montant HT],tbl_DCFC[CW REV],BA$1,tbl_DCFC[BU_Key],"GSE")</f>
        <v>0</v>
      </c>
      <c r="BB33" s="637">
        <f>SUMIFS(tbl_DCFC[F Montant HT],tbl_DCFC[CW REV],BB$1,tbl_DCFC[BU_Key],"GSE")</f>
        <v>0</v>
      </c>
    </row>
    <row r="34" spans="2:54" s="437" customFormat="1" x14ac:dyDescent="0.3">
      <c r="B34" s="725" t="s">
        <v>826</v>
      </c>
      <c r="C34" s="637">
        <f>SUMIFS(tbl_DCFC[F Montant HT],tbl_DCFC[Revenue_Month],C$21,tbl_DCFC[BU_Key],"TOO")</f>
        <v>2750</v>
      </c>
      <c r="D34" s="637">
        <f>SUMIFS(tbl_DCFC[F Montant HT],tbl_DCFC[Revenue_Month],D$21,tbl_DCFC[BU_Key],"TOO")</f>
        <v>7661</v>
      </c>
      <c r="E34" s="637">
        <f>SUMIFS(tbl_DCFC[F Montant HT],tbl_DCFC[Revenue_Month],E$21,tbl_DCFC[BU_Key],"TOO")</f>
        <v>0</v>
      </c>
      <c r="F34" s="637">
        <f>SUMIFS(tbl_DCFC[F Montant HT],tbl_DCFC[Revenue_Month],F$21,tbl_DCFC[BU_Key],"TOO")</f>
        <v>186</v>
      </c>
      <c r="G34" s="637">
        <f>SUMIFS(tbl_DCFC[F Montant HT],tbl_DCFC[Revenue_Month],G$21,tbl_DCFC[BU_Key],"TOO")</f>
        <v>0</v>
      </c>
      <c r="H34" s="637">
        <f>SUMIFS(tbl_DCFC[F Montant HT],tbl_DCFC[Revenue_Month],H$21,tbl_DCFC[BU_Key],"TOO")</f>
        <v>0</v>
      </c>
      <c r="I34" s="637">
        <f>SUMIFS(tbl_DCFC[F Montant HT],tbl_DCFC[Revenue_Month],I$21,tbl_DCFC[BU_Key],"TOO")</f>
        <v>0</v>
      </c>
      <c r="J34" s="637">
        <f>SUMIFS(tbl_DCFC[F Montant HT],tbl_DCFC[Revenue_Month],J$21,tbl_DCFC[BU_Key],"TOO")</f>
        <v>0</v>
      </c>
      <c r="K34" s="637">
        <f>SUMIFS(tbl_DCFC[F Montant HT],tbl_DCFC[Revenue_Month],K$21,tbl_DCFC[BU_Key],"TOO")</f>
        <v>0</v>
      </c>
      <c r="L34" s="637">
        <f>SUMIFS(tbl_DCFC[F Montant HT],tbl_DCFC[Revenue_Month],L$21,tbl_DCFC[BU_Key],"TOO")</f>
        <v>0</v>
      </c>
      <c r="M34" s="637">
        <f>SUMIFS(tbl_DCFC[F Montant HT],tbl_DCFC[Revenue_Month],M$21,tbl_DCFC[BU_Key],"TOO")</f>
        <v>0</v>
      </c>
      <c r="N34" s="637">
        <f>SUMIFS(tbl_DCFC[F Montant HT],tbl_DCFC[Revenue_Month],N$21,tbl_DCFC[BU_Key],"TOO")</f>
        <v>0</v>
      </c>
      <c r="O34" s="637"/>
      <c r="P34" s="637"/>
      <c r="Q34" s="637"/>
      <c r="R34" s="637"/>
      <c r="S34" s="637"/>
      <c r="T34" s="637"/>
      <c r="U34" s="637"/>
      <c r="V34" s="637"/>
      <c r="W34" s="637"/>
      <c r="X34" s="637"/>
      <c r="Y34" s="637"/>
      <c r="Z34" s="637"/>
      <c r="AA34" s="637"/>
      <c r="AB34" s="637"/>
      <c r="AC34" s="637"/>
      <c r="AD34" s="637"/>
      <c r="AE34" s="637"/>
      <c r="AF34" s="637"/>
      <c r="AG34" s="637"/>
      <c r="AH34" s="637"/>
      <c r="AI34" s="637"/>
      <c r="AJ34" s="637"/>
      <c r="AK34" s="637"/>
      <c r="AL34" s="637"/>
      <c r="AM34" s="637"/>
      <c r="AN34" s="637"/>
      <c r="AO34" s="637"/>
      <c r="AP34" s="637"/>
      <c r="AQ34" s="637"/>
      <c r="AR34" s="637"/>
      <c r="AS34" s="637"/>
      <c r="AT34" s="637">
        <f>SUMIFS(tbl_DCFC[F Montant HT],tbl_DCFC[CW REV],AT$1,tbl_DCFC[BU_Key],"TOO")</f>
        <v>0</v>
      </c>
      <c r="AU34" s="637">
        <f>SUMIFS(tbl_DCFC[F Montant HT],tbl_DCFC[CW REV],AU$1,tbl_DCFC[BU_Key],"TOO")</f>
        <v>0</v>
      </c>
      <c r="AV34" s="637">
        <f>SUMIFS(tbl_DCFC[F Montant HT],tbl_DCFC[CW REV],AV$1,tbl_DCFC[BU_Key],"TOO")</f>
        <v>0</v>
      </c>
      <c r="AW34" s="637">
        <f>SUMIFS(tbl_DCFC[F Montant HT],tbl_DCFC[CW REV],AW$1,tbl_DCFC[BU_Key],"TOO")</f>
        <v>0</v>
      </c>
      <c r="AX34" s="637">
        <f>SUMIFS(tbl_DCFC[F Montant HT],tbl_DCFC[CW REV],AX$1,tbl_DCFC[BU_Key],"TOO")</f>
        <v>0</v>
      </c>
      <c r="AY34" s="637">
        <f>SUMIFS(tbl_DCFC[F Montant HT],tbl_DCFC[CW REV],AY$1,tbl_DCFC[BU_Key],"TOO")</f>
        <v>0</v>
      </c>
      <c r="AZ34" s="637">
        <f>SUMIFS(tbl_DCFC[F Montant HT],tbl_DCFC[CW REV],AZ$1,tbl_DCFC[BU_Key],"TOO")</f>
        <v>0</v>
      </c>
      <c r="BA34" s="637">
        <f>SUMIFS(tbl_DCFC[F Montant HT],tbl_DCFC[CW REV],BA$1,tbl_DCFC[BU_Key],"TOO")</f>
        <v>0</v>
      </c>
      <c r="BB34" s="637">
        <f>SUMIFS(tbl_DCFC[F Montant HT],tbl_DCFC[CW REV],BB$1,tbl_DCFC[BU_Key],"TOO")</f>
        <v>0</v>
      </c>
    </row>
    <row r="35" spans="2:54" s="437" customFormat="1" x14ac:dyDescent="0.3">
      <c r="B35" s="725" t="s">
        <v>827</v>
      </c>
      <c r="C35" s="637">
        <f>SUMIFS(tbl_DCFC[F Montant HT],tbl_DCFC[Revenue_Month],C$21,tbl_DCFC[BU_Key],"SER")</f>
        <v>6606</v>
      </c>
      <c r="D35" s="637">
        <f>SUMIFS(tbl_DCFC[F Montant HT],tbl_DCFC[Revenue_Month],D$21,tbl_DCFC[BU_Key],"SER")</f>
        <v>27612</v>
      </c>
      <c r="E35" s="637">
        <f>SUMIFS(tbl_DCFC[F Montant HT],tbl_DCFC[Revenue_Month],E$21,tbl_DCFC[BU_Key],"SER")</f>
        <v>40313.5</v>
      </c>
      <c r="F35" s="637">
        <f>SUMIFS(tbl_DCFC[F Montant HT],tbl_DCFC[Revenue_Month],F$21,tbl_DCFC[BU_Key],"SER")</f>
        <v>15508</v>
      </c>
      <c r="G35" s="637">
        <f>SUMIFS(tbl_DCFC[F Montant HT],tbl_DCFC[Revenue_Month],G$21,tbl_DCFC[BU_Key],"SER")</f>
        <v>0</v>
      </c>
      <c r="H35" s="637">
        <f>SUMIFS(tbl_DCFC[F Montant HT],tbl_DCFC[Revenue_Month],H$21,tbl_DCFC[BU_Key],"SER")</f>
        <v>0</v>
      </c>
      <c r="I35" s="637">
        <f>SUMIFS(tbl_DCFC[F Montant HT],tbl_DCFC[Revenue_Month],I$21,tbl_DCFC[BU_Key],"SER")</f>
        <v>0</v>
      </c>
      <c r="J35" s="637">
        <f>SUMIFS(tbl_DCFC[F Montant HT],tbl_DCFC[Revenue_Month],J$21,tbl_DCFC[BU_Key],"SER")</f>
        <v>0</v>
      </c>
      <c r="K35" s="637">
        <f>SUMIFS(tbl_DCFC[F Montant HT],tbl_DCFC[Revenue_Month],K$21,tbl_DCFC[BU_Key],"SER")</f>
        <v>0</v>
      </c>
      <c r="L35" s="637">
        <f>SUMIFS(tbl_DCFC[F Montant HT],tbl_DCFC[Revenue_Month],L$21,tbl_DCFC[BU_Key],"SER")</f>
        <v>0</v>
      </c>
      <c r="M35" s="637">
        <f>SUMIFS(tbl_DCFC[F Montant HT],tbl_DCFC[Revenue_Month],M$21,tbl_DCFC[BU_Key],"SER")</f>
        <v>0</v>
      </c>
      <c r="N35" s="637">
        <f>SUMIFS(tbl_DCFC[F Montant HT],tbl_DCFC[Revenue_Month],N$21,tbl_DCFC[BU_Key],"SER")</f>
        <v>0</v>
      </c>
      <c r="O35" s="637"/>
      <c r="P35" s="637"/>
      <c r="Q35" s="637"/>
      <c r="R35" s="637"/>
      <c r="S35" s="637"/>
      <c r="T35" s="637"/>
      <c r="U35" s="637"/>
      <c r="V35" s="637"/>
      <c r="W35" s="637"/>
      <c r="X35" s="637"/>
      <c r="Y35" s="637"/>
      <c r="Z35" s="637"/>
      <c r="AA35" s="637"/>
      <c r="AB35" s="637"/>
      <c r="AC35" s="637"/>
      <c r="AD35" s="637"/>
      <c r="AE35" s="637"/>
      <c r="AF35" s="637"/>
      <c r="AG35" s="637"/>
      <c r="AH35" s="637"/>
      <c r="AI35" s="637"/>
      <c r="AJ35" s="637"/>
      <c r="AK35" s="637"/>
      <c r="AL35" s="637"/>
      <c r="AM35" s="637"/>
      <c r="AN35" s="637"/>
      <c r="AO35" s="637"/>
      <c r="AP35" s="637"/>
      <c r="AQ35" s="637"/>
      <c r="AR35" s="637"/>
      <c r="AS35" s="637"/>
      <c r="AT35" s="637">
        <f>SUMIFS(tbl_DCFC[F Montant HT],tbl_DCFC[CW REV],AT$1,tbl_DCFC[BU_Key],"SER")</f>
        <v>0</v>
      </c>
      <c r="AU35" s="637">
        <f>SUMIFS(tbl_DCFC[F Montant HT],tbl_DCFC[CW REV],AU$1,tbl_DCFC[BU_Key],"SER")</f>
        <v>0</v>
      </c>
      <c r="AV35" s="637">
        <f>SUMIFS(tbl_DCFC[F Montant HT],tbl_DCFC[CW REV],AV$1,tbl_DCFC[BU_Key],"SER")</f>
        <v>0</v>
      </c>
      <c r="AW35" s="637">
        <f>SUMIFS(tbl_DCFC[F Montant HT],tbl_DCFC[CW REV],AW$1,tbl_DCFC[BU_Key],"SER")</f>
        <v>0</v>
      </c>
      <c r="AX35" s="637">
        <f>SUMIFS(tbl_DCFC[F Montant HT],tbl_DCFC[CW REV],AX$1,tbl_DCFC[BU_Key],"SER")</f>
        <v>0</v>
      </c>
      <c r="AY35" s="637">
        <f>SUMIFS(tbl_DCFC[F Montant HT],tbl_DCFC[CW REV],AY$1,tbl_DCFC[BU_Key],"SER")</f>
        <v>0</v>
      </c>
      <c r="AZ35" s="637">
        <f>SUMIFS(tbl_DCFC[F Montant HT],tbl_DCFC[CW REV],AZ$1,tbl_DCFC[BU_Key],"SER")</f>
        <v>0</v>
      </c>
      <c r="BA35" s="637">
        <f>SUMIFS(tbl_DCFC[F Montant HT],tbl_DCFC[CW REV],BA$1,tbl_DCFC[BU_Key],"SER")</f>
        <v>0</v>
      </c>
      <c r="BB35" s="637">
        <f>SUMIFS(tbl_DCFC[F Montant HT],tbl_DCFC[CW REV],BB$1,tbl_DCFC[BU_Key],"SER")</f>
        <v>0</v>
      </c>
    </row>
    <row r="36" spans="2:54" s="437" customFormat="1" x14ac:dyDescent="0.3">
      <c r="B36" s="725" t="s">
        <v>786</v>
      </c>
      <c r="C36" s="400">
        <f>SUMIFS(tbl_DCFC[F Montant HT],tbl_DCFC[Revenue_Month],C$21,tbl_DCFC[BU_Key],"INT")</f>
        <v>0</v>
      </c>
      <c r="D36" s="400">
        <f>SUMIFS(tbl_DCFC[F Montant HT],tbl_DCFC[Revenue_Month],D$21,tbl_DCFC[BU_Key],"INT")</f>
        <v>0</v>
      </c>
      <c r="E36" s="400">
        <f>SUMIFS(tbl_DCFC[F Montant HT],tbl_DCFC[Revenue_Month],E$21,tbl_DCFC[BU_Key],"INT")</f>
        <v>0</v>
      </c>
      <c r="F36" s="400">
        <f>SUMIFS(tbl_DCFC[F Montant HT],tbl_DCFC[Revenue_Month],F$21,tbl_DCFC[BU_Key],"INT")</f>
        <v>0</v>
      </c>
      <c r="G36" s="400">
        <f>SUMIFS(tbl_DCFC[F Montant HT],tbl_DCFC[Revenue_Month],G$21,tbl_DCFC[BU_Key],"INT")</f>
        <v>0</v>
      </c>
      <c r="H36" s="400">
        <f>SUMIFS(tbl_DCFC[F Montant HT],tbl_DCFC[Revenue_Month],H$21,tbl_DCFC[BU_Key],"INT")</f>
        <v>0</v>
      </c>
      <c r="I36" s="400">
        <f>SUMIFS(tbl_DCFC[F Montant HT],tbl_DCFC[Revenue_Month],I$21,tbl_DCFC[BU_Key],"INT")</f>
        <v>0</v>
      </c>
      <c r="J36" s="400">
        <f>SUMIFS(tbl_DCFC[F Montant HT],tbl_DCFC[Revenue_Month],J$21,tbl_DCFC[BU_Key],"INT")</f>
        <v>0</v>
      </c>
      <c r="K36" s="400">
        <f>SUMIFS(tbl_DCFC[F Montant HT],tbl_DCFC[Revenue_Month],K$21,tbl_DCFC[BU_Key],"INT")</f>
        <v>0</v>
      </c>
      <c r="L36" s="400">
        <f>SUMIFS(tbl_DCFC[F Montant HT],tbl_DCFC[Revenue_Month],L$21,tbl_DCFC[BU_Key],"INT")</f>
        <v>0</v>
      </c>
      <c r="M36" s="400">
        <f>SUMIFS(tbl_DCFC[F Montant HT],tbl_DCFC[Revenue_Month],M$21,tbl_DCFC[BU_Key],"INT")</f>
        <v>0</v>
      </c>
      <c r="N36" s="400">
        <f>SUMIFS(tbl_DCFC[F Montant HT],tbl_DCFC[Revenue_Month],N$21,tbl_DCFC[BU_Key],"INT")</f>
        <v>0</v>
      </c>
      <c r="O36" s="400"/>
      <c r="P36" s="400"/>
      <c r="Q36" s="400"/>
      <c r="R36" s="400"/>
      <c r="S36" s="400"/>
      <c r="T36" s="400"/>
      <c r="U36" s="400"/>
      <c r="V36" s="400"/>
      <c r="W36" s="400"/>
      <c r="X36" s="400"/>
      <c r="Y36" s="400"/>
      <c r="Z36" s="400"/>
      <c r="AA36" s="400"/>
      <c r="AB36" s="400"/>
      <c r="AC36" s="400"/>
      <c r="AD36" s="400"/>
      <c r="AE36" s="400"/>
      <c r="AF36" s="400"/>
      <c r="AG36" s="400"/>
      <c r="AH36" s="400"/>
      <c r="AI36" s="400"/>
      <c r="AJ36" s="400"/>
      <c r="AK36" s="400"/>
      <c r="AL36" s="400"/>
      <c r="AM36" s="400"/>
      <c r="AN36" s="400"/>
      <c r="AO36" s="400"/>
      <c r="AP36" s="400"/>
      <c r="AQ36" s="400"/>
      <c r="AR36" s="400"/>
      <c r="AS36" s="400"/>
      <c r="AT36" s="400">
        <f>SUMIFS(tbl_DCFC[F Montant HT],tbl_DCFC[CW REV],AT$1,tbl_DCFC[BU_Key],"INT")</f>
        <v>0</v>
      </c>
      <c r="AU36" s="400">
        <f>SUMIFS(tbl_DCFC[F Montant HT],tbl_DCFC[CW REV],AU$1,tbl_DCFC[BU_Key],"INT")</f>
        <v>0</v>
      </c>
      <c r="AV36" s="400">
        <f>SUMIFS(tbl_DCFC[F Montant HT],tbl_DCFC[CW REV],AV$1,tbl_DCFC[BU_Key],"INT")</f>
        <v>0</v>
      </c>
      <c r="AW36" s="400">
        <f>SUMIFS(tbl_DCFC[F Montant HT],tbl_DCFC[CW REV],AW$1,tbl_DCFC[BU_Key],"INT")</f>
        <v>0</v>
      </c>
      <c r="AX36" s="400">
        <f>SUMIFS(tbl_DCFC[F Montant HT],tbl_DCFC[CW REV],AX$1,tbl_DCFC[BU_Key],"INT")</f>
        <v>0</v>
      </c>
      <c r="AY36" s="400">
        <f>SUMIFS(tbl_DCFC[F Montant HT],tbl_DCFC[CW REV],AY$1,tbl_DCFC[BU_Key],"INT")</f>
        <v>0</v>
      </c>
      <c r="AZ36" s="400">
        <f>SUMIFS(tbl_DCFC[F Montant HT],tbl_DCFC[CW REV],AZ$1,tbl_DCFC[BU_Key],"INT")</f>
        <v>0</v>
      </c>
      <c r="BA36" s="400">
        <f>SUMIFS(tbl_DCFC[F Montant HT],tbl_DCFC[CW REV],BA$1,tbl_DCFC[BU_Key],"INT")</f>
        <v>0</v>
      </c>
      <c r="BB36" s="400">
        <f>SUMIFS(tbl_DCFC[F Montant HT],tbl_DCFC[CW REV],BB$1,tbl_DCFC[BU_Key],"INT")</f>
        <v>0</v>
      </c>
    </row>
    <row r="37" spans="2:54" s="437" customFormat="1" x14ac:dyDescent="0.3">
      <c r="B37" s="725" t="s">
        <v>828</v>
      </c>
      <c r="C37" s="439">
        <f>C33</f>
        <v>0</v>
      </c>
      <c r="D37" s="439">
        <f t="shared" ref="D37:N37" si="35">C37+D33</f>
        <v>0</v>
      </c>
      <c r="E37" s="439">
        <f t="shared" si="35"/>
        <v>8579</v>
      </c>
      <c r="F37" s="439">
        <f t="shared" si="35"/>
        <v>8579</v>
      </c>
      <c r="G37" s="439">
        <f t="shared" si="35"/>
        <v>8579</v>
      </c>
      <c r="H37" s="439">
        <f t="shared" si="35"/>
        <v>8579</v>
      </c>
      <c r="I37" s="439">
        <f t="shared" si="35"/>
        <v>8579</v>
      </c>
      <c r="J37" s="439">
        <f t="shared" si="35"/>
        <v>8579</v>
      </c>
      <c r="K37" s="439">
        <f t="shared" si="35"/>
        <v>8579</v>
      </c>
      <c r="L37" s="439">
        <f t="shared" si="35"/>
        <v>8579</v>
      </c>
      <c r="M37" s="439">
        <f t="shared" si="35"/>
        <v>8579</v>
      </c>
      <c r="N37" s="439">
        <f t="shared" si="35"/>
        <v>8579</v>
      </c>
      <c r="O37" s="439"/>
      <c r="P37" s="439"/>
      <c r="Q37" s="439"/>
      <c r="R37" s="439"/>
      <c r="S37" s="439"/>
      <c r="T37" s="439"/>
      <c r="U37" s="439"/>
      <c r="V37" s="439"/>
      <c r="W37" s="439"/>
      <c r="X37" s="439"/>
      <c r="Y37" s="439"/>
      <c r="Z37" s="439"/>
      <c r="AA37" s="439"/>
      <c r="AB37" s="439"/>
      <c r="AC37" s="439"/>
      <c r="AD37" s="439"/>
      <c r="AE37" s="439"/>
      <c r="AF37" s="439"/>
      <c r="AG37" s="439"/>
      <c r="AH37" s="439"/>
      <c r="AI37" s="439"/>
      <c r="AJ37" s="439"/>
      <c r="AK37" s="439"/>
      <c r="AL37" s="439"/>
      <c r="AM37" s="439"/>
      <c r="AN37" s="439"/>
      <c r="AO37" s="439"/>
      <c r="AP37" s="439"/>
      <c r="AQ37" s="439"/>
      <c r="AR37" s="439"/>
      <c r="AS37" s="439"/>
      <c r="AT37" s="439">
        <f t="shared" ref="AT37:BB37" si="36">AS37+AT33</f>
        <v>0</v>
      </c>
      <c r="AU37" s="439">
        <f t="shared" si="36"/>
        <v>0</v>
      </c>
      <c r="AV37" s="439">
        <f t="shared" si="36"/>
        <v>0</v>
      </c>
      <c r="AW37" s="439">
        <f t="shared" si="36"/>
        <v>0</v>
      </c>
      <c r="AX37" s="439">
        <f t="shared" si="36"/>
        <v>0</v>
      </c>
      <c r="AY37" s="439">
        <f t="shared" si="36"/>
        <v>0</v>
      </c>
      <c r="AZ37" s="439">
        <f t="shared" si="36"/>
        <v>0</v>
      </c>
      <c r="BA37" s="439">
        <f t="shared" si="36"/>
        <v>0</v>
      </c>
      <c r="BB37" s="439">
        <f t="shared" si="36"/>
        <v>0</v>
      </c>
    </row>
    <row r="38" spans="2:54" s="437" customFormat="1" x14ac:dyDescent="0.3">
      <c r="B38" s="725" t="s">
        <v>829</v>
      </c>
      <c r="C38" s="439">
        <f t="shared" ref="C38:C39" si="37">C34</f>
        <v>2750</v>
      </c>
      <c r="D38" s="439">
        <f t="shared" ref="D38:N38" si="38">C38+D34</f>
        <v>10411</v>
      </c>
      <c r="E38" s="439">
        <f t="shared" si="38"/>
        <v>10411</v>
      </c>
      <c r="F38" s="439">
        <f t="shared" si="38"/>
        <v>10597</v>
      </c>
      <c r="G38" s="439">
        <f t="shared" si="38"/>
        <v>10597</v>
      </c>
      <c r="H38" s="439">
        <f t="shared" si="38"/>
        <v>10597</v>
      </c>
      <c r="I38" s="439">
        <f t="shared" si="38"/>
        <v>10597</v>
      </c>
      <c r="J38" s="439">
        <f t="shared" si="38"/>
        <v>10597</v>
      </c>
      <c r="K38" s="439">
        <f t="shared" si="38"/>
        <v>10597</v>
      </c>
      <c r="L38" s="439">
        <f t="shared" si="38"/>
        <v>10597</v>
      </c>
      <c r="M38" s="439">
        <f t="shared" si="38"/>
        <v>10597</v>
      </c>
      <c r="N38" s="439">
        <f t="shared" si="38"/>
        <v>10597</v>
      </c>
      <c r="O38" s="439"/>
      <c r="P38" s="439"/>
      <c r="Q38" s="439"/>
      <c r="R38" s="439"/>
      <c r="S38" s="439"/>
      <c r="T38" s="439"/>
      <c r="U38" s="439"/>
      <c r="V38" s="439"/>
      <c r="W38" s="439"/>
      <c r="X38" s="439"/>
      <c r="Y38" s="439"/>
      <c r="Z38" s="439"/>
      <c r="AA38" s="439"/>
      <c r="AB38" s="439"/>
      <c r="AC38" s="439"/>
      <c r="AD38" s="439"/>
      <c r="AE38" s="439"/>
      <c r="AF38" s="439"/>
      <c r="AG38" s="439"/>
      <c r="AH38" s="439"/>
      <c r="AI38" s="439"/>
      <c r="AJ38" s="439"/>
      <c r="AK38" s="439"/>
      <c r="AL38" s="439"/>
      <c r="AM38" s="439"/>
      <c r="AN38" s="439"/>
      <c r="AO38" s="439"/>
      <c r="AP38" s="439"/>
      <c r="AQ38" s="439"/>
      <c r="AR38" s="439"/>
      <c r="AS38" s="439"/>
      <c r="AT38" s="439">
        <f t="shared" ref="AT38:BB38" si="39">AS38+AT34</f>
        <v>0</v>
      </c>
      <c r="AU38" s="439">
        <f t="shared" si="39"/>
        <v>0</v>
      </c>
      <c r="AV38" s="439">
        <f t="shared" si="39"/>
        <v>0</v>
      </c>
      <c r="AW38" s="439">
        <f t="shared" si="39"/>
        <v>0</v>
      </c>
      <c r="AX38" s="439">
        <f t="shared" si="39"/>
        <v>0</v>
      </c>
      <c r="AY38" s="439">
        <f t="shared" si="39"/>
        <v>0</v>
      </c>
      <c r="AZ38" s="439">
        <f t="shared" si="39"/>
        <v>0</v>
      </c>
      <c r="BA38" s="439">
        <f t="shared" si="39"/>
        <v>0</v>
      </c>
      <c r="BB38" s="439">
        <f t="shared" si="39"/>
        <v>0</v>
      </c>
    </row>
    <row r="39" spans="2:54" s="437" customFormat="1" x14ac:dyDescent="0.3">
      <c r="B39" s="725" t="s">
        <v>830</v>
      </c>
      <c r="C39" s="439">
        <f t="shared" si="37"/>
        <v>6606</v>
      </c>
      <c r="D39" s="439">
        <f t="shared" ref="D39:N39" si="40">C39+D35</f>
        <v>34218</v>
      </c>
      <c r="E39" s="439">
        <f t="shared" si="40"/>
        <v>74531.5</v>
      </c>
      <c r="F39" s="439">
        <f t="shared" si="40"/>
        <v>90039.5</v>
      </c>
      <c r="G39" s="439">
        <f t="shared" si="40"/>
        <v>90039.5</v>
      </c>
      <c r="H39" s="439">
        <f t="shared" si="40"/>
        <v>90039.5</v>
      </c>
      <c r="I39" s="439">
        <f t="shared" si="40"/>
        <v>90039.5</v>
      </c>
      <c r="J39" s="439">
        <f t="shared" si="40"/>
        <v>90039.5</v>
      </c>
      <c r="K39" s="439">
        <f t="shared" si="40"/>
        <v>90039.5</v>
      </c>
      <c r="L39" s="439">
        <f t="shared" si="40"/>
        <v>90039.5</v>
      </c>
      <c r="M39" s="439">
        <f t="shared" si="40"/>
        <v>90039.5</v>
      </c>
      <c r="N39" s="439">
        <f t="shared" si="40"/>
        <v>90039.5</v>
      </c>
      <c r="O39" s="439"/>
      <c r="P39" s="439"/>
      <c r="Q39" s="439"/>
      <c r="R39" s="439"/>
      <c r="S39" s="439"/>
      <c r="T39" s="439"/>
      <c r="U39" s="439"/>
      <c r="V39" s="439"/>
      <c r="W39" s="439"/>
      <c r="X39" s="439"/>
      <c r="Y39" s="439"/>
      <c r="Z39" s="439"/>
      <c r="AA39" s="439"/>
      <c r="AB39" s="439"/>
      <c r="AC39" s="439"/>
      <c r="AD39" s="439"/>
      <c r="AE39" s="439"/>
      <c r="AF39" s="439"/>
      <c r="AG39" s="439"/>
      <c r="AH39" s="439"/>
      <c r="AI39" s="439"/>
      <c r="AJ39" s="439"/>
      <c r="AK39" s="439"/>
      <c r="AL39" s="439"/>
      <c r="AM39" s="439"/>
      <c r="AN39" s="439"/>
      <c r="AO39" s="439"/>
      <c r="AP39" s="439"/>
      <c r="AQ39" s="439"/>
      <c r="AR39" s="439"/>
      <c r="AS39" s="439"/>
      <c r="AT39" s="439">
        <f t="shared" ref="AT39:BB39" si="41">AS39+AT35</f>
        <v>0</v>
      </c>
      <c r="AU39" s="439">
        <f t="shared" si="41"/>
        <v>0</v>
      </c>
      <c r="AV39" s="439">
        <f t="shared" si="41"/>
        <v>0</v>
      </c>
      <c r="AW39" s="439">
        <f t="shared" si="41"/>
        <v>0</v>
      </c>
      <c r="AX39" s="439">
        <f t="shared" si="41"/>
        <v>0</v>
      </c>
      <c r="AY39" s="439">
        <f t="shared" si="41"/>
        <v>0</v>
      </c>
      <c r="AZ39" s="439">
        <f t="shared" si="41"/>
        <v>0</v>
      </c>
      <c r="BA39" s="439">
        <f t="shared" si="41"/>
        <v>0</v>
      </c>
      <c r="BB39" s="439">
        <f t="shared" si="41"/>
        <v>0</v>
      </c>
    </row>
    <row r="40" spans="2:54" s="437" customFormat="1" x14ac:dyDescent="0.3">
      <c r="B40" s="725" t="s">
        <v>832</v>
      </c>
      <c r="C40" s="439">
        <f>C36</f>
        <v>0</v>
      </c>
      <c r="D40" s="439">
        <f>C40+D36</f>
        <v>0</v>
      </c>
      <c r="E40" s="439">
        <f t="shared" ref="E40:BB40" si="42">D40+E36</f>
        <v>0</v>
      </c>
      <c r="F40" s="439">
        <f t="shared" si="42"/>
        <v>0</v>
      </c>
      <c r="G40" s="439">
        <f t="shared" si="42"/>
        <v>0</v>
      </c>
      <c r="H40" s="439">
        <f t="shared" si="42"/>
        <v>0</v>
      </c>
      <c r="I40" s="439">
        <f t="shared" si="42"/>
        <v>0</v>
      </c>
      <c r="J40" s="439">
        <f t="shared" si="42"/>
        <v>0</v>
      </c>
      <c r="K40" s="439">
        <f t="shared" si="42"/>
        <v>0</v>
      </c>
      <c r="L40" s="439">
        <f t="shared" si="42"/>
        <v>0</v>
      </c>
      <c r="M40" s="439">
        <f t="shared" si="42"/>
        <v>0</v>
      </c>
      <c r="N40" s="439">
        <f t="shared" si="42"/>
        <v>0</v>
      </c>
      <c r="O40" s="439"/>
      <c r="P40" s="439"/>
      <c r="Q40" s="439"/>
      <c r="R40" s="439"/>
      <c r="S40" s="439"/>
      <c r="T40" s="439"/>
      <c r="U40" s="439"/>
      <c r="V40" s="439"/>
      <c r="W40" s="439"/>
      <c r="X40" s="439"/>
      <c r="Y40" s="439"/>
      <c r="Z40" s="439"/>
      <c r="AA40" s="439"/>
      <c r="AB40" s="439"/>
      <c r="AC40" s="439"/>
      <c r="AD40" s="439"/>
      <c r="AE40" s="439"/>
      <c r="AF40" s="439"/>
      <c r="AG40" s="439"/>
      <c r="AH40" s="439"/>
      <c r="AI40" s="439"/>
      <c r="AJ40" s="439"/>
      <c r="AK40" s="439"/>
      <c r="AL40" s="439"/>
      <c r="AM40" s="439"/>
      <c r="AN40" s="439"/>
      <c r="AO40" s="439"/>
      <c r="AP40" s="439"/>
      <c r="AQ40" s="439"/>
      <c r="AR40" s="439"/>
      <c r="AS40" s="439"/>
      <c r="AT40" s="439">
        <f t="shared" si="42"/>
        <v>0</v>
      </c>
      <c r="AU40" s="439">
        <f t="shared" si="42"/>
        <v>0</v>
      </c>
      <c r="AV40" s="439">
        <f t="shared" si="42"/>
        <v>0</v>
      </c>
      <c r="AW40" s="439">
        <f t="shared" si="42"/>
        <v>0</v>
      </c>
      <c r="AX40" s="439">
        <f t="shared" si="42"/>
        <v>0</v>
      </c>
      <c r="AY40" s="439">
        <f t="shared" si="42"/>
        <v>0</v>
      </c>
      <c r="AZ40" s="439">
        <f t="shared" si="42"/>
        <v>0</v>
      </c>
      <c r="BA40" s="439">
        <f t="shared" si="42"/>
        <v>0</v>
      </c>
      <c r="BB40" s="439">
        <f t="shared" si="42"/>
        <v>0</v>
      </c>
    </row>
    <row r="41" spans="2:54" s="437" customFormat="1" x14ac:dyDescent="0.3">
      <c r="B41"/>
      <c r="C41" s="439"/>
      <c r="D41" s="439"/>
      <c r="E41" s="439"/>
      <c r="F41" s="439"/>
      <c r="G41" s="439"/>
      <c r="H41" s="439"/>
      <c r="I41" s="439"/>
      <c r="J41" s="439"/>
      <c r="K41" s="439"/>
      <c r="L41" s="439"/>
      <c r="M41" s="439"/>
      <c r="N41" s="439"/>
      <c r="O41" s="439"/>
      <c r="P41" s="439"/>
      <c r="Q41" s="439"/>
      <c r="R41" s="439"/>
      <c r="S41" s="439"/>
      <c r="T41" s="439"/>
      <c r="U41" s="439"/>
      <c r="V41" s="439"/>
      <c r="W41" s="439"/>
      <c r="X41" s="439"/>
      <c r="Y41" s="439"/>
      <c r="Z41" s="439"/>
      <c r="AA41" s="439"/>
      <c r="AB41" s="439"/>
      <c r="AC41" s="439"/>
      <c r="AD41" s="439"/>
      <c r="AE41" s="439"/>
      <c r="AF41" s="439"/>
      <c r="AG41" s="439"/>
      <c r="AH41" s="439"/>
      <c r="AI41" s="439"/>
      <c r="AJ41" s="439"/>
      <c r="AK41" s="439"/>
      <c r="AL41" s="439"/>
      <c r="AM41" s="439"/>
      <c r="AN41" s="439"/>
      <c r="AO41" s="439"/>
      <c r="AP41" s="439"/>
      <c r="AQ41" s="439"/>
      <c r="AR41" s="439"/>
      <c r="AS41" s="439"/>
      <c r="AT41" s="439"/>
      <c r="AU41" s="439"/>
      <c r="AV41" s="439"/>
      <c r="AW41" s="439"/>
      <c r="AX41" s="439"/>
      <c r="AY41" s="439"/>
      <c r="AZ41" s="439"/>
      <c r="BA41" s="439"/>
      <c r="BB41" s="439"/>
    </row>
    <row r="42" spans="2:54" s="437" customFormat="1" x14ac:dyDescent="0.3">
      <c r="B42"/>
      <c r="C42" s="439"/>
      <c r="D42" s="439"/>
      <c r="E42" s="439"/>
      <c r="F42" s="439"/>
      <c r="G42" s="439"/>
      <c r="H42" s="439"/>
      <c r="I42" s="439"/>
      <c r="J42" s="439"/>
      <c r="K42" s="439"/>
      <c r="L42" s="439"/>
      <c r="M42" s="439"/>
      <c r="N42" s="439"/>
      <c r="O42" s="439"/>
      <c r="P42" s="439"/>
      <c r="Q42" s="439"/>
      <c r="R42" s="439"/>
      <c r="S42" s="439"/>
      <c r="T42" s="439"/>
      <c r="U42" s="439"/>
      <c r="V42" s="439"/>
      <c r="W42" s="439"/>
      <c r="X42" s="439"/>
      <c r="Y42" s="439"/>
      <c r="Z42" s="439"/>
      <c r="AA42" s="439"/>
      <c r="AB42" s="439"/>
      <c r="AC42" s="439"/>
      <c r="AD42" s="439"/>
      <c r="AE42" s="439"/>
      <c r="AF42" s="439"/>
      <c r="AG42" s="439"/>
      <c r="AH42" s="439"/>
      <c r="AI42" s="439"/>
      <c r="AJ42" s="439"/>
      <c r="AK42" s="439"/>
      <c r="AL42" s="439"/>
      <c r="AM42" s="439"/>
      <c r="AN42" s="439"/>
      <c r="AO42" s="439"/>
      <c r="AP42" s="439"/>
      <c r="AQ42" s="439"/>
      <c r="AR42" s="439"/>
      <c r="AS42" s="439"/>
      <c r="AT42" s="439"/>
      <c r="AU42" s="439"/>
      <c r="AV42" s="439"/>
      <c r="AW42" s="439"/>
      <c r="AX42" s="439"/>
      <c r="AY42" s="439"/>
      <c r="AZ42" s="439"/>
      <c r="BA42" s="439"/>
      <c r="BB42" s="439"/>
    </row>
    <row r="43" spans="2:54" s="437" customFormat="1" x14ac:dyDescent="0.3">
      <c r="B43"/>
      <c r="C43" s="439"/>
      <c r="D43" s="439"/>
      <c r="E43" s="439"/>
      <c r="F43" s="439"/>
      <c r="G43" s="439"/>
      <c r="H43" s="439"/>
      <c r="I43" s="439"/>
      <c r="J43" s="439"/>
      <c r="K43" s="439"/>
      <c r="L43" s="439"/>
      <c r="M43" s="439"/>
      <c r="N43" s="439"/>
      <c r="O43" s="439"/>
      <c r="P43" s="439"/>
      <c r="Q43" s="439"/>
      <c r="R43" s="439"/>
      <c r="S43" s="439"/>
      <c r="T43" s="439"/>
      <c r="U43" s="439"/>
      <c r="V43" s="439"/>
      <c r="W43" s="439"/>
      <c r="X43" s="439"/>
      <c r="Y43" s="439"/>
      <c r="Z43" s="439"/>
      <c r="AA43" s="439"/>
      <c r="AB43" s="439"/>
      <c r="AC43" s="439"/>
      <c r="AD43" s="439"/>
      <c r="AE43" s="439"/>
      <c r="AF43" s="439"/>
      <c r="AG43" s="439"/>
      <c r="AH43" s="439"/>
      <c r="AI43" s="439"/>
      <c r="AJ43" s="439"/>
      <c r="AK43" s="439"/>
      <c r="AL43" s="439"/>
      <c r="AM43" s="439"/>
      <c r="AN43" s="439"/>
      <c r="AO43" s="439"/>
      <c r="AP43" s="439"/>
      <c r="AQ43" s="439"/>
      <c r="AR43" s="439"/>
      <c r="AS43" s="439"/>
      <c r="AT43" s="439"/>
      <c r="AU43" s="439"/>
      <c r="AV43" s="439"/>
      <c r="AW43" s="439"/>
      <c r="AX43" s="439"/>
      <c r="AY43" s="439"/>
      <c r="AZ43" s="439"/>
      <c r="BA43" s="439"/>
      <c r="BB43" s="439"/>
    </row>
    <row r="44" spans="2:54" s="437" customFormat="1" x14ac:dyDescent="0.3">
      <c r="B44" s="725"/>
      <c r="C44" s="439"/>
      <c r="D44" s="439"/>
      <c r="E44" s="439"/>
      <c r="F44" s="439"/>
      <c r="G44" s="439"/>
      <c r="H44" s="439"/>
      <c r="I44" s="439"/>
      <c r="J44" s="439"/>
      <c r="K44" s="439"/>
      <c r="L44" s="439"/>
      <c r="M44" s="439"/>
      <c r="N44" s="439"/>
      <c r="O44" s="439"/>
      <c r="P44" s="439"/>
      <c r="Q44" s="439"/>
      <c r="R44" s="439"/>
      <c r="S44" s="439"/>
      <c r="T44" s="439"/>
      <c r="U44" s="439"/>
      <c r="V44" s="439"/>
      <c r="W44" s="439"/>
      <c r="X44" s="439"/>
      <c r="Y44" s="439"/>
      <c r="Z44" s="439"/>
      <c r="AA44" s="439"/>
      <c r="AB44" s="439"/>
      <c r="AC44" s="439"/>
      <c r="AD44" s="439"/>
      <c r="AE44" s="439"/>
      <c r="AF44" s="439"/>
      <c r="AG44" s="439"/>
      <c r="AH44" s="439"/>
      <c r="AI44" s="439"/>
      <c r="AJ44" s="439"/>
      <c r="AK44" s="439"/>
      <c r="AL44" s="439"/>
      <c r="AM44" s="439"/>
      <c r="AN44" s="439"/>
      <c r="AO44" s="439"/>
      <c r="AP44" s="439"/>
      <c r="AQ44" s="439"/>
      <c r="AR44" s="439"/>
      <c r="AS44" s="439"/>
      <c r="AT44" s="439"/>
      <c r="AU44" s="439"/>
      <c r="AV44" s="439"/>
      <c r="AW44" s="439"/>
      <c r="AX44" s="439"/>
      <c r="AY44" s="439"/>
      <c r="AZ44" s="439"/>
      <c r="BA44" s="439"/>
      <c r="BB44" s="439"/>
    </row>
    <row r="45" spans="2:54" s="437" customFormat="1" x14ac:dyDescent="0.3">
      <c r="C45" s="439"/>
      <c r="D45" s="439"/>
      <c r="E45" s="439"/>
      <c r="F45" s="439"/>
      <c r="G45" s="439"/>
      <c r="H45" s="439"/>
      <c r="I45" s="439"/>
      <c r="J45" s="439"/>
      <c r="K45" s="439"/>
      <c r="L45" s="439"/>
      <c r="M45" s="439"/>
      <c r="N45" s="439"/>
      <c r="O45" s="439"/>
      <c r="P45" s="439"/>
      <c r="Q45" s="439"/>
      <c r="R45" s="439"/>
      <c r="S45" s="439"/>
      <c r="T45" s="439"/>
      <c r="U45" s="439"/>
      <c r="V45" s="439"/>
      <c r="W45" s="439"/>
      <c r="X45" s="439"/>
      <c r="Y45" s="439"/>
      <c r="Z45" s="439"/>
      <c r="AA45" s="439"/>
      <c r="AB45" s="439"/>
      <c r="AC45" s="439"/>
      <c r="AD45" s="439"/>
      <c r="AE45" s="439"/>
      <c r="AF45" s="439"/>
      <c r="AG45" s="439"/>
      <c r="AH45" s="439"/>
      <c r="AI45" s="439"/>
      <c r="AJ45" s="439"/>
      <c r="AK45" s="439"/>
      <c r="AL45" s="439"/>
      <c r="AM45" s="439"/>
      <c r="AN45" s="439"/>
      <c r="AO45" s="439"/>
      <c r="AP45" s="439"/>
      <c r="AQ45" s="439"/>
      <c r="AR45" s="439"/>
      <c r="AS45" s="439"/>
      <c r="AT45" s="439"/>
      <c r="AU45" s="439"/>
      <c r="AV45" s="439"/>
      <c r="AW45" s="439"/>
      <c r="AX45" s="439"/>
      <c r="AY45" s="439"/>
      <c r="AZ45" s="439"/>
      <c r="BA45" s="439"/>
      <c r="BB45" s="439"/>
    </row>
    <row r="46" spans="2:54" x14ac:dyDescent="0.3">
      <c r="B46" s="675" t="s">
        <v>669</v>
      </c>
      <c r="C46" s="637">
        <f>SUMIFS(Data!$AD$3:$AD$348,Data!$Z$3:$Z$348,C$21,Data!$Y$3:$Y$348,"2021",Data!$K$3:$K$348,'Reporting 2021'!$B15)</f>
        <v>0</v>
      </c>
      <c r="D46" s="637">
        <f>SUMIFS(Data!$AD$3:$AD$348,Data!$Z$3:$Z$348,D$21,Data!$Y$3:$Y$348,"2021",Data!$K$3:$K$348,'Reporting 2021'!$B15)</f>
        <v>0</v>
      </c>
      <c r="E46" s="637">
        <f>SUMIFS(Data!$AD$3:$AD$348,Data!$Z$3:$Z$348,E$21,Data!$Y$3:$Y$348,"2021",Data!$K$3:$K$348,'Reporting 2021'!$B15)</f>
        <v>0</v>
      </c>
      <c r="F46" s="637">
        <f>SUMIFS(Data!$AD$3:$AD$348,Data!$Z$3:$Z$348,F$21,Data!$Y$3:$Y$348,"2021",Data!$K$3:$K$348,'Reporting 2021'!$B15)</f>
        <v>0</v>
      </c>
      <c r="G46" s="637">
        <f>SUMIFS(Data!$AD$3:$AD$348,Data!$Z$3:$Z$348,G$21,Data!$Y$3:$Y$348,"2021",Data!$K$3:$K$348,'Reporting 2021'!$B15)</f>
        <v>0</v>
      </c>
      <c r="H46" s="637">
        <f>SUMIFS(Data!$AD$3:$AD$348,Data!$Z$3:$Z$348,H$21,Data!$Y$3:$Y$348,"2021",Data!$K$3:$K$348,'Reporting 2021'!$B15)</f>
        <v>0</v>
      </c>
      <c r="I46" s="637">
        <f>SUMIFS(Data!$AD$3:$AD$348,Data!$Z$3:$Z$348,I$21,Data!$Y$3:$Y$348,"2021",Data!$K$3:$K$348,'Reporting 2021'!$B15)</f>
        <v>0</v>
      </c>
      <c r="J46" s="637">
        <f>SUMIFS(Data!$AD$3:$AD$348,Data!$Z$3:$Z$348,J$21,Data!$Y$3:$Y$348,"2021",Data!$K$3:$K$348,'Reporting 2021'!$B15)</f>
        <v>0</v>
      </c>
      <c r="K46" s="637">
        <f>SUMIFS(Data!$AD$3:$AD$348,Data!$Z$3:$Z$348,K$21,Data!$Y$3:$Y$348,"2021",Data!$K$3:$K$348,'Reporting 2021'!$B15)</f>
        <v>0</v>
      </c>
      <c r="L46" s="637">
        <f>SUMIFS(Data!$AD$3:$AD$348,Data!$Z$3:$Z$348,L$21,Data!$Y$3:$Y$348,"2021",Data!$K$3:$K$348,'Reporting 2021'!$B15)</f>
        <v>0</v>
      </c>
      <c r="M46" s="637">
        <f>SUMIFS(Data!$AD$3:$AD$348,Data!$Z$3:$Z$348,M$21,Data!$Y$3:$Y$348,"2021",Data!$K$3:$K$348,'Reporting 2021'!$B15)</f>
        <v>0</v>
      </c>
      <c r="N46" s="637">
        <f>SUMIFS(Data!$AD$3:$AD$348,Data!$Z$3:$Z$348,N$21,Data!$Y$3:$Y$348,"2021",Data!$K$3:$K$348,'Reporting 2021'!$B15)</f>
        <v>0</v>
      </c>
    </row>
    <row r="47" spans="2:54" x14ac:dyDescent="0.3">
      <c r="B47" s="675" t="s">
        <v>604</v>
      </c>
      <c r="C47" s="637">
        <f>SUMIFS(Data!$AD$3:$AD$348,Data!$Z$3:$Z$348,C$21,Data!$Y$3:$Y$348,"2021",Data!$K$3:$K$348,'Reporting 2021'!$B16)</f>
        <v>0</v>
      </c>
      <c r="D47" s="637">
        <f>SUMIFS(Data!$AD$3:$AD$348,Data!$Z$3:$Z$348,D$21,Data!$Y$3:$Y$348,"2021",Data!$K$3:$K$348,'Reporting 2021'!$B16)</f>
        <v>0</v>
      </c>
      <c r="E47" s="637">
        <f>SUMIFS(Data!$AD$3:$AD$348,Data!$Z$3:$Z$348,E$21,Data!$Y$3:$Y$348,"2021",Data!$K$3:$K$348,'Reporting 2021'!$B16)</f>
        <v>0</v>
      </c>
      <c r="F47" s="637">
        <f>SUMIFS(Data!$AD$3:$AD$348,Data!$Z$3:$Z$348,F$21,Data!$Y$3:$Y$348,"2021",Data!$K$3:$K$348,'Reporting 2021'!$B16)</f>
        <v>0</v>
      </c>
      <c r="G47" s="637">
        <f>SUMIFS(Data!$AD$3:$AD$348,Data!$Z$3:$Z$348,G$21,Data!$Y$3:$Y$348,"2021",Data!$K$3:$K$348,'Reporting 2021'!$B16)</f>
        <v>0</v>
      </c>
      <c r="H47" s="637">
        <f>SUMIFS(Data!$AD$3:$AD$348,Data!$Z$3:$Z$348,H$21,Data!$Y$3:$Y$348,"2021",Data!$K$3:$K$348,'Reporting 2021'!$B16)</f>
        <v>0</v>
      </c>
      <c r="I47" s="637">
        <f>SUMIFS(Data!$AD$3:$AD$348,Data!$Z$3:$Z$348,I$21,Data!$Y$3:$Y$348,"2021",Data!$K$3:$K$348,'Reporting 2021'!$B16)</f>
        <v>0</v>
      </c>
      <c r="J47" s="637">
        <f>SUMIFS(Data!$AD$3:$AD$348,Data!$Z$3:$Z$348,J$21,Data!$Y$3:$Y$348,"2021",Data!$K$3:$K$348,'Reporting 2021'!$B16)</f>
        <v>0</v>
      </c>
      <c r="K47" s="637">
        <f>SUMIFS(Data!$AD$3:$AD$348,Data!$Z$3:$Z$348,K$21,Data!$Y$3:$Y$348,"2021",Data!$K$3:$K$348,'Reporting 2021'!$B16)</f>
        <v>0</v>
      </c>
      <c r="L47" s="637">
        <f>SUMIFS(Data!$AD$3:$AD$348,Data!$Z$3:$Z$348,L$21,Data!$Y$3:$Y$348,"2021",Data!$K$3:$K$348,'Reporting 2021'!$B16)</f>
        <v>0</v>
      </c>
      <c r="M47" s="637">
        <f>SUMIFS(Data!$AD$3:$AD$348,Data!$Z$3:$Z$348,M$21,Data!$Y$3:$Y$348,"2021",Data!$K$3:$K$348,'Reporting 2021'!$B16)</f>
        <v>0</v>
      </c>
      <c r="N47" s="637">
        <f>SUMIFS(Data!$AD$3:$AD$348,Data!$Z$3:$Z$348,N$21,Data!$Y$3:$Y$348,"2021",Data!$K$3:$K$348,'Reporting 2021'!$B16)</f>
        <v>0</v>
      </c>
    </row>
    <row r="48" spans="2:54" x14ac:dyDescent="0.3">
      <c r="B48" s="675" t="s">
        <v>605</v>
      </c>
      <c r="C48" s="637">
        <f>SUMIFS(Data!$AD$3:$AD$348,Data!$Z$3:$Z$348,C$21,Data!$Y$3:$Y$348,"2021",Data!$K$3:$K$348,'Reporting 2021'!$B17)</f>
        <v>0</v>
      </c>
      <c r="D48" s="637">
        <f>SUMIFS(Data!$AD$3:$AD$348,Data!$Z$3:$Z$348,D$21,Data!$Y$3:$Y$348,"2021",Data!$K$3:$K$348,'Reporting 2021'!$B17)</f>
        <v>0</v>
      </c>
      <c r="E48" s="637">
        <f>SUMIFS(Data!$AD$3:$AD$348,Data!$Z$3:$Z$348,E$21,Data!$Y$3:$Y$348,"2021",Data!$K$3:$K$348,'Reporting 2021'!$B17)</f>
        <v>0</v>
      </c>
      <c r="F48" s="637">
        <f>SUMIFS(Data!$AD$3:$AD$348,Data!$Z$3:$Z$348,F$21,Data!$Y$3:$Y$348,"2021",Data!$K$3:$K$348,'Reporting 2021'!$B17)</f>
        <v>0</v>
      </c>
      <c r="G48" s="637">
        <f>SUMIFS(Data!$AD$3:$AD$348,Data!$Z$3:$Z$348,G$21,Data!$Y$3:$Y$348,"2021",Data!$K$3:$K$348,'Reporting 2021'!$B17)</f>
        <v>0</v>
      </c>
      <c r="H48" s="637">
        <f>SUMIFS(Data!$AD$3:$AD$348,Data!$Z$3:$Z$348,H$21,Data!$Y$3:$Y$348,"2021",Data!$K$3:$K$348,'Reporting 2021'!$B17)</f>
        <v>0</v>
      </c>
      <c r="I48" s="637">
        <f>SUMIFS(Data!$AD$3:$AD$348,Data!$Z$3:$Z$348,I$21,Data!$Y$3:$Y$348,"2021",Data!$K$3:$K$348,'Reporting 2021'!$B17)</f>
        <v>0</v>
      </c>
      <c r="J48" s="637">
        <f>SUMIFS(Data!$AD$3:$AD$348,Data!$Z$3:$Z$348,J$21,Data!$Y$3:$Y$348,"2021",Data!$K$3:$K$348,'Reporting 2021'!$B17)</f>
        <v>0</v>
      </c>
      <c r="K48" s="637">
        <f>SUMIFS(Data!$AD$3:$AD$348,Data!$Z$3:$Z$348,K$21,Data!$Y$3:$Y$348,"2021",Data!$K$3:$K$348,'Reporting 2021'!$B17)</f>
        <v>0</v>
      </c>
      <c r="L48" s="637">
        <f>SUMIFS(Data!$AD$3:$AD$348,Data!$Z$3:$Z$348,L$21,Data!$Y$3:$Y$348,"2021",Data!$K$3:$K$348,'Reporting 2021'!$B17)</f>
        <v>0</v>
      </c>
      <c r="M48" s="637">
        <f>SUMIFS(Data!$AD$3:$AD$348,Data!$Z$3:$Z$348,M$21,Data!$Y$3:$Y$348,"2021",Data!$K$3:$K$348,'Reporting 2021'!$B17)</f>
        <v>0</v>
      </c>
      <c r="N48" s="637">
        <f>SUMIFS(Data!$AD$3:$AD$348,Data!$Z$3:$Z$348,N$21,Data!$Y$3:$Y$348,"2021",Data!$K$3:$K$348,'Reporting 2021'!$B17)</f>
        <v>0</v>
      </c>
    </row>
    <row r="49" spans="2:17" x14ac:dyDescent="0.3">
      <c r="B49" s="675" t="s">
        <v>606</v>
      </c>
      <c r="C49" s="637">
        <f>SUMIFS(Data!$AD$3:$AD$348,Data!$Z$3:$Z$348,C$21,Data!$Y$3:$Y$348,"2021",Data!$K$3:$K$348,'Reporting 2021'!$B18)</f>
        <v>0</v>
      </c>
      <c r="D49" s="637">
        <f>SUMIFS(Data!$AD$3:$AD$348,Data!$Z$3:$Z$348,D$21,Data!$Y$3:$Y$348,"2021",Data!$K$3:$K$348,'Reporting 2021'!$B18)</f>
        <v>0</v>
      </c>
      <c r="E49" s="637">
        <f>SUMIFS(Data!$AD$3:$AD$348,Data!$Z$3:$Z$348,E$21,Data!$Y$3:$Y$348,"2021",Data!$K$3:$K$348,'Reporting 2021'!$B18)</f>
        <v>0</v>
      </c>
      <c r="F49" s="637">
        <f>SUMIFS(Data!$AD$3:$AD$348,Data!$Z$3:$Z$348,F$21,Data!$Y$3:$Y$348,"2021",Data!$K$3:$K$348,'Reporting 2021'!$B18)</f>
        <v>0</v>
      </c>
      <c r="G49" s="637">
        <f>SUMIFS(Data!$AD$3:$AD$348,Data!$Z$3:$Z$348,G$21,Data!$Y$3:$Y$348,"2021",Data!$K$3:$K$348,'Reporting 2021'!$B18)</f>
        <v>0</v>
      </c>
      <c r="H49" s="637">
        <f>SUMIFS(Data!$AD$3:$AD$348,Data!$Z$3:$Z$348,H$21,Data!$Y$3:$Y$348,"2021",Data!$K$3:$K$348,'Reporting 2021'!$B18)</f>
        <v>0</v>
      </c>
      <c r="I49" s="637">
        <f>SUMIFS(Data!$AD$3:$AD$348,Data!$Z$3:$Z$348,I$21,Data!$Y$3:$Y$348,"2021",Data!$K$3:$K$348,'Reporting 2021'!$B18)</f>
        <v>0</v>
      </c>
      <c r="J49" s="637">
        <f>SUMIFS(Data!$AD$3:$AD$348,Data!$Z$3:$Z$348,J$21,Data!$Y$3:$Y$348,"2021",Data!$K$3:$K$348,'Reporting 2021'!$B18)</f>
        <v>0</v>
      </c>
      <c r="K49" s="637">
        <f>SUMIFS(Data!$AD$3:$AD$348,Data!$Z$3:$Z$348,K$21,Data!$Y$3:$Y$348,"2021",Data!$K$3:$K$348,'Reporting 2021'!$B18)</f>
        <v>0</v>
      </c>
      <c r="L49" s="637">
        <f>SUMIFS(Data!$AD$3:$AD$348,Data!$Z$3:$Z$348,L$21,Data!$Y$3:$Y$348,"2021",Data!$K$3:$K$348,'Reporting 2021'!$B18)</f>
        <v>0</v>
      </c>
      <c r="M49" s="637">
        <f>SUMIFS(Data!$AD$3:$AD$348,Data!$Z$3:$Z$348,M$21,Data!$Y$3:$Y$348,"2021",Data!$K$3:$K$348,'Reporting 2021'!$B18)</f>
        <v>0</v>
      </c>
      <c r="N49" s="637">
        <f>SUMIFS(Data!$AD$3:$AD$348,Data!$Z$3:$Z$348,N$21,Data!$Y$3:$Y$348,"2021",Data!$K$3:$K$348,'Reporting 2021'!$B18)</f>
        <v>0</v>
      </c>
    </row>
    <row r="50" spans="2:17" s="437" customFormat="1" x14ac:dyDescent="0.3">
      <c r="B50" s="675" t="s">
        <v>607</v>
      </c>
      <c r="C50" s="637">
        <f>SUMIFS(Data!$AD$3:$AD$348,Data!$Z$3:$Z$348,C$21,Data!$Y$3:$Y$348,"2021",Data!$K$3:$K$348,'Reporting 2021'!$B19)</f>
        <v>0</v>
      </c>
      <c r="D50" s="637">
        <f>SUMIFS(Data!$AD$3:$AD$348,Data!$Z$3:$Z$348,D$21,Data!$Y$3:$Y$348,"2021",Data!$K$3:$K$348,'Reporting 2021'!$B19)</f>
        <v>0</v>
      </c>
      <c r="E50" s="637">
        <f>SUMIFS(Data!$AD$3:$AD$348,Data!$Z$3:$Z$348,E$21,Data!$Y$3:$Y$348,"2021",Data!$K$3:$K$348,'Reporting 2021'!$B19)</f>
        <v>0</v>
      </c>
      <c r="F50" s="637">
        <f>SUMIFS(Data!$AD$3:$AD$348,Data!$Z$3:$Z$348,F$21,Data!$Y$3:$Y$348,"2021",Data!$K$3:$K$348,'Reporting 2021'!$B19)</f>
        <v>0</v>
      </c>
      <c r="G50" s="637">
        <f>SUMIFS(Data!$AD$3:$AD$348,Data!$Z$3:$Z$348,G$21,Data!$Y$3:$Y$348,"2021",Data!$K$3:$K$348,'Reporting 2021'!$B19)</f>
        <v>0</v>
      </c>
      <c r="H50" s="637">
        <f>SUMIFS(Data!$AD$3:$AD$348,Data!$Z$3:$Z$348,H$21,Data!$Y$3:$Y$348,"2021",Data!$K$3:$K$348,'Reporting 2021'!$B19)</f>
        <v>0</v>
      </c>
      <c r="I50" s="637">
        <f>SUMIFS(Data!$AD$3:$AD$348,Data!$Z$3:$Z$348,I$21,Data!$Y$3:$Y$348,"2021",Data!$K$3:$K$348,'Reporting 2021'!$B19)</f>
        <v>0</v>
      </c>
      <c r="J50" s="637">
        <f>SUMIFS(Data!$AD$3:$AD$348,Data!$Z$3:$Z$348,J$21,Data!$Y$3:$Y$348,"2021",Data!$K$3:$K$348,'Reporting 2021'!$B19)</f>
        <v>0</v>
      </c>
      <c r="K50" s="637">
        <f>SUMIFS(Data!$AD$3:$AD$348,Data!$Z$3:$Z$348,K$21,Data!$Y$3:$Y$348,"2021",Data!$K$3:$K$348,'Reporting 2021'!$B19)</f>
        <v>0</v>
      </c>
      <c r="L50" s="637">
        <f>SUMIFS(Data!$AD$3:$AD$348,Data!$Z$3:$Z$348,L$21,Data!$Y$3:$Y$348,"2021",Data!$K$3:$K$348,'Reporting 2021'!$B19)</f>
        <v>0</v>
      </c>
      <c r="M50" s="637">
        <f>SUMIFS(Data!$AD$3:$AD$348,Data!$Z$3:$Z$348,M$21,Data!$Y$3:$Y$348,"2021",Data!$K$3:$K$348,'Reporting 2021'!$B19)</f>
        <v>0</v>
      </c>
      <c r="N50" s="637">
        <f>SUMIFS(Data!$AD$3:$AD$348,Data!$Z$3:$Z$348,N$21,Data!$Y$3:$Y$348,"2021",Data!$K$3:$K$348,'Reporting 2021'!$B19)</f>
        <v>0</v>
      </c>
    </row>
    <row r="51" spans="2:17" ht="15" thickBot="1" x14ac:dyDescent="0.35">
      <c r="B51" s="675" t="s">
        <v>608</v>
      </c>
      <c r="C51" s="637">
        <f>SUMIFS(Data!$AD$3:$AD$348,Data!$Z$3:$Z$348,C$21,Data!$Y$3:$Y$348,"2021",Data!$K$3:$K$348,'Reporting 2021'!$B20)</f>
        <v>0</v>
      </c>
      <c r="D51" s="637">
        <f>SUMIFS(Data!$AD$3:$AD$348,Data!$Z$3:$Z$348,D$21,Data!$Y$3:$Y$348,"2021",Data!$K$3:$K$348,'Reporting 2021'!$B20)</f>
        <v>0</v>
      </c>
      <c r="E51" s="637">
        <f>SUMIFS(Data!$AD$3:$AD$348,Data!$Z$3:$Z$348,E$21,Data!$Y$3:$Y$348,"2021",Data!$K$3:$K$348,'Reporting 2021'!$B20)</f>
        <v>0</v>
      </c>
      <c r="F51" s="637">
        <f>SUMIFS(Data!$AD$3:$AD$348,Data!$Z$3:$Z$348,F$21,Data!$Y$3:$Y$348,"2021",Data!$K$3:$K$348,'Reporting 2021'!$B20)</f>
        <v>0</v>
      </c>
      <c r="G51" s="637">
        <f>SUMIFS(Data!$AD$3:$AD$348,Data!$Z$3:$Z$348,G$21,Data!$Y$3:$Y$348,"2021",Data!$K$3:$K$348,'Reporting 2021'!$B20)</f>
        <v>0</v>
      </c>
      <c r="H51" s="637">
        <f>SUMIFS(Data!$AD$3:$AD$348,Data!$Z$3:$Z$348,H$21,Data!$Y$3:$Y$348,"2021",Data!$K$3:$K$348,'Reporting 2021'!$B20)</f>
        <v>0</v>
      </c>
      <c r="I51" s="637">
        <f>SUMIFS(Data!$AD$3:$AD$348,Data!$Z$3:$Z$348,I$21,Data!$Y$3:$Y$348,"2021",Data!$K$3:$K$348,'Reporting 2021'!$B20)</f>
        <v>0</v>
      </c>
      <c r="J51" s="637">
        <f>SUMIFS(Data!$AD$3:$AD$348,Data!$Z$3:$Z$348,J$21,Data!$Y$3:$Y$348,"2021",Data!$K$3:$K$348,'Reporting 2021'!$B20)</f>
        <v>0</v>
      </c>
      <c r="K51" s="637">
        <f>SUMIFS(Data!$AD$3:$AD$348,Data!$Z$3:$Z$348,K$21,Data!$Y$3:$Y$348,"2021",Data!$K$3:$K$348,'Reporting 2021'!$B20)</f>
        <v>0</v>
      </c>
      <c r="L51" s="637">
        <f>SUMIFS(Data!$AD$3:$AD$348,Data!$Z$3:$Z$348,L$21,Data!$Y$3:$Y$348,"2021",Data!$K$3:$K$348,'Reporting 2021'!$B20)</f>
        <v>0</v>
      </c>
      <c r="M51" s="637">
        <f>SUMIFS(Data!$AD$3:$AD$348,Data!$Z$3:$Z$348,M$21,Data!$Y$3:$Y$348,"2021",Data!$K$3:$K$348,'Reporting 2021'!$B20)</f>
        <v>0</v>
      </c>
      <c r="N51" s="637">
        <f>SUMIFS(Data!$AD$3:$AD$348,Data!$Z$3:$Z$348,N$21,Data!$Y$3:$Y$348,"2021",Data!$K$3:$K$348,'Reporting 2021'!$B20)</f>
        <v>0</v>
      </c>
    </row>
    <row r="52" spans="2:17" ht="15" x14ac:dyDescent="0.3">
      <c r="B52" s="675" t="s">
        <v>609</v>
      </c>
      <c r="C52" s="637">
        <f>SUMIFS(Data!$AD$3:$AD$348,Data!$Z$3:$Z$348,C$21,Data!$Y$3:$Y$348,"2021",Data!$K$3:$K$348,'Reporting 2021'!$B21)</f>
        <v>0</v>
      </c>
      <c r="D52" s="637">
        <f>SUMIFS(Data!$AD$3:$AD$348,Data!$Z$3:$Z$348,D$21,Data!$Y$3:$Y$348,"2021",Data!$K$3:$K$348,'Reporting 2021'!$B21)</f>
        <v>0</v>
      </c>
      <c r="E52" s="637">
        <f>SUMIFS(Data!$AD$3:$AD$348,Data!$Z$3:$Z$348,E$21,Data!$Y$3:$Y$348,"2021",Data!$K$3:$K$348,'Reporting 2021'!$B21)</f>
        <v>0</v>
      </c>
      <c r="F52" s="637">
        <f>SUMIFS(Data!$AD$3:$AD$348,Data!$Z$3:$Z$348,F$21,Data!$Y$3:$Y$348,"2021",Data!$K$3:$K$348,'Reporting 2021'!$B21)</f>
        <v>0</v>
      </c>
      <c r="G52" s="637">
        <f>SUMIFS(Data!$AD$3:$AD$348,Data!$Z$3:$Z$348,G$21,Data!$Y$3:$Y$348,"2021",Data!$K$3:$K$348,'Reporting 2021'!$B21)</f>
        <v>0</v>
      </c>
      <c r="H52" s="637">
        <f>SUMIFS(Data!$AD$3:$AD$348,Data!$Z$3:$Z$348,H$21,Data!$Y$3:$Y$348,"2021",Data!$K$3:$K$348,'Reporting 2021'!$B21)</f>
        <v>0</v>
      </c>
      <c r="I52" s="637">
        <f>SUMIFS(Data!$AD$3:$AD$348,Data!$Z$3:$Z$348,I$21,Data!$Y$3:$Y$348,"2021",Data!$K$3:$K$348,'Reporting 2021'!$B21)</f>
        <v>0</v>
      </c>
      <c r="J52" s="637">
        <f>SUMIFS(Data!$AD$3:$AD$348,Data!$Z$3:$Z$348,J$21,Data!$Y$3:$Y$348,"2021",Data!$K$3:$K$348,'Reporting 2021'!$B21)</f>
        <v>0</v>
      </c>
      <c r="K52" s="637">
        <f>SUMIFS(Data!$AD$3:$AD$348,Data!$Z$3:$Z$348,K$21,Data!$Y$3:$Y$348,"2021",Data!$K$3:$K$348,'Reporting 2021'!$B21)</f>
        <v>0</v>
      </c>
      <c r="L52" s="637">
        <f>SUMIFS(Data!$AD$3:$AD$348,Data!$Z$3:$Z$348,L$21,Data!$Y$3:$Y$348,"2021",Data!$K$3:$K$348,'Reporting 2021'!$B21)</f>
        <v>0</v>
      </c>
      <c r="M52" s="637">
        <f>SUMIFS(Data!$AD$3:$AD$348,Data!$Z$3:$Z$348,M$21,Data!$Y$3:$Y$348,"2021",Data!$K$3:$K$348,'Reporting 2021'!$B21)</f>
        <v>0</v>
      </c>
      <c r="N52" s="637">
        <f>SUMIFS(Data!$AD$3:$AD$348,Data!$Z$3:$Z$348,N$21,Data!$Y$3:$Y$348,"2021",Data!$K$3:$K$348,'Reporting 2021'!$B21)</f>
        <v>0</v>
      </c>
      <c r="Q52" s="49"/>
    </row>
    <row r="53" spans="2:17" x14ac:dyDescent="0.3">
      <c r="B53" s="675" t="s">
        <v>610</v>
      </c>
      <c r="C53" s="637">
        <f>SUMIFS(Data!$AD$3:$AD$348,Data!$Z$3:$Z$348,C$21,Data!$Y$3:$Y$348,"2021",Data!$K$3:$K$348,'Reporting 2021'!$B22)</f>
        <v>0</v>
      </c>
      <c r="D53" s="637">
        <f>SUMIFS(Data!$AD$3:$AD$348,Data!$Z$3:$Z$348,D$21,Data!$Y$3:$Y$348,"2021",Data!$K$3:$K$348,'Reporting 2021'!$B22)</f>
        <v>0</v>
      </c>
      <c r="E53" s="637">
        <f>SUMIFS(Data!$AD$3:$AD$348,Data!$Z$3:$Z$348,E$21,Data!$Y$3:$Y$348,"2021",Data!$K$3:$K$348,'Reporting 2021'!$B22)</f>
        <v>0</v>
      </c>
      <c r="F53" s="637">
        <f>SUMIFS(Data!$AD$3:$AD$348,Data!$Z$3:$Z$348,F$21,Data!$Y$3:$Y$348,"2021",Data!$K$3:$K$348,'Reporting 2021'!$B22)</f>
        <v>0</v>
      </c>
      <c r="G53" s="637">
        <f>SUMIFS(Data!$AD$3:$AD$348,Data!$Z$3:$Z$348,G$21,Data!$Y$3:$Y$348,"2021",Data!$K$3:$K$348,'Reporting 2021'!$B22)</f>
        <v>0</v>
      </c>
      <c r="H53" s="637">
        <f>SUMIFS(Data!$AD$3:$AD$348,Data!$Z$3:$Z$348,H$21,Data!$Y$3:$Y$348,"2021",Data!$K$3:$K$348,'Reporting 2021'!$B22)</f>
        <v>0</v>
      </c>
      <c r="I53" s="637">
        <f>SUMIFS(Data!$AD$3:$AD$348,Data!$Z$3:$Z$348,I$21,Data!$Y$3:$Y$348,"2021",Data!$K$3:$K$348,'Reporting 2021'!$B22)</f>
        <v>0</v>
      </c>
      <c r="J53" s="637">
        <f>SUMIFS(Data!$AD$3:$AD$348,Data!$Z$3:$Z$348,J$21,Data!$Y$3:$Y$348,"2021",Data!$K$3:$K$348,'Reporting 2021'!$B22)</f>
        <v>0</v>
      </c>
      <c r="K53" s="637">
        <f>SUMIFS(Data!$AD$3:$AD$348,Data!$Z$3:$Z$348,K$21,Data!$Y$3:$Y$348,"2021",Data!$K$3:$K$348,'Reporting 2021'!$B22)</f>
        <v>0</v>
      </c>
      <c r="L53" s="637">
        <f>SUMIFS(Data!$AD$3:$AD$348,Data!$Z$3:$Z$348,L$21,Data!$Y$3:$Y$348,"2021",Data!$K$3:$K$348,'Reporting 2021'!$B22)</f>
        <v>0</v>
      </c>
      <c r="M53" s="637">
        <f>SUMIFS(Data!$AD$3:$AD$348,Data!$Z$3:$Z$348,M$21,Data!$Y$3:$Y$348,"2021",Data!$K$3:$K$348,'Reporting 2021'!$B22)</f>
        <v>0</v>
      </c>
      <c r="N53" s="637">
        <f>SUMIFS(Data!$AD$3:$AD$348,Data!$Z$3:$Z$348,N$21,Data!$Y$3:$Y$348,"2021",Data!$K$3:$K$348,'Reporting 2021'!$B22)</f>
        <v>0</v>
      </c>
    </row>
    <row r="54" spans="2:17" x14ac:dyDescent="0.3">
      <c r="B54" s="675" t="s">
        <v>611</v>
      </c>
      <c r="C54" s="637">
        <f>SUMIFS(Data!$AD$3:$AD$348,Data!$Z$3:$Z$348,C$21,Data!$Y$3:$Y$348,"2021",Data!$K$3:$K$348,'Reporting 2021'!$B23)</f>
        <v>0</v>
      </c>
      <c r="D54" s="637">
        <f>SUMIFS(Data!$AD$3:$AD$348,Data!$Z$3:$Z$348,D$21,Data!$Y$3:$Y$348,"2021",Data!$K$3:$K$348,'Reporting 2021'!$B23)</f>
        <v>0</v>
      </c>
      <c r="E54" s="637">
        <f>SUMIFS(Data!$AD$3:$AD$348,Data!$Z$3:$Z$348,E$21,Data!$Y$3:$Y$348,"2021",Data!$K$3:$K$348,'Reporting 2021'!$B23)</f>
        <v>0</v>
      </c>
      <c r="F54" s="637">
        <f>SUMIFS(Data!$AD$3:$AD$348,Data!$Z$3:$Z$348,F$21,Data!$Y$3:$Y$348,"2021",Data!$K$3:$K$348,'Reporting 2021'!$B23)</f>
        <v>0</v>
      </c>
      <c r="G54" s="637">
        <f>SUMIFS(Data!$AD$3:$AD$348,Data!$Z$3:$Z$348,G$21,Data!$Y$3:$Y$348,"2021",Data!$K$3:$K$348,'Reporting 2021'!$B23)</f>
        <v>0</v>
      </c>
      <c r="H54" s="637">
        <f>SUMIFS(Data!$AD$3:$AD$348,Data!$Z$3:$Z$348,H$21,Data!$Y$3:$Y$348,"2021",Data!$K$3:$K$348,'Reporting 2021'!$B23)</f>
        <v>0</v>
      </c>
      <c r="I54" s="637">
        <f>SUMIFS(Data!$AD$3:$AD$348,Data!$Z$3:$Z$348,I$21,Data!$Y$3:$Y$348,"2021",Data!$K$3:$K$348,'Reporting 2021'!$B23)</f>
        <v>0</v>
      </c>
      <c r="J54" s="637">
        <f>SUMIFS(Data!$AD$3:$AD$348,Data!$Z$3:$Z$348,J$21,Data!$Y$3:$Y$348,"2021",Data!$K$3:$K$348,'Reporting 2021'!$B23)</f>
        <v>0</v>
      </c>
      <c r="K54" s="637">
        <f>SUMIFS(Data!$AD$3:$AD$348,Data!$Z$3:$Z$348,K$21,Data!$Y$3:$Y$348,"2021",Data!$K$3:$K$348,'Reporting 2021'!$B23)</f>
        <v>0</v>
      </c>
      <c r="L54" s="637">
        <f>SUMIFS(Data!$AD$3:$AD$348,Data!$Z$3:$Z$348,L$21,Data!$Y$3:$Y$348,"2021",Data!$K$3:$K$348,'Reporting 2021'!$B23)</f>
        <v>0</v>
      </c>
      <c r="M54" s="637">
        <f>SUMIFS(Data!$AD$3:$AD$348,Data!$Z$3:$Z$348,M$21,Data!$Y$3:$Y$348,"2021",Data!$K$3:$K$348,'Reporting 2021'!$B23)</f>
        <v>0</v>
      </c>
      <c r="N54" s="637">
        <f>SUMIFS(Data!$AD$3:$AD$348,Data!$Z$3:$Z$348,N$21,Data!$Y$3:$Y$348,"2021",Data!$K$3:$K$348,'Reporting 2021'!$B23)</f>
        <v>0</v>
      </c>
    </row>
    <row r="55" spans="2:17" ht="15" thickBot="1" x14ac:dyDescent="0.35">
      <c r="B55" s="678" t="s">
        <v>612</v>
      </c>
      <c r="C55" s="677">
        <f>SUMIFS(Data!$AD$3:$AD$348,Data!$Z$3:$Z$348,C$21,Data!$Y$3:$Y$348,"2021",Data!$K$3:$K$348,'Reporting 2021'!$B24)</f>
        <v>0</v>
      </c>
      <c r="D55" s="677">
        <f>SUMIFS(Data!$AD$3:$AD$348,Data!$Z$3:$Z$348,D$21,Data!$Y$3:$Y$348,"2021",Data!$K$3:$K$348,'Reporting 2021'!$B24)</f>
        <v>0</v>
      </c>
      <c r="E55" s="677">
        <f>SUMIFS(Data!$AD$3:$AD$348,Data!$Z$3:$Z$348,E$21,Data!$Y$3:$Y$348,"2021",Data!$K$3:$K$348,'Reporting 2021'!$B24)</f>
        <v>0</v>
      </c>
      <c r="F55" s="677">
        <f>SUMIFS(Data!$AD$3:$AD$348,Data!$Z$3:$Z$348,F$21,Data!$Y$3:$Y$348,"2021",Data!$K$3:$K$348,'Reporting 2021'!$B24)</f>
        <v>0</v>
      </c>
      <c r="G55" s="677">
        <f>SUMIFS(Data!$AD$3:$AD$348,Data!$Z$3:$Z$348,G$21,Data!$Y$3:$Y$348,"2021",Data!$K$3:$K$348,'Reporting 2021'!$B24)</f>
        <v>0</v>
      </c>
      <c r="H55" s="677">
        <f>SUMIFS(Data!$AD$3:$AD$348,Data!$Z$3:$Z$348,H$21,Data!$Y$3:$Y$348,"2021",Data!$K$3:$K$348,'Reporting 2021'!$B24)</f>
        <v>0</v>
      </c>
      <c r="I55" s="677">
        <f>SUMIFS(Data!$AD$3:$AD$348,Data!$Z$3:$Z$348,I$21,Data!$Y$3:$Y$348,"2021",Data!$K$3:$K$348,'Reporting 2021'!$B24)</f>
        <v>0</v>
      </c>
      <c r="J55" s="677">
        <f>SUMIFS(Data!$AD$3:$AD$348,Data!$Z$3:$Z$348,J$21,Data!$Y$3:$Y$348,"2021",Data!$K$3:$K$348,'Reporting 2021'!$B24)</f>
        <v>0</v>
      </c>
      <c r="K55" s="677">
        <f>SUMIFS(Data!$AD$3:$AD$348,Data!$Z$3:$Z$348,K$21,Data!$Y$3:$Y$348,"2021",Data!$K$3:$K$348,'Reporting 2021'!$B24)</f>
        <v>0</v>
      </c>
      <c r="L55" s="677">
        <f>SUMIFS(Data!$AD$3:$AD$348,Data!$Z$3:$Z$348,L$21,Data!$Y$3:$Y$348,"2021",Data!$K$3:$K$348,'Reporting 2021'!$B24)</f>
        <v>0</v>
      </c>
      <c r="M55" s="677">
        <f>SUMIFS(Data!$AD$3:$AD$348,Data!$Z$3:$Z$348,M$21,Data!$Y$3:$Y$348,"2021",Data!$K$3:$K$348,'Reporting 2021'!$B24)</f>
        <v>0</v>
      </c>
      <c r="N55" s="677">
        <f>SUMIFS(Data!$AD$3:$AD$348,Data!$Z$3:$Z$348,N$21,Data!$Y$3:$Y$348,"2021",Data!$K$3:$K$348,'Reporting 2021'!$B24)</f>
        <v>0</v>
      </c>
    </row>
    <row r="56" spans="2:17" ht="15" thickTop="1" x14ac:dyDescent="0.3">
      <c r="B56" s="675" t="s">
        <v>613</v>
      </c>
      <c r="C56" s="609">
        <f>+C46</f>
        <v>0</v>
      </c>
      <c r="D56" s="612">
        <f>C56+D46</f>
        <v>0</v>
      </c>
      <c r="E56" s="612">
        <f>D56+E46</f>
        <v>0</v>
      </c>
      <c r="F56" s="612">
        <f t="shared" ref="F56:N56" si="43">E56+F46</f>
        <v>0</v>
      </c>
      <c r="G56" s="612">
        <f t="shared" si="43"/>
        <v>0</v>
      </c>
      <c r="H56" s="612">
        <f t="shared" si="43"/>
        <v>0</v>
      </c>
      <c r="I56" s="612">
        <f t="shared" si="43"/>
        <v>0</v>
      </c>
      <c r="J56" s="612">
        <f t="shared" si="43"/>
        <v>0</v>
      </c>
      <c r="K56" s="612">
        <f t="shared" si="43"/>
        <v>0</v>
      </c>
      <c r="L56" s="612">
        <f t="shared" si="43"/>
        <v>0</v>
      </c>
      <c r="M56" s="612">
        <f t="shared" si="43"/>
        <v>0</v>
      </c>
      <c r="N56" s="612">
        <f t="shared" si="43"/>
        <v>0</v>
      </c>
    </row>
    <row r="57" spans="2:17" x14ac:dyDescent="0.3">
      <c r="B57" s="675" t="s">
        <v>614</v>
      </c>
      <c r="C57" s="609">
        <f t="shared" ref="C57:C65" si="44">+C47</f>
        <v>0</v>
      </c>
      <c r="D57" s="608">
        <f t="shared" ref="D57:N64" si="45">C57+D47</f>
        <v>0</v>
      </c>
      <c r="E57" s="608">
        <f>D57+E47</f>
        <v>0</v>
      </c>
      <c r="F57" s="608">
        <f t="shared" si="45"/>
        <v>0</v>
      </c>
      <c r="G57" s="608">
        <f t="shared" si="45"/>
        <v>0</v>
      </c>
      <c r="H57" s="608">
        <f t="shared" si="45"/>
        <v>0</v>
      </c>
      <c r="I57" s="608">
        <f t="shared" si="45"/>
        <v>0</v>
      </c>
      <c r="J57" s="608">
        <f t="shared" si="45"/>
        <v>0</v>
      </c>
      <c r="K57" s="608">
        <f t="shared" si="45"/>
        <v>0</v>
      </c>
      <c r="L57" s="608">
        <f t="shared" si="45"/>
        <v>0</v>
      </c>
      <c r="M57" s="608">
        <f t="shared" si="45"/>
        <v>0</v>
      </c>
      <c r="N57" s="608">
        <f t="shared" si="45"/>
        <v>0</v>
      </c>
    </row>
    <row r="58" spans="2:17" x14ac:dyDescent="0.3">
      <c r="B58" s="675" t="s">
        <v>615</v>
      </c>
      <c r="C58" s="609">
        <f t="shared" si="44"/>
        <v>0</v>
      </c>
      <c r="D58" s="608">
        <f t="shared" si="45"/>
        <v>0</v>
      </c>
      <c r="E58" s="608">
        <f>D58+E48</f>
        <v>0</v>
      </c>
      <c r="F58" s="608">
        <f t="shared" si="45"/>
        <v>0</v>
      </c>
      <c r="G58" s="608">
        <f t="shared" si="45"/>
        <v>0</v>
      </c>
      <c r="H58" s="608">
        <f t="shared" si="45"/>
        <v>0</v>
      </c>
      <c r="I58" s="608">
        <f t="shared" si="45"/>
        <v>0</v>
      </c>
      <c r="J58" s="608">
        <f t="shared" si="45"/>
        <v>0</v>
      </c>
      <c r="K58" s="608">
        <f t="shared" si="45"/>
        <v>0</v>
      </c>
      <c r="L58" s="608">
        <f t="shared" si="45"/>
        <v>0</v>
      </c>
      <c r="M58" s="608">
        <f t="shared" si="45"/>
        <v>0</v>
      </c>
      <c r="N58" s="608">
        <f t="shared" si="45"/>
        <v>0</v>
      </c>
    </row>
    <row r="59" spans="2:17" s="437" customFormat="1" x14ac:dyDescent="0.3">
      <c r="B59" s="675" t="s">
        <v>616</v>
      </c>
      <c r="C59" s="609">
        <f t="shared" si="44"/>
        <v>0</v>
      </c>
      <c r="D59" s="608">
        <f t="shared" si="45"/>
        <v>0</v>
      </c>
      <c r="E59" s="608">
        <f>D59+E49</f>
        <v>0</v>
      </c>
      <c r="F59" s="608">
        <f t="shared" si="45"/>
        <v>0</v>
      </c>
      <c r="G59" s="608">
        <f t="shared" si="45"/>
        <v>0</v>
      </c>
      <c r="H59" s="608">
        <f t="shared" si="45"/>
        <v>0</v>
      </c>
      <c r="I59" s="608">
        <f t="shared" si="45"/>
        <v>0</v>
      </c>
      <c r="J59" s="608">
        <f t="shared" si="45"/>
        <v>0</v>
      </c>
      <c r="K59" s="608">
        <f t="shared" si="45"/>
        <v>0</v>
      </c>
      <c r="L59" s="608">
        <f t="shared" si="45"/>
        <v>0</v>
      </c>
      <c r="M59" s="608">
        <f t="shared" si="45"/>
        <v>0</v>
      </c>
      <c r="N59" s="608">
        <f t="shared" si="45"/>
        <v>0</v>
      </c>
    </row>
    <row r="60" spans="2:17" x14ac:dyDescent="0.3">
      <c r="B60" s="675" t="s">
        <v>617</v>
      </c>
      <c r="C60" s="609">
        <f t="shared" si="44"/>
        <v>0</v>
      </c>
      <c r="D60" s="608">
        <f t="shared" si="45"/>
        <v>0</v>
      </c>
      <c r="E60" s="608">
        <f>D60+E50</f>
        <v>0</v>
      </c>
      <c r="F60" s="608">
        <f t="shared" si="45"/>
        <v>0</v>
      </c>
      <c r="G60" s="608">
        <f t="shared" si="45"/>
        <v>0</v>
      </c>
      <c r="H60" s="608">
        <f t="shared" si="45"/>
        <v>0</v>
      </c>
      <c r="I60" s="608">
        <f t="shared" si="45"/>
        <v>0</v>
      </c>
      <c r="J60" s="608">
        <f t="shared" si="45"/>
        <v>0</v>
      </c>
      <c r="K60" s="608">
        <f t="shared" si="45"/>
        <v>0</v>
      </c>
      <c r="L60" s="608">
        <f t="shared" si="45"/>
        <v>0</v>
      </c>
      <c r="M60" s="608">
        <f t="shared" si="45"/>
        <v>0</v>
      </c>
      <c r="N60" s="608">
        <f t="shared" si="45"/>
        <v>0</v>
      </c>
    </row>
    <row r="61" spans="2:17" x14ac:dyDescent="0.3">
      <c r="B61" s="675" t="s">
        <v>618</v>
      </c>
      <c r="C61" s="609">
        <f t="shared" si="44"/>
        <v>0</v>
      </c>
      <c r="D61" s="608">
        <f t="shared" si="45"/>
        <v>0</v>
      </c>
      <c r="E61" s="608">
        <f t="shared" si="45"/>
        <v>0</v>
      </c>
      <c r="F61" s="608">
        <f t="shared" si="45"/>
        <v>0</v>
      </c>
      <c r="G61" s="608">
        <f t="shared" si="45"/>
        <v>0</v>
      </c>
      <c r="H61" s="608">
        <f t="shared" si="45"/>
        <v>0</v>
      </c>
      <c r="I61" s="608">
        <f t="shared" si="45"/>
        <v>0</v>
      </c>
      <c r="J61" s="608">
        <f t="shared" si="45"/>
        <v>0</v>
      </c>
      <c r="K61" s="608">
        <f t="shared" si="45"/>
        <v>0</v>
      </c>
      <c r="L61" s="608">
        <f t="shared" si="45"/>
        <v>0</v>
      </c>
      <c r="M61" s="608">
        <f t="shared" si="45"/>
        <v>0</v>
      </c>
      <c r="N61" s="608">
        <f t="shared" si="45"/>
        <v>0</v>
      </c>
    </row>
    <row r="62" spans="2:17" x14ac:dyDescent="0.3">
      <c r="B62" s="675" t="s">
        <v>619</v>
      </c>
      <c r="C62" s="609">
        <f t="shared" si="44"/>
        <v>0</v>
      </c>
      <c r="D62" s="608">
        <f t="shared" si="45"/>
        <v>0</v>
      </c>
      <c r="E62" s="608">
        <f t="shared" si="45"/>
        <v>0</v>
      </c>
      <c r="F62" s="608">
        <f t="shared" si="45"/>
        <v>0</v>
      </c>
      <c r="G62" s="608">
        <f t="shared" si="45"/>
        <v>0</v>
      </c>
      <c r="H62" s="608">
        <f t="shared" si="45"/>
        <v>0</v>
      </c>
      <c r="I62" s="608">
        <f t="shared" si="45"/>
        <v>0</v>
      </c>
      <c r="J62" s="608">
        <f t="shared" si="45"/>
        <v>0</v>
      </c>
      <c r="K62" s="608">
        <f t="shared" si="45"/>
        <v>0</v>
      </c>
      <c r="L62" s="608">
        <f t="shared" si="45"/>
        <v>0</v>
      </c>
      <c r="M62" s="608">
        <f t="shared" si="45"/>
        <v>0</v>
      </c>
      <c r="N62" s="608">
        <f t="shared" si="45"/>
        <v>0</v>
      </c>
    </row>
    <row r="63" spans="2:17" x14ac:dyDescent="0.3">
      <c r="B63" s="675" t="s">
        <v>620</v>
      </c>
      <c r="C63" s="609">
        <f t="shared" si="44"/>
        <v>0</v>
      </c>
      <c r="D63" s="608">
        <f t="shared" si="45"/>
        <v>0</v>
      </c>
      <c r="E63" s="608">
        <f t="shared" si="45"/>
        <v>0</v>
      </c>
      <c r="F63" s="608">
        <f t="shared" si="45"/>
        <v>0</v>
      </c>
      <c r="G63" s="608">
        <f t="shared" si="45"/>
        <v>0</v>
      </c>
      <c r="H63" s="608">
        <f t="shared" si="45"/>
        <v>0</v>
      </c>
      <c r="I63" s="608">
        <f t="shared" si="45"/>
        <v>0</v>
      </c>
      <c r="J63" s="608">
        <f t="shared" si="45"/>
        <v>0</v>
      </c>
      <c r="K63" s="608">
        <f t="shared" si="45"/>
        <v>0</v>
      </c>
      <c r="L63" s="608">
        <f t="shared" si="45"/>
        <v>0</v>
      </c>
      <c r="M63" s="608">
        <f t="shared" si="45"/>
        <v>0</v>
      </c>
      <c r="N63" s="608">
        <f t="shared" si="45"/>
        <v>0</v>
      </c>
    </row>
    <row r="64" spans="2:17" x14ac:dyDescent="0.3">
      <c r="B64" s="675" t="s">
        <v>621</v>
      </c>
      <c r="C64" s="609">
        <f t="shared" si="44"/>
        <v>0</v>
      </c>
      <c r="D64" s="608">
        <f t="shared" si="45"/>
        <v>0</v>
      </c>
      <c r="E64" s="608">
        <f t="shared" si="45"/>
        <v>0</v>
      </c>
      <c r="F64" s="608">
        <f t="shared" si="45"/>
        <v>0</v>
      </c>
      <c r="G64" s="608">
        <f t="shared" si="45"/>
        <v>0</v>
      </c>
      <c r="H64" s="608">
        <f t="shared" si="45"/>
        <v>0</v>
      </c>
      <c r="I64" s="608">
        <f t="shared" si="45"/>
        <v>0</v>
      </c>
      <c r="J64" s="608">
        <f t="shared" si="45"/>
        <v>0</v>
      </c>
      <c r="K64" s="608">
        <f t="shared" si="45"/>
        <v>0</v>
      </c>
      <c r="L64" s="608">
        <f t="shared" si="45"/>
        <v>0</v>
      </c>
      <c r="M64" s="608">
        <f t="shared" si="45"/>
        <v>0</v>
      </c>
      <c r="N64" s="608">
        <f t="shared" si="45"/>
        <v>0</v>
      </c>
    </row>
    <row r="65" spans="2:14" x14ac:dyDescent="0.3">
      <c r="B65" s="675" t="s">
        <v>622</v>
      </c>
      <c r="C65" s="609">
        <f t="shared" si="44"/>
        <v>0</v>
      </c>
      <c r="D65" s="608">
        <f>C65+D55</f>
        <v>0</v>
      </c>
      <c r="E65" s="608">
        <f t="shared" ref="E65:N65" si="46">D65+E55</f>
        <v>0</v>
      </c>
      <c r="F65" s="608">
        <f t="shared" si="46"/>
        <v>0</v>
      </c>
      <c r="G65" s="608">
        <f t="shared" si="46"/>
        <v>0</v>
      </c>
      <c r="H65" s="608">
        <f t="shared" si="46"/>
        <v>0</v>
      </c>
      <c r="I65" s="608">
        <f t="shared" si="46"/>
        <v>0</v>
      </c>
      <c r="J65" s="608">
        <f t="shared" si="46"/>
        <v>0</v>
      </c>
      <c r="K65" s="608">
        <f t="shared" si="46"/>
        <v>0</v>
      </c>
      <c r="L65" s="608">
        <f t="shared" si="46"/>
        <v>0</v>
      </c>
      <c r="M65" s="608">
        <f t="shared" si="46"/>
        <v>0</v>
      </c>
      <c r="N65" s="608">
        <f t="shared" si="46"/>
        <v>0</v>
      </c>
    </row>
    <row r="66" spans="2:14" x14ac:dyDescent="0.3">
      <c r="B66" s="665"/>
      <c r="C66" s="611"/>
    </row>
    <row r="67" spans="2:14" x14ac:dyDescent="0.3">
      <c r="B67" s="665"/>
      <c r="C67" s="611"/>
    </row>
    <row r="68" spans="2:14" x14ac:dyDescent="0.3">
      <c r="B68" s="665"/>
      <c r="C68" s="611"/>
      <c r="F68">
        <f>SUMIFS(Data!$S$2,Data!$P$2,F$21,Data!$K$2,'Reporting 2021'!B18,Data!$O$2,"2021")</f>
        <v>0</v>
      </c>
    </row>
    <row r="69" spans="2:14" x14ac:dyDescent="0.3">
      <c r="B69" s="675" t="s">
        <v>644</v>
      </c>
      <c r="C69" s="608">
        <f>SUMIFS(Data!$S$3:$S$348,Data!$P$3:$P$348,C$21,Data!$K$3:$K$348,'Reporting 2021'!$B15,Data!$O$3:$O$348,"2021")</f>
        <v>0</v>
      </c>
      <c r="D69" s="608">
        <f>SUMIFS(Data!$S$3:$S$348,Data!$P$3:$P$348,D$21,Data!$K$3:$K$348,'Reporting 2021'!$B15,Data!$O$3:$O$348,"2021")</f>
        <v>0</v>
      </c>
      <c r="E69" s="608">
        <f>SUMIFS(Data!$S$3:$S$348,Data!$P$3:$P$348,E$21,Data!$K$3:$K$348,'Reporting 2021'!$B15,Data!$O$3:$O$348,"2021")</f>
        <v>0</v>
      </c>
      <c r="F69" s="608">
        <f>SUMIFS(Data!$S$3:$S$348,Data!$P$3:$P$348,F$21,Data!$K$3:$K$348,'Reporting 2021'!$B15,Data!$O$3:$O$348,"2021")</f>
        <v>0</v>
      </c>
      <c r="G69" s="608">
        <f>SUMIFS(Data!$S$3:$S$348,Data!$P$3:$P$348,G$21,Data!$K$3:$K$348,'Reporting 2021'!$B15,Data!$O$3:$O$348,"2021")</f>
        <v>0</v>
      </c>
      <c r="H69" s="608">
        <f>SUMIFS(Data!$S$3:$S$348,Data!$P$3:$P$348,H$21,Data!$K$3:$K$348,'Reporting 2021'!$B15,Data!$O$3:$O$348,"2021")</f>
        <v>0</v>
      </c>
      <c r="I69" s="608">
        <f>SUMIFS(Data!$S$3:$S$348,Data!$P$3:$P$348,I$21,Data!$K$3:$K$348,'Reporting 2021'!$B15,Data!$O$3:$O$348,"2021")</f>
        <v>0</v>
      </c>
      <c r="J69" s="608">
        <f>SUMIFS(Data!$S$3:$S$348,Data!$P$3:$P$348,J$21,Data!$K$3:$K$348,'Reporting 2021'!$B15,Data!$O$3:$O$348,"2021")</f>
        <v>0</v>
      </c>
      <c r="K69" s="608">
        <f>SUMIFS(Data!$S$3:$S$348,Data!$P$3:$P$348,K$21,Data!$K$3:$K$348,'Reporting 2021'!$B15,Data!$O$3:$O$348,"2021")</f>
        <v>0</v>
      </c>
      <c r="L69" s="608">
        <f>SUMIFS(Data!$S$3:$S$348,Data!$P$3:$P$348,L$21,Data!$K$3:$K$348,'Reporting 2021'!$B15,Data!$O$3:$O$348,"2021")</f>
        <v>0</v>
      </c>
      <c r="M69" s="608">
        <f>SUMIFS(Data!$S$3:$S$348,Data!$P$3:$P$348,M$21,Data!$K$3:$K$348,'Reporting 2021'!$B15,Data!$O$3:$O$348,"2021")</f>
        <v>0</v>
      </c>
      <c r="N69" s="608">
        <f>SUMIFS(Data!$S$3:$S$348,Data!$P$3:$P$348,N$21,Data!$K$3:$K$348,'Reporting 2021'!$B15,Data!$O$3:$O$348,"2021")</f>
        <v>0</v>
      </c>
    </row>
    <row r="70" spans="2:14" x14ac:dyDescent="0.3">
      <c r="B70" s="675" t="s">
        <v>643</v>
      </c>
      <c r="C70" s="608">
        <f>SUMIFS(Data!$S$3:$S$348,Data!$P$3:$P$348,C$21,Data!$K$3:$K$348,'Reporting 2021'!$B16,Data!$O$3:$O$348,"2021")</f>
        <v>0</v>
      </c>
      <c r="D70" s="608">
        <f>SUMIFS(Data!$S$3:$S$348,Data!$P$3:$P$348,D$21,Data!$K$3:$K$348,'Reporting 2021'!$B16,Data!$O$3:$O$348,"2021")</f>
        <v>0</v>
      </c>
      <c r="E70" s="608">
        <f>SUMIFS(Data!$S$3:$S$348,Data!$P$3:$P$348,E$21,Data!$K$3:$K$348,'Reporting 2021'!$B16,Data!$O$3:$O$348,"2021")</f>
        <v>0</v>
      </c>
      <c r="F70" s="608">
        <f>SUMIFS(Data!$S$3:$S$348,Data!$P$3:$P$348,F$21,Data!$K$3:$K$348,'Reporting 2021'!$B16,Data!$O$3:$O$348,"2021")</f>
        <v>0</v>
      </c>
      <c r="G70" s="608">
        <f>SUMIFS(Data!$S$3:$S$348,Data!$P$3:$P$348,G$21,Data!$K$3:$K$348,'Reporting 2021'!$B16,Data!$O$3:$O$348,"2021")</f>
        <v>0</v>
      </c>
      <c r="H70" s="608">
        <f>SUMIFS(Data!$S$3:$S$348,Data!$P$3:$P$348,H$21,Data!$K$3:$K$348,'Reporting 2021'!$B16,Data!$O$3:$O$348,"2021")</f>
        <v>0</v>
      </c>
      <c r="I70" s="608">
        <f>SUMIFS(Data!$S$3:$S$348,Data!$P$3:$P$348,I$21,Data!$K$3:$K$348,'Reporting 2021'!$B16,Data!$O$3:$O$348,"2021")</f>
        <v>0</v>
      </c>
      <c r="J70" s="608">
        <f>SUMIFS(Data!$S$3:$S$348,Data!$P$3:$P$348,J$21,Data!$K$3:$K$348,'Reporting 2021'!$B16,Data!$O$3:$O$348,"2021")</f>
        <v>0</v>
      </c>
      <c r="K70" s="608">
        <f>SUMIFS(Data!$S$3:$S$348,Data!$P$3:$P$348,K$21,Data!$K$3:$K$348,'Reporting 2021'!$B16,Data!$O$3:$O$348,"2021")</f>
        <v>0</v>
      </c>
      <c r="L70" s="608">
        <f>SUMIFS(Data!$S$3:$S$348,Data!$P$3:$P$348,L$21,Data!$K$3:$K$348,'Reporting 2021'!$B16,Data!$O$3:$O$348,"2021")</f>
        <v>0</v>
      </c>
      <c r="M70" s="608">
        <f>SUMIFS(Data!$S$3:$S$348,Data!$P$3:$P$348,M$21,Data!$K$3:$K$348,'Reporting 2021'!$B16,Data!$O$3:$O$348,"2021")</f>
        <v>0</v>
      </c>
      <c r="N70" s="608">
        <f>SUMIFS(Data!$S$3:$S$348,Data!$P$3:$P$348,N$21,Data!$K$3:$K$348,'Reporting 2021'!$B16,Data!$O$3:$O$348,"2021")</f>
        <v>0</v>
      </c>
    </row>
    <row r="71" spans="2:14" x14ac:dyDescent="0.3">
      <c r="B71" s="675" t="s">
        <v>625</v>
      </c>
      <c r="C71" s="608">
        <f>SUMIFS(Data!$S$3:$S$348,Data!$P$3:$P$348,C$21,Data!$K$3:$K$348,'Reporting 2021'!$B17,Data!$O$3:$O$348,"2021")</f>
        <v>0</v>
      </c>
      <c r="D71" s="608">
        <f>SUMIFS(Data!$S$3:$S$348,Data!$P$3:$P$348,D$21,Data!$K$3:$K$348,'Reporting 2021'!$B17,Data!$O$3:$O$348,"2021")</f>
        <v>0</v>
      </c>
      <c r="E71" s="608">
        <f>SUMIFS(Data!$S$3:$S$348,Data!$P$3:$P$348,E$21,Data!$K$3:$K$348,'Reporting 2021'!$B17,Data!$O$3:$O$348,"2021")</f>
        <v>0</v>
      </c>
      <c r="F71" s="608">
        <f>SUMIFS(Data!$S$3:$S$348,Data!$P$3:$P$348,F$21,Data!$K$3:$K$348,'Reporting 2021'!$B17,Data!$O$3:$O$348,"2021")</f>
        <v>0</v>
      </c>
      <c r="G71" s="608">
        <f>SUMIFS(Data!$S$3:$S$348,Data!$P$3:$P$348,G$21,Data!$K$3:$K$348,'Reporting 2021'!$B17,Data!$O$3:$O$348,"2021")</f>
        <v>0</v>
      </c>
      <c r="H71" s="608">
        <f>SUMIFS(Data!$S$3:$S$348,Data!$P$3:$P$348,H$21,Data!$K$3:$K$348,'Reporting 2021'!$B17,Data!$O$3:$O$348,"2021")</f>
        <v>0</v>
      </c>
      <c r="I71" s="608">
        <f>SUMIFS(Data!$S$3:$S$348,Data!$P$3:$P$348,I$21,Data!$K$3:$K$348,'Reporting 2021'!$B17,Data!$O$3:$O$348,"2021")</f>
        <v>0</v>
      </c>
      <c r="J71" s="608">
        <f>SUMIFS(Data!$S$3:$S$348,Data!$P$3:$P$348,J$21,Data!$K$3:$K$348,'Reporting 2021'!$B17,Data!$O$3:$O$348,"2021")</f>
        <v>0</v>
      </c>
      <c r="K71" s="608">
        <f>SUMIFS(Data!$S$3:$S$348,Data!$P$3:$P$348,K$21,Data!$K$3:$K$348,'Reporting 2021'!$B17,Data!$O$3:$O$348,"2021")</f>
        <v>0</v>
      </c>
      <c r="L71" s="608">
        <f>SUMIFS(Data!$S$3:$S$348,Data!$P$3:$P$348,L$21,Data!$K$3:$K$348,'Reporting 2021'!$B17,Data!$O$3:$O$348,"2021")</f>
        <v>0</v>
      </c>
      <c r="M71" s="608">
        <f>SUMIFS(Data!$S$3:$S$348,Data!$P$3:$P$348,M$21,Data!$K$3:$K$348,'Reporting 2021'!$B17,Data!$O$3:$O$348,"2021")</f>
        <v>0</v>
      </c>
      <c r="N71" s="608">
        <f>SUMIFS(Data!$S$3:$S$348,Data!$P$3:$P$348,N$21,Data!$K$3:$K$348,'Reporting 2021'!$B17,Data!$O$3:$O$348,"2021")</f>
        <v>2750</v>
      </c>
    </row>
    <row r="72" spans="2:14" x14ac:dyDescent="0.3">
      <c r="B72" s="675" t="s">
        <v>626</v>
      </c>
      <c r="C72" s="608">
        <f>SUMIFS(Data!$S$3:$S$348,Data!$P$3:$P$348,C$21,Data!$K$3:$K$348,'Reporting 2021'!$B18,Data!$O$3:$O$348,"2021")</f>
        <v>0</v>
      </c>
      <c r="D72" s="608">
        <f>SUMIFS(Data!$S$3:$S$348,Data!$P$3:$P$348,D$21,Data!$K$3:$K$348,'Reporting 2021'!$B18,Data!$O$3:$O$348,"2021")</f>
        <v>0</v>
      </c>
      <c r="E72" s="608">
        <f>SUMIFS(Data!$S$3:$S$348,Data!$P$3:$P$348,E$21,Data!$K$3:$K$348,'Reporting 2021'!$B18,Data!$O$3:$O$348,"2021")</f>
        <v>0</v>
      </c>
      <c r="F72" s="608">
        <f>SUMIFS(Data!$S$3:$S$348,Data!$P$3:$P$348,F$21,Data!$K$3:$K$348,'Reporting 2021'!$B18,Data!$O$3:$O$348,"2021")</f>
        <v>0</v>
      </c>
      <c r="G72" s="608">
        <f>SUMIFS(Data!$S$3:$S$348,Data!$P$3:$P$348,G$21,Data!$K$3:$K$348,'Reporting 2021'!$B18,Data!$O$3:$O$348,"2021")</f>
        <v>0</v>
      </c>
      <c r="H72" s="608">
        <f>SUMIFS(Data!$S$3:$S$348,Data!$P$3:$P$348,H$21,Data!$K$3:$K$348,'Reporting 2021'!$B18,Data!$O$3:$O$348,"2021")</f>
        <v>0</v>
      </c>
      <c r="I72" s="608">
        <f>SUMIFS(Data!$S$3:$S$348,Data!$P$3:$P$348,I$21,Data!$K$3:$K$348,'Reporting 2021'!$B18,Data!$O$3:$O$348,"2021")</f>
        <v>0</v>
      </c>
      <c r="J72" s="608">
        <f>SUMIFS(Data!$S$3:$S$348,Data!$P$3:$P$348,J$21,Data!$K$3:$K$348,'Reporting 2021'!$B18,Data!$O$3:$O$348,"2021")</f>
        <v>0</v>
      </c>
      <c r="K72" s="608">
        <f>SUMIFS(Data!$S$3:$S$348,Data!$P$3:$P$348,K$21,Data!$K$3:$K$348,'Reporting 2021'!$B18,Data!$O$3:$O$348,"2021")</f>
        <v>0</v>
      </c>
      <c r="L72" s="608">
        <f>SUMIFS(Data!$S$3:$S$348,Data!$P$3:$P$348,L$21,Data!$K$3:$K$348,'Reporting 2021'!$B18,Data!$O$3:$O$348,"2021")</f>
        <v>0</v>
      </c>
      <c r="M72" s="608">
        <f>SUMIFS(Data!$S$3:$S$348,Data!$P$3:$P$348,M$21,Data!$K$3:$K$348,'Reporting 2021'!$B18,Data!$O$3:$O$348,"2021")</f>
        <v>0</v>
      </c>
      <c r="N72" s="608">
        <f>SUMIFS(Data!$S$3:$S$348,Data!$P$3:$P$348,N$21,Data!$K$3:$K$348,'Reporting 2021'!$B18,Data!$O$3:$O$348,"2021")</f>
        <v>0</v>
      </c>
    </row>
    <row r="73" spans="2:14" x14ac:dyDescent="0.3">
      <c r="B73" s="675" t="s">
        <v>627</v>
      </c>
      <c r="C73" s="608">
        <f>SUMIFS(Data!$S$3:$S$348,Data!$P$3:$P$348,C$21,Data!$K$3:$K$348,'Reporting 2021'!$B19,Data!$O$3:$O$348,"2021")</f>
        <v>0</v>
      </c>
      <c r="D73" s="608">
        <f>SUMIFS(Data!$S$3:$S$348,Data!$P$3:$P$348,D$21,Data!$K$3:$K$348,'Reporting 2021'!$B19,Data!$O$3:$O$348,"2021")</f>
        <v>0</v>
      </c>
      <c r="E73" s="608">
        <f>SUMIFS(Data!$S$3:$S$348,Data!$P$3:$P$348,E$21,Data!$K$3:$K$348,'Reporting 2021'!$B19,Data!$O$3:$O$348,"2021")</f>
        <v>0</v>
      </c>
      <c r="F73" s="608">
        <f>SUMIFS(Data!$S$3:$S$348,Data!$P$3:$P$348,F$21,Data!$K$3:$K$348,'Reporting 2021'!$B19,Data!$O$3:$O$348,"2021")</f>
        <v>0</v>
      </c>
      <c r="G73" s="608">
        <f>SUMIFS(Data!$S$3:$S$348,Data!$P$3:$P$348,G$21,Data!$K$3:$K$348,'Reporting 2021'!$B19,Data!$O$3:$O$348,"2021")</f>
        <v>0</v>
      </c>
      <c r="H73" s="608">
        <f>SUMIFS(Data!$S$3:$S$348,Data!$P$3:$P$348,H$21,Data!$K$3:$K$348,'Reporting 2021'!$B19,Data!$O$3:$O$348,"2021")</f>
        <v>0</v>
      </c>
      <c r="I73" s="608">
        <f>SUMIFS(Data!$S$3:$S$348,Data!$P$3:$P$348,I$21,Data!$K$3:$K$348,'Reporting 2021'!$B19,Data!$O$3:$O$348,"2021")</f>
        <v>0</v>
      </c>
      <c r="J73" s="608">
        <f>SUMIFS(Data!$S$3:$S$348,Data!$P$3:$P$348,J$21,Data!$K$3:$K$348,'Reporting 2021'!$B19,Data!$O$3:$O$348,"2021")</f>
        <v>0</v>
      </c>
      <c r="K73" s="608">
        <f>SUMIFS(Data!$S$3:$S$348,Data!$P$3:$P$348,K$21,Data!$K$3:$K$348,'Reporting 2021'!$B19,Data!$O$3:$O$348,"2021")</f>
        <v>0</v>
      </c>
      <c r="L73" s="608">
        <f>SUMIFS(Data!$S$3:$S$348,Data!$P$3:$P$348,L$21,Data!$K$3:$K$348,'Reporting 2021'!$B19,Data!$O$3:$O$348,"2021")</f>
        <v>0</v>
      </c>
      <c r="M73" s="608">
        <f>SUMIFS(Data!$S$3:$S$348,Data!$P$3:$P$348,M$21,Data!$K$3:$K$348,'Reporting 2021'!$B19,Data!$O$3:$O$348,"2021")</f>
        <v>0</v>
      </c>
      <c r="N73" s="608">
        <f>SUMIFS(Data!$S$3:$S$348,Data!$P$3:$P$348,N$21,Data!$K$3:$K$348,'Reporting 2021'!$B19,Data!$O$3:$O$348,"2021")</f>
        <v>0</v>
      </c>
    </row>
    <row r="74" spans="2:14" x14ac:dyDescent="0.3">
      <c r="B74" s="675" t="s">
        <v>628</v>
      </c>
      <c r="C74" s="608">
        <f>SUMIFS(Data!$S$3:$S$348,Data!$P$3:$P$348,C$21,Data!$K$3:$K$348,'Reporting 2021'!$B20,Data!$O$3:$O$348,"2021")</f>
        <v>0</v>
      </c>
      <c r="D74" s="608">
        <f>SUMIFS(Data!$S$3:$S$348,Data!$P$3:$P$348,D$21,Data!$K$3:$K$348,'Reporting 2021'!$B20,Data!$O$3:$O$348,"2021")</f>
        <v>0</v>
      </c>
      <c r="E74" s="608">
        <f>SUMIFS(Data!$S$3:$S$348,Data!$P$3:$P$348,E$21,Data!$K$3:$K$348,'Reporting 2021'!$B20,Data!$O$3:$O$348,"2021")</f>
        <v>0</v>
      </c>
      <c r="F74" s="608">
        <f>SUMIFS(Data!$S$3:$S$348,Data!$P$3:$P$348,F$21,Data!$K$3:$K$348,'Reporting 2021'!$B20,Data!$O$3:$O$348,"2021")</f>
        <v>0</v>
      </c>
      <c r="G74" s="608">
        <f>SUMIFS(Data!$S$3:$S$348,Data!$P$3:$P$348,G$21,Data!$K$3:$K$348,'Reporting 2021'!$B20,Data!$O$3:$O$348,"2021")</f>
        <v>0</v>
      </c>
      <c r="H74" s="608">
        <f>SUMIFS(Data!$S$3:$S$348,Data!$P$3:$P$348,H$21,Data!$K$3:$K$348,'Reporting 2021'!$B20,Data!$O$3:$O$348,"2021")</f>
        <v>0</v>
      </c>
      <c r="I74" s="608">
        <f>SUMIFS(Data!$S$3:$S$348,Data!$P$3:$P$348,I$21,Data!$K$3:$K$348,'Reporting 2021'!$B20,Data!$O$3:$O$348,"2021")</f>
        <v>0</v>
      </c>
      <c r="J74" s="608">
        <f>SUMIFS(Data!$S$3:$S$348,Data!$P$3:$P$348,J$21,Data!$K$3:$K$348,'Reporting 2021'!$B20,Data!$O$3:$O$348,"2021")</f>
        <v>0</v>
      </c>
      <c r="K74" s="608">
        <f>SUMIFS(Data!$S$3:$S$348,Data!$P$3:$P$348,K$21,Data!$K$3:$K$348,'Reporting 2021'!$B20,Data!$O$3:$O$348,"2021")</f>
        <v>0</v>
      </c>
      <c r="L74" s="608">
        <f>SUMIFS(Data!$S$3:$S$348,Data!$P$3:$P$348,L$21,Data!$K$3:$K$348,'Reporting 2021'!$B20,Data!$O$3:$O$348,"2021")</f>
        <v>0</v>
      </c>
      <c r="M74" s="608">
        <f>SUMIFS(Data!$S$3:$S$348,Data!$P$3:$P$348,M$21,Data!$K$3:$K$348,'Reporting 2021'!$B20,Data!$O$3:$O$348,"2021")</f>
        <v>3180</v>
      </c>
      <c r="N74" s="608">
        <f>SUMIFS(Data!$S$3:$S$348,Data!$P$3:$P$348,N$21,Data!$K$3:$K$348,'Reporting 2021'!$B20,Data!$O$3:$O$348,"2021")</f>
        <v>3460</v>
      </c>
    </row>
    <row r="75" spans="2:14" x14ac:dyDescent="0.3">
      <c r="B75" s="675" t="s">
        <v>629</v>
      </c>
      <c r="C75" s="608">
        <f>SUMIFS(Data!$S$3:$S$348,Data!$P$3:$P$348,C$21,Data!$K$3:$K$348,'Reporting 2021'!$B21,Data!$O$3:$O$348,"2021")</f>
        <v>0</v>
      </c>
      <c r="D75" s="608">
        <f>SUMIFS(Data!$S$3:$S$348,Data!$P$3:$P$348,D$21,Data!$K$3:$K$348,'Reporting 2021'!$B21,Data!$O$3:$O$348,"2021")</f>
        <v>0</v>
      </c>
      <c r="E75" s="608">
        <f>SUMIFS(Data!$S$3:$S$348,Data!$P$3:$P$348,E$21,Data!$K$3:$K$348,'Reporting 2021'!$B21,Data!$O$3:$O$348,"2021")</f>
        <v>0</v>
      </c>
      <c r="F75" s="608">
        <f>SUMIFS(Data!$S$3:$S$348,Data!$P$3:$P$348,F$21,Data!$K$3:$K$348,'Reporting 2021'!$B21,Data!$O$3:$O$348,"2021")</f>
        <v>0</v>
      </c>
      <c r="G75" s="608">
        <f>SUMIFS(Data!$S$3:$S$348,Data!$P$3:$P$348,G$21,Data!$K$3:$K$348,'Reporting 2021'!$B21,Data!$O$3:$O$348,"2021")</f>
        <v>0</v>
      </c>
      <c r="H75" s="608">
        <f>SUMIFS(Data!$S$3:$S$348,Data!$P$3:$P$348,H$21,Data!$K$3:$K$348,'Reporting 2021'!$B21,Data!$O$3:$O$348,"2021")</f>
        <v>0</v>
      </c>
      <c r="I75" s="608">
        <f>SUMIFS(Data!$S$3:$S$348,Data!$P$3:$P$348,I$21,Data!$K$3:$K$348,'Reporting 2021'!$B21,Data!$O$3:$O$348,"2021")</f>
        <v>0</v>
      </c>
      <c r="J75" s="608">
        <f>SUMIFS(Data!$S$3:$S$348,Data!$P$3:$P$348,J$21,Data!$K$3:$K$348,'Reporting 2021'!$B21,Data!$O$3:$O$348,"2021")</f>
        <v>0</v>
      </c>
      <c r="K75" s="608">
        <f>SUMIFS(Data!$S$3:$S$348,Data!$P$3:$P$348,K$21,Data!$K$3:$K$348,'Reporting 2021'!$B21,Data!$O$3:$O$348,"2021")</f>
        <v>0</v>
      </c>
      <c r="L75" s="608">
        <f>SUMIFS(Data!$S$3:$S$348,Data!$P$3:$P$348,L$21,Data!$K$3:$K$348,'Reporting 2021'!$B21,Data!$O$3:$O$348,"2021")</f>
        <v>0</v>
      </c>
      <c r="M75" s="608">
        <f>SUMIFS(Data!$S$3:$S$348,Data!$P$3:$P$348,M$21,Data!$K$3:$K$348,'Reporting 2021'!$B21,Data!$O$3:$O$348,"2021")</f>
        <v>0</v>
      </c>
      <c r="N75" s="608">
        <f>SUMIFS(Data!$S$3:$S$348,Data!$P$3:$P$348,N$21,Data!$K$3:$K$348,'Reporting 2021'!$B21,Data!$O$3:$O$348,"2021")</f>
        <v>0</v>
      </c>
    </row>
    <row r="76" spans="2:14" x14ac:dyDescent="0.3">
      <c r="B76" s="675" t="s">
        <v>630</v>
      </c>
      <c r="C76" s="608">
        <f>SUMIFS(Data!$S$3:$S$348,Data!$P$3:$P$348,C$21,Data!$K$3:$K$348,'Reporting 2021'!$B22,Data!$O$3:$O$348,"2021")</f>
        <v>0</v>
      </c>
      <c r="D76" s="608">
        <f>SUMIFS(Data!$S$3:$S$348,Data!$P$3:$P$348,D$21,Data!$K$3:$K$348,'Reporting 2021'!$B22,Data!$O$3:$O$348,"2021")</f>
        <v>6900</v>
      </c>
      <c r="E76" s="608">
        <f>SUMIFS(Data!$S$3:$S$348,Data!$P$3:$P$348,E$21,Data!$K$3:$K$348,'Reporting 2021'!$B22,Data!$O$3:$O$348,"2021")</f>
        <v>1035.6500000000001</v>
      </c>
      <c r="F76" s="608">
        <f>SUMIFS(Data!$S$3:$S$348,Data!$P$3:$P$348,F$21,Data!$K$3:$K$348,'Reporting 2021'!$B22,Data!$O$3:$O$348,"2021")</f>
        <v>1200</v>
      </c>
      <c r="G76" s="608">
        <f>SUMIFS(Data!$S$3:$S$348,Data!$P$3:$P$348,G$21,Data!$K$3:$K$348,'Reporting 2021'!$B22,Data!$O$3:$O$348,"2021")</f>
        <v>0</v>
      </c>
      <c r="H76" s="608">
        <f>SUMIFS(Data!$S$3:$S$348,Data!$P$3:$P$348,H$21,Data!$K$3:$K$348,'Reporting 2021'!$B22,Data!$O$3:$O$348,"2021")</f>
        <v>1945</v>
      </c>
      <c r="I76" s="608">
        <f>SUMIFS(Data!$S$3:$S$348,Data!$P$3:$P$348,I$21,Data!$K$3:$K$348,'Reporting 2021'!$B22,Data!$O$3:$O$348,"2021")</f>
        <v>0</v>
      </c>
      <c r="J76" s="608">
        <f>SUMIFS(Data!$S$3:$S$348,Data!$P$3:$P$348,J$21,Data!$K$3:$K$348,'Reporting 2021'!$B22,Data!$O$3:$O$348,"2021")</f>
        <v>0</v>
      </c>
      <c r="K76" s="608">
        <f>SUMIFS(Data!$S$3:$S$348,Data!$P$3:$P$348,K$21,Data!$K$3:$K$348,'Reporting 2021'!$B22,Data!$O$3:$O$348,"2021")</f>
        <v>0</v>
      </c>
      <c r="L76" s="608">
        <f>SUMIFS(Data!$S$3:$S$348,Data!$P$3:$P$348,L$21,Data!$K$3:$K$348,'Reporting 2021'!$B22,Data!$O$3:$O$348,"2021")</f>
        <v>853</v>
      </c>
      <c r="M76" s="608">
        <f>SUMIFS(Data!$S$3:$S$348,Data!$P$3:$P$348,M$21,Data!$K$3:$K$348,'Reporting 2021'!$B22,Data!$O$3:$O$348,"2021")</f>
        <v>3732</v>
      </c>
      <c r="N76" s="608">
        <f>SUMIFS(Data!$S$3:$S$348,Data!$P$3:$P$348,N$21,Data!$K$3:$K$348,'Reporting 2021'!$B22,Data!$O$3:$O$348,"2021")</f>
        <v>5877</v>
      </c>
    </row>
    <row r="77" spans="2:14" x14ac:dyDescent="0.3">
      <c r="B77" s="675" t="s">
        <v>631</v>
      </c>
      <c r="C77" s="608">
        <f>SUMIFS(Data!$S$3:$S$348,Data!$P$3:$P$348,C$21,Data!$K$3:$K$348,'Reporting 2021'!$B23,Data!$O$3:$O$348,"2021")</f>
        <v>0</v>
      </c>
      <c r="D77" s="608">
        <f>SUMIFS(Data!$S$3:$S$348,Data!$P$3:$P$348,D$21,Data!$K$3:$K$348,'Reporting 2021'!$B23,Data!$O$3:$O$348,"2021")</f>
        <v>0</v>
      </c>
      <c r="E77" s="608">
        <f>SUMIFS(Data!$S$3:$S$348,Data!$P$3:$P$348,E$21,Data!$K$3:$K$348,'Reporting 2021'!$B23,Data!$O$3:$O$348,"2021")</f>
        <v>0</v>
      </c>
      <c r="F77" s="608">
        <f>SUMIFS(Data!$S$3:$S$348,Data!$P$3:$P$348,F$21,Data!$K$3:$K$348,'Reporting 2021'!$B23,Data!$O$3:$O$348,"2021")</f>
        <v>0</v>
      </c>
      <c r="G77" s="608">
        <f>SUMIFS(Data!$S$3:$S$348,Data!$P$3:$P$348,G$21,Data!$K$3:$K$348,'Reporting 2021'!$B23,Data!$O$3:$O$348,"2021")</f>
        <v>0</v>
      </c>
      <c r="H77" s="608">
        <f>SUMIFS(Data!$S$3:$S$348,Data!$P$3:$P$348,H$21,Data!$K$3:$K$348,'Reporting 2021'!$B23,Data!$O$3:$O$348,"2021")</f>
        <v>0</v>
      </c>
      <c r="I77" s="608">
        <f>SUMIFS(Data!$S$3:$S$348,Data!$P$3:$P$348,I$21,Data!$K$3:$K$348,'Reporting 2021'!$B23,Data!$O$3:$O$348,"2021")</f>
        <v>0</v>
      </c>
      <c r="J77" s="608">
        <f>SUMIFS(Data!$S$3:$S$348,Data!$P$3:$P$348,J$21,Data!$K$3:$K$348,'Reporting 2021'!$B23,Data!$O$3:$O$348,"2021")</f>
        <v>0</v>
      </c>
      <c r="K77" s="608">
        <f>SUMIFS(Data!$S$3:$S$348,Data!$P$3:$P$348,K$21,Data!$K$3:$K$348,'Reporting 2021'!$B23,Data!$O$3:$O$348,"2021")</f>
        <v>3236</v>
      </c>
      <c r="L77" s="608">
        <f>SUMIFS(Data!$S$3:$S$348,Data!$P$3:$P$348,L$21,Data!$K$3:$K$348,'Reporting 2021'!$B23,Data!$O$3:$O$348,"2021")</f>
        <v>0</v>
      </c>
      <c r="M77" s="608">
        <f>SUMIFS(Data!$S$3:$S$348,Data!$P$3:$P$348,M$21,Data!$K$3:$K$348,'Reporting 2021'!$B23,Data!$O$3:$O$348,"2021")</f>
        <v>0</v>
      </c>
      <c r="N77" s="608">
        <f>SUMIFS(Data!$S$3:$S$348,Data!$P$3:$P$348,N$21,Data!$K$3:$K$348,'Reporting 2021'!$B23,Data!$O$3:$O$348,"2021")</f>
        <v>4425</v>
      </c>
    </row>
    <row r="78" spans="2:14" ht="15" thickBot="1" x14ac:dyDescent="0.35">
      <c r="B78" s="678" t="s">
        <v>632</v>
      </c>
      <c r="C78" s="610">
        <f>SUMIFS(Data!$S$3:$S$348,Data!$P$3:$P$348,C$21,Data!$K$3:$K$348,'Reporting 2021'!$B24,Data!$O$3:$O$348,"2021")</f>
        <v>0</v>
      </c>
      <c r="D78" s="610">
        <f>SUMIFS(Data!$S$3:$S$348,Data!$P$3:$P$348,D$21,Data!$K$3:$K$348,'Reporting 2021'!$B24,Data!$O$3:$O$348,"2021")</f>
        <v>0</v>
      </c>
      <c r="E78" s="610">
        <f>SUMIFS(Data!$S$3:$S$348,Data!$P$3:$P$348,E$21,Data!$K$3:$K$348,'Reporting 2021'!$B24,Data!$O$3:$O$348,"2021")</f>
        <v>0</v>
      </c>
      <c r="F78" s="610">
        <f>SUMIFS(Data!$S$3:$S$348,Data!$P$3:$P$348,F$21,Data!$K$3:$K$348,'Reporting 2021'!$B24,Data!$O$3:$O$348,"2021")</f>
        <v>0</v>
      </c>
      <c r="G78" s="610">
        <f>SUMIFS(Data!$S$3:$S$348,Data!$P$3:$P$348,G$21,Data!$K$3:$K$348,'Reporting 2021'!$B24,Data!$O$3:$O$348,"2021")</f>
        <v>0</v>
      </c>
      <c r="H78" s="610">
        <f>SUMIFS(Data!$S$3:$S$348,Data!$P$3:$P$348,H$21,Data!$K$3:$K$348,'Reporting 2021'!$B24,Data!$O$3:$O$348,"2021")</f>
        <v>0</v>
      </c>
      <c r="I78" s="610">
        <f>SUMIFS(Data!$S$3:$S$348,Data!$P$3:$P$348,I$21,Data!$K$3:$K$348,'Reporting 2021'!$B24,Data!$O$3:$O$348,"2021")</f>
        <v>0</v>
      </c>
      <c r="J78" s="610">
        <f>SUMIFS(Data!$S$3:$S$348,Data!$P$3:$P$348,J$21,Data!$K$3:$K$348,'Reporting 2021'!$B24,Data!$O$3:$O$348,"2021")</f>
        <v>0</v>
      </c>
      <c r="K78" s="610">
        <f>SUMIFS(Data!$S$3:$S$348,Data!$P$3:$P$348,K$21,Data!$K$3:$K$348,'Reporting 2021'!$B24,Data!$O$3:$O$348,"2021")</f>
        <v>0</v>
      </c>
      <c r="L78" s="610">
        <f>SUMIFS(Data!$S$3:$S$348,Data!$P$3:$P$348,L$21,Data!$K$3:$K$348,'Reporting 2021'!$B24,Data!$O$3:$O$348,"2021")</f>
        <v>0</v>
      </c>
      <c r="M78" s="610">
        <f>SUMIFS(Data!$S$3:$S$348,Data!$P$3:$P$348,M$21,Data!$K$3:$K$348,'Reporting 2021'!$B24,Data!$O$3:$O$348,"2021")</f>
        <v>0</v>
      </c>
      <c r="N78" s="610">
        <f>SUMIFS(Data!$S$3:$S$348,Data!$P$3:$P$348,N$21,Data!$K$3:$K$348,'Reporting 2021'!$B24,Data!$O$3:$O$348,"2021")</f>
        <v>0</v>
      </c>
    </row>
    <row r="79" spans="2:14" ht="15" thickTop="1" x14ac:dyDescent="0.3">
      <c r="B79" s="675" t="s">
        <v>633</v>
      </c>
      <c r="C79" s="664">
        <f>C69</f>
        <v>0</v>
      </c>
      <c r="D79" s="439">
        <f>C79+D69</f>
        <v>0</v>
      </c>
      <c r="E79" s="439">
        <f t="shared" ref="E79:N79" si="47">D79+E69</f>
        <v>0</v>
      </c>
      <c r="F79" s="439">
        <f t="shared" si="47"/>
        <v>0</v>
      </c>
      <c r="G79" s="439">
        <f t="shared" si="47"/>
        <v>0</v>
      </c>
      <c r="H79" s="439">
        <f t="shared" si="47"/>
        <v>0</v>
      </c>
      <c r="I79" s="439">
        <f t="shared" si="47"/>
        <v>0</v>
      </c>
      <c r="J79" s="439">
        <f t="shared" si="47"/>
        <v>0</v>
      </c>
      <c r="K79" s="439">
        <f t="shared" si="47"/>
        <v>0</v>
      </c>
      <c r="L79" s="439">
        <f t="shared" si="47"/>
        <v>0</v>
      </c>
      <c r="M79" s="439">
        <f t="shared" si="47"/>
        <v>0</v>
      </c>
      <c r="N79" s="439">
        <f t="shared" si="47"/>
        <v>0</v>
      </c>
    </row>
    <row r="80" spans="2:14" x14ac:dyDescent="0.3">
      <c r="B80" s="675" t="s">
        <v>634</v>
      </c>
      <c r="C80" s="664">
        <f t="shared" ref="C80:C88" si="48">C70</f>
        <v>0</v>
      </c>
      <c r="D80" s="439">
        <f t="shared" ref="D80:N88" si="49">C80+D70</f>
        <v>0</v>
      </c>
      <c r="E80" s="439">
        <f t="shared" si="49"/>
        <v>0</v>
      </c>
      <c r="F80" s="439">
        <f t="shared" si="49"/>
        <v>0</v>
      </c>
      <c r="G80" s="439">
        <f t="shared" si="49"/>
        <v>0</v>
      </c>
      <c r="H80" s="439">
        <f t="shared" si="49"/>
        <v>0</v>
      </c>
      <c r="I80" s="439">
        <f t="shared" si="49"/>
        <v>0</v>
      </c>
      <c r="J80" s="439">
        <f t="shared" si="49"/>
        <v>0</v>
      </c>
      <c r="K80" s="439">
        <f t="shared" si="49"/>
        <v>0</v>
      </c>
      <c r="L80" s="439">
        <f t="shared" si="49"/>
        <v>0</v>
      </c>
      <c r="M80" s="439">
        <f t="shared" si="49"/>
        <v>0</v>
      </c>
      <c r="N80" s="439">
        <f t="shared" si="49"/>
        <v>0</v>
      </c>
    </row>
    <row r="81" spans="2:14" x14ac:dyDescent="0.3">
      <c r="B81" s="675" t="s">
        <v>635</v>
      </c>
      <c r="C81" s="664">
        <f t="shared" si="48"/>
        <v>0</v>
      </c>
      <c r="D81" s="439">
        <f t="shared" si="49"/>
        <v>0</v>
      </c>
      <c r="E81" s="439">
        <f t="shared" si="49"/>
        <v>0</v>
      </c>
      <c r="F81" s="439">
        <f t="shared" si="49"/>
        <v>0</v>
      </c>
      <c r="G81" s="439">
        <f t="shared" si="49"/>
        <v>0</v>
      </c>
      <c r="H81" s="439">
        <f t="shared" si="49"/>
        <v>0</v>
      </c>
      <c r="I81" s="439">
        <f t="shared" si="49"/>
        <v>0</v>
      </c>
      <c r="J81" s="439">
        <f t="shared" si="49"/>
        <v>0</v>
      </c>
      <c r="K81" s="439">
        <f t="shared" si="49"/>
        <v>0</v>
      </c>
      <c r="L81" s="439">
        <f t="shared" si="49"/>
        <v>0</v>
      </c>
      <c r="M81" s="439">
        <f t="shared" si="49"/>
        <v>0</v>
      </c>
      <c r="N81" s="439">
        <f t="shared" si="49"/>
        <v>2750</v>
      </c>
    </row>
    <row r="82" spans="2:14" x14ac:dyDescent="0.3">
      <c r="B82" s="675" t="s">
        <v>636</v>
      </c>
      <c r="C82" s="664">
        <f t="shared" si="48"/>
        <v>0</v>
      </c>
      <c r="D82" s="439">
        <f t="shared" si="49"/>
        <v>0</v>
      </c>
      <c r="E82" s="439">
        <f t="shared" si="49"/>
        <v>0</v>
      </c>
      <c r="F82" s="439">
        <f t="shared" si="49"/>
        <v>0</v>
      </c>
      <c r="G82" s="439">
        <f t="shared" si="49"/>
        <v>0</v>
      </c>
      <c r="H82" s="439">
        <f t="shared" si="49"/>
        <v>0</v>
      </c>
      <c r="I82" s="439">
        <f t="shared" si="49"/>
        <v>0</v>
      </c>
      <c r="J82" s="439">
        <f t="shared" si="49"/>
        <v>0</v>
      </c>
      <c r="K82" s="439">
        <f t="shared" si="49"/>
        <v>0</v>
      </c>
      <c r="L82" s="439">
        <f t="shared" si="49"/>
        <v>0</v>
      </c>
      <c r="M82" s="439">
        <f t="shared" si="49"/>
        <v>0</v>
      </c>
      <c r="N82" s="439">
        <f t="shared" si="49"/>
        <v>0</v>
      </c>
    </row>
    <row r="83" spans="2:14" x14ac:dyDescent="0.3">
      <c r="B83" s="675" t="s">
        <v>637</v>
      </c>
      <c r="C83" s="664">
        <f t="shared" si="48"/>
        <v>0</v>
      </c>
      <c r="D83" s="439">
        <f t="shared" si="49"/>
        <v>0</v>
      </c>
      <c r="E83" s="439">
        <f t="shared" si="49"/>
        <v>0</v>
      </c>
      <c r="F83" s="439">
        <f t="shared" si="49"/>
        <v>0</v>
      </c>
      <c r="G83" s="439">
        <f t="shared" si="49"/>
        <v>0</v>
      </c>
      <c r="H83" s="439">
        <f t="shared" si="49"/>
        <v>0</v>
      </c>
      <c r="I83" s="439">
        <f t="shared" si="49"/>
        <v>0</v>
      </c>
      <c r="J83" s="439">
        <f t="shared" si="49"/>
        <v>0</v>
      </c>
      <c r="K83" s="439">
        <f t="shared" si="49"/>
        <v>0</v>
      </c>
      <c r="L83" s="439">
        <f t="shared" si="49"/>
        <v>0</v>
      </c>
      <c r="M83" s="439">
        <f t="shared" si="49"/>
        <v>0</v>
      </c>
      <c r="N83" s="439">
        <f t="shared" si="49"/>
        <v>0</v>
      </c>
    </row>
    <row r="84" spans="2:14" x14ac:dyDescent="0.3">
      <c r="B84" s="675" t="s">
        <v>638</v>
      </c>
      <c r="C84" s="664">
        <f t="shared" si="48"/>
        <v>0</v>
      </c>
      <c r="D84" s="439">
        <f t="shared" si="49"/>
        <v>0</v>
      </c>
      <c r="E84" s="439">
        <f t="shared" si="49"/>
        <v>0</v>
      </c>
      <c r="F84" s="439">
        <f t="shared" si="49"/>
        <v>0</v>
      </c>
      <c r="G84" s="439">
        <f t="shared" si="49"/>
        <v>0</v>
      </c>
      <c r="H84" s="439">
        <f t="shared" si="49"/>
        <v>0</v>
      </c>
      <c r="I84" s="439">
        <f t="shared" si="49"/>
        <v>0</v>
      </c>
      <c r="J84" s="439">
        <f t="shared" si="49"/>
        <v>0</v>
      </c>
      <c r="K84" s="439">
        <f t="shared" si="49"/>
        <v>0</v>
      </c>
      <c r="L84" s="439">
        <f t="shared" si="49"/>
        <v>0</v>
      </c>
      <c r="M84" s="439">
        <f t="shared" si="49"/>
        <v>3180</v>
      </c>
      <c r="N84" s="439">
        <f t="shared" si="49"/>
        <v>6640</v>
      </c>
    </row>
    <row r="85" spans="2:14" x14ac:dyDescent="0.3">
      <c r="B85" s="675" t="s">
        <v>639</v>
      </c>
      <c r="C85" s="664">
        <f t="shared" si="48"/>
        <v>0</v>
      </c>
      <c r="D85" s="439">
        <f t="shared" si="49"/>
        <v>0</v>
      </c>
      <c r="E85" s="439">
        <f t="shared" si="49"/>
        <v>0</v>
      </c>
      <c r="F85" s="439">
        <f t="shared" si="49"/>
        <v>0</v>
      </c>
      <c r="G85" s="439">
        <f t="shared" si="49"/>
        <v>0</v>
      </c>
      <c r="H85" s="439">
        <f t="shared" si="49"/>
        <v>0</v>
      </c>
      <c r="I85" s="439">
        <f t="shared" si="49"/>
        <v>0</v>
      </c>
      <c r="J85" s="439">
        <f t="shared" si="49"/>
        <v>0</v>
      </c>
      <c r="K85" s="439">
        <f t="shared" si="49"/>
        <v>0</v>
      </c>
      <c r="L85" s="439">
        <f t="shared" si="49"/>
        <v>0</v>
      </c>
      <c r="M85" s="439">
        <f t="shared" si="49"/>
        <v>0</v>
      </c>
      <c r="N85" s="439">
        <f t="shared" si="49"/>
        <v>0</v>
      </c>
    </row>
    <row r="86" spans="2:14" x14ac:dyDescent="0.3">
      <c r="B86" s="675" t="s">
        <v>640</v>
      </c>
      <c r="C86" s="664">
        <f t="shared" si="48"/>
        <v>0</v>
      </c>
      <c r="D86" s="439">
        <f t="shared" si="49"/>
        <v>6900</v>
      </c>
      <c r="E86" s="439">
        <f t="shared" si="49"/>
        <v>7935.65</v>
      </c>
      <c r="F86" s="439">
        <f t="shared" si="49"/>
        <v>9135.65</v>
      </c>
      <c r="G86" s="439">
        <f t="shared" si="49"/>
        <v>9135.65</v>
      </c>
      <c r="H86" s="439">
        <f t="shared" si="49"/>
        <v>11080.65</v>
      </c>
      <c r="I86" s="439">
        <f t="shared" si="49"/>
        <v>11080.65</v>
      </c>
      <c r="J86" s="439">
        <f t="shared" si="49"/>
        <v>11080.65</v>
      </c>
      <c r="K86" s="439">
        <f t="shared" si="49"/>
        <v>11080.65</v>
      </c>
      <c r="L86" s="439">
        <f t="shared" si="49"/>
        <v>11933.65</v>
      </c>
      <c r="M86" s="439">
        <f t="shared" si="49"/>
        <v>15665.65</v>
      </c>
      <c r="N86" s="439">
        <f t="shared" si="49"/>
        <v>21542.65</v>
      </c>
    </row>
    <row r="87" spans="2:14" x14ac:dyDescent="0.3">
      <c r="B87" s="675" t="s">
        <v>641</v>
      </c>
      <c r="C87" s="664">
        <f t="shared" si="48"/>
        <v>0</v>
      </c>
      <c r="D87" s="439">
        <f t="shared" si="49"/>
        <v>0</v>
      </c>
      <c r="E87" s="439">
        <f t="shared" si="49"/>
        <v>0</v>
      </c>
      <c r="F87" s="439">
        <f t="shared" si="49"/>
        <v>0</v>
      </c>
      <c r="G87" s="439">
        <f t="shared" si="49"/>
        <v>0</v>
      </c>
      <c r="H87" s="439">
        <f t="shared" si="49"/>
        <v>0</v>
      </c>
      <c r="I87" s="439">
        <f t="shared" si="49"/>
        <v>0</v>
      </c>
      <c r="J87" s="439">
        <f t="shared" si="49"/>
        <v>0</v>
      </c>
      <c r="K87" s="439">
        <f t="shared" si="49"/>
        <v>3236</v>
      </c>
      <c r="L87" s="439">
        <f t="shared" si="49"/>
        <v>3236</v>
      </c>
      <c r="M87" s="439">
        <f t="shared" si="49"/>
        <v>3236</v>
      </c>
      <c r="N87" s="439">
        <f t="shared" si="49"/>
        <v>7661</v>
      </c>
    </row>
    <row r="88" spans="2:14" x14ac:dyDescent="0.3">
      <c r="B88" s="680" t="s">
        <v>642</v>
      </c>
      <c r="C88" s="664">
        <f t="shared" si="48"/>
        <v>0</v>
      </c>
      <c r="D88" s="439">
        <f t="shared" si="49"/>
        <v>0</v>
      </c>
      <c r="E88" s="439">
        <f t="shared" si="49"/>
        <v>0</v>
      </c>
      <c r="F88" s="439">
        <f t="shared" si="49"/>
        <v>0</v>
      </c>
      <c r="G88" s="439">
        <f t="shared" si="49"/>
        <v>0</v>
      </c>
      <c r="H88" s="439">
        <f t="shared" si="49"/>
        <v>0</v>
      </c>
      <c r="I88" s="439">
        <f t="shared" si="49"/>
        <v>0</v>
      </c>
      <c r="J88" s="439">
        <f t="shared" si="49"/>
        <v>0</v>
      </c>
      <c r="K88" s="439">
        <f t="shared" si="49"/>
        <v>0</v>
      </c>
      <c r="L88" s="439">
        <f t="shared" si="49"/>
        <v>0</v>
      </c>
      <c r="M88" s="439">
        <f t="shared" si="49"/>
        <v>0</v>
      </c>
      <c r="N88" s="439">
        <f t="shared" si="49"/>
        <v>0</v>
      </c>
    </row>
  </sheetData>
  <phoneticPr fontId="54" type="noConversion"/>
  <conditionalFormatting sqref="B22">
    <cfRule type="expression" dxfId="411" priority="16">
      <formula>MOD(ROW(),2)</formula>
    </cfRule>
  </conditionalFormatting>
  <conditionalFormatting sqref="B23">
    <cfRule type="expression" dxfId="410" priority="15">
      <formula>MOD(ROW(),2)</formula>
    </cfRule>
  </conditionalFormatting>
  <conditionalFormatting sqref="B24">
    <cfRule type="expression" dxfId="409" priority="14">
      <formula>MOD(ROW(),2)</formula>
    </cfRule>
  </conditionalFormatting>
  <conditionalFormatting sqref="B26">
    <cfRule type="expression" dxfId="408" priority="13">
      <formula>MOD(ROW(),2)</formula>
    </cfRule>
  </conditionalFormatting>
  <conditionalFormatting sqref="B27">
    <cfRule type="expression" dxfId="407" priority="12">
      <formula>MOD(ROW(),2)</formula>
    </cfRule>
  </conditionalFormatting>
  <conditionalFormatting sqref="B28">
    <cfRule type="expression" dxfId="406" priority="11">
      <formula>MOD(ROW(),2)</formula>
    </cfRule>
  </conditionalFormatting>
  <conditionalFormatting sqref="B33">
    <cfRule type="expression" dxfId="405" priority="10">
      <formula>MOD(ROW(),2)</formula>
    </cfRule>
  </conditionalFormatting>
  <conditionalFormatting sqref="B34">
    <cfRule type="expression" dxfId="404" priority="9">
      <formula>MOD(ROW(),2)</formula>
    </cfRule>
  </conditionalFormatting>
  <conditionalFormatting sqref="B35">
    <cfRule type="expression" dxfId="403" priority="8">
      <formula>MOD(ROW(),2)</formula>
    </cfRule>
  </conditionalFormatting>
  <conditionalFormatting sqref="B37">
    <cfRule type="expression" dxfId="402" priority="7">
      <formula>MOD(ROW(),2)</formula>
    </cfRule>
  </conditionalFormatting>
  <conditionalFormatting sqref="B38">
    <cfRule type="expression" dxfId="401" priority="6">
      <formula>MOD(ROW(),2)</formula>
    </cfRule>
  </conditionalFormatting>
  <conditionalFormatting sqref="B39">
    <cfRule type="expression" dxfId="400" priority="5">
      <formula>MOD(ROW(),2)</formula>
    </cfRule>
  </conditionalFormatting>
  <conditionalFormatting sqref="B25">
    <cfRule type="expression" dxfId="399" priority="4">
      <formula>MOD(ROW(),2)</formula>
    </cfRule>
  </conditionalFormatting>
  <conditionalFormatting sqref="B36">
    <cfRule type="expression" dxfId="398" priority="3">
      <formula>MOD(ROW(),2)</formula>
    </cfRule>
  </conditionalFormatting>
  <conditionalFormatting sqref="B40 B44">
    <cfRule type="expression" dxfId="397" priority="2">
      <formula>MOD(ROW(),2)</formula>
    </cfRule>
  </conditionalFormatting>
  <conditionalFormatting sqref="B29">
    <cfRule type="expression" dxfId="396" priority="1">
      <formula>MOD(ROW(),2)</formula>
    </cfRule>
  </conditionalFormatting>
  <pageMargins left="0.7" right="0.7" top="0.75" bottom="0.75" header="0.3" footer="0.3"/>
  <pageSetup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FF0000"/>
    <pageSetUpPr fitToPage="1"/>
  </sheetPr>
  <dimension ref="A1:S81"/>
  <sheetViews>
    <sheetView zoomScale="85" zoomScaleNormal="85" workbookViewId="0">
      <pane xSplit="2" ySplit="1" topLeftCell="C37" activePane="bottomRight" state="frozenSplit"/>
      <selection pane="topRight" activeCell="I23" sqref="I23"/>
      <selection pane="bottomLeft" activeCell="A46" sqref="A46"/>
      <selection pane="bottomRight" activeCell="F8" sqref="F8"/>
    </sheetView>
  </sheetViews>
  <sheetFormatPr baseColWidth="10" defaultColWidth="8.88671875" defaultRowHeight="14.4" x14ac:dyDescent="0.3"/>
  <cols>
    <col min="1" max="1" width="51" customWidth="1"/>
    <col min="2" max="2" width="12.88671875" style="258" customWidth="1"/>
    <col min="3" max="4" width="14.44140625" bestFit="1" customWidth="1"/>
    <col min="5" max="6" width="16" bestFit="1" customWidth="1"/>
    <col min="7" max="11" width="16.88671875" bestFit="1" customWidth="1"/>
    <col min="12" max="12" width="16" bestFit="1" customWidth="1"/>
    <col min="13" max="14" width="16.88671875" bestFit="1" customWidth="1"/>
    <col min="15" max="15" width="14.44140625" bestFit="1" customWidth="1"/>
    <col min="16" max="16" width="26.109375" bestFit="1" customWidth="1"/>
    <col min="17" max="17" width="12.88671875" customWidth="1"/>
  </cols>
  <sheetData>
    <row r="1" spans="1:19" x14ac:dyDescent="0.3">
      <c r="A1" s="17">
        <v>2021</v>
      </c>
      <c r="B1" s="299" t="s">
        <v>204</v>
      </c>
      <c r="C1" s="333">
        <v>44197</v>
      </c>
      <c r="D1" s="332">
        <v>44228</v>
      </c>
      <c r="E1" s="332">
        <v>44256</v>
      </c>
      <c r="F1" s="332">
        <v>44287</v>
      </c>
      <c r="G1" s="332">
        <v>44317</v>
      </c>
      <c r="H1" s="552">
        <v>44348</v>
      </c>
      <c r="I1" s="333">
        <v>44378</v>
      </c>
      <c r="J1" s="332">
        <v>44409</v>
      </c>
      <c r="K1" s="332">
        <v>44440</v>
      </c>
      <c r="L1" s="332">
        <v>44470</v>
      </c>
      <c r="M1" s="332">
        <v>44501</v>
      </c>
      <c r="N1" s="444">
        <v>44531</v>
      </c>
      <c r="O1" s="300" t="s">
        <v>119</v>
      </c>
      <c r="P1" s="55" t="s">
        <v>314</v>
      </c>
    </row>
    <row r="2" spans="1:19" s="437" customFormat="1" ht="18" x14ac:dyDescent="0.35">
      <c r="A2" s="554" t="s">
        <v>336</v>
      </c>
      <c r="B2" s="549"/>
      <c r="C2" s="550"/>
      <c r="D2" s="551"/>
      <c r="E2" s="551"/>
      <c r="F2" s="551"/>
      <c r="G2" s="551"/>
      <c r="H2" s="594"/>
      <c r="I2" s="595"/>
      <c r="J2" s="551"/>
      <c r="K2" s="551"/>
      <c r="L2" s="551"/>
      <c r="M2" s="551"/>
      <c r="N2" s="551"/>
      <c r="O2" s="553"/>
      <c r="P2" s="55"/>
    </row>
    <row r="3" spans="1:19" x14ac:dyDescent="0.3">
      <c r="A3" s="516" t="s">
        <v>203</v>
      </c>
      <c r="B3" s="517">
        <v>0.2</v>
      </c>
      <c r="C3" s="519">
        <f>'Monthly Data'!C49</f>
        <v>0</v>
      </c>
      <c r="D3" s="519">
        <f>'Monthly Data'!D49</f>
        <v>0</v>
      </c>
      <c r="E3" s="519">
        <f>'Monthly Data'!E49</f>
        <v>0</v>
      </c>
      <c r="F3" s="519">
        <f>'Monthly Data'!F49</f>
        <v>0</v>
      </c>
      <c r="G3" s="519">
        <f>'Monthly Data'!G49</f>
        <v>0</v>
      </c>
      <c r="H3" s="519">
        <f>'Monthly Data'!H49</f>
        <v>0</v>
      </c>
      <c r="I3" s="519">
        <f>'Monthly Data'!I49</f>
        <v>0</v>
      </c>
      <c r="J3" s="519">
        <f>'Monthly Data'!J49</f>
        <v>0</v>
      </c>
      <c r="K3" s="519">
        <f>'Monthly Data'!K49</f>
        <v>0</v>
      </c>
      <c r="L3" s="519">
        <f>'Monthly Data'!L49</f>
        <v>0</v>
      </c>
      <c r="M3" s="519">
        <f>'Monthly Data'!M49</f>
        <v>0</v>
      </c>
      <c r="N3" s="519">
        <f>'Monthly Data'!N49</f>
        <v>0</v>
      </c>
      <c r="O3" s="490">
        <f t="shared" ref="O3:O10" si="0">SUM(C3:N3)</f>
        <v>0</v>
      </c>
    </row>
    <row r="4" spans="1:19" s="437" customFormat="1" x14ac:dyDescent="0.3">
      <c r="A4" s="516" t="s">
        <v>309</v>
      </c>
      <c r="B4" s="517">
        <v>0.35</v>
      </c>
      <c r="C4" s="522">
        <f>'Monthly Data'!C52+'Monthly Data'!C53</f>
        <v>0</v>
      </c>
      <c r="D4" s="522">
        <f>'Monthly Data'!D52+'Monthly Data'!D53</f>
        <v>0</v>
      </c>
      <c r="E4" s="522">
        <f>'Monthly Data'!E52+'Monthly Data'!E53</f>
        <v>0</v>
      </c>
      <c r="F4" s="522">
        <f>'Monthly Data'!F52+'Monthly Data'!F53</f>
        <v>0</v>
      </c>
      <c r="G4" s="522">
        <f>'Monthly Data'!G52+'Monthly Data'!G53</f>
        <v>0</v>
      </c>
      <c r="H4" s="522">
        <f>'Monthly Data'!H52+'Monthly Data'!H53</f>
        <v>0</v>
      </c>
      <c r="I4" s="522">
        <f>'Monthly Data'!I52+'Monthly Data'!I53</f>
        <v>0</v>
      </c>
      <c r="J4" s="522">
        <f>'Monthly Data'!J52+'Monthly Data'!J53</f>
        <v>0</v>
      </c>
      <c r="K4" s="522">
        <f>'Monthly Data'!K52+'Monthly Data'!K53</f>
        <v>0</v>
      </c>
      <c r="L4" s="522">
        <f>'Monthly Data'!L52+'Monthly Data'!L53</f>
        <v>0</v>
      </c>
      <c r="M4" s="522">
        <f>'Monthly Data'!M52+'Monthly Data'!M53</f>
        <v>0</v>
      </c>
      <c r="N4" s="522">
        <f>'Monthly Data'!N52+'Monthly Data'!N53</f>
        <v>0</v>
      </c>
      <c r="O4" s="490">
        <f t="shared" si="0"/>
        <v>0</v>
      </c>
    </row>
    <row r="5" spans="1:19" s="437" customFormat="1" x14ac:dyDescent="0.3">
      <c r="A5" s="516" t="s">
        <v>310</v>
      </c>
      <c r="B5" s="517">
        <v>0.35</v>
      </c>
      <c r="C5" s="522">
        <f>'Monthly Data'!C54</f>
        <v>0</v>
      </c>
      <c r="D5" s="522">
        <f>'Monthly Data'!D54</f>
        <v>0</v>
      </c>
      <c r="E5" s="522">
        <f>'Monthly Data'!E54</f>
        <v>0</v>
      </c>
      <c r="F5" s="522">
        <f>'Monthly Data'!F54</f>
        <v>0</v>
      </c>
      <c r="G5" s="522">
        <f>'Monthly Data'!G54</f>
        <v>0</v>
      </c>
      <c r="H5" s="522">
        <f>'Monthly Data'!H54</f>
        <v>0</v>
      </c>
      <c r="I5" s="522">
        <f>'Monthly Data'!I54</f>
        <v>0</v>
      </c>
      <c r="J5" s="522">
        <f>'Monthly Data'!J54</f>
        <v>0</v>
      </c>
      <c r="K5" s="522">
        <f>'Monthly Data'!K54</f>
        <v>0</v>
      </c>
      <c r="L5" s="522">
        <f>'Monthly Data'!L54</f>
        <v>0</v>
      </c>
      <c r="M5" s="522">
        <f>'Monthly Data'!M54</f>
        <v>0</v>
      </c>
      <c r="N5" s="522">
        <f>'Monthly Data'!N54</f>
        <v>0</v>
      </c>
      <c r="O5" s="490">
        <f t="shared" si="0"/>
        <v>0</v>
      </c>
    </row>
    <row r="6" spans="1:19" x14ac:dyDescent="0.3">
      <c r="A6" s="523" t="s">
        <v>328</v>
      </c>
      <c r="B6" s="524">
        <v>0</v>
      </c>
      <c r="C6" s="525">
        <v>2859</v>
      </c>
      <c r="D6" s="526">
        <v>10034</v>
      </c>
      <c r="E6" s="526">
        <v>-21729.5</v>
      </c>
      <c r="F6" s="526">
        <v>952</v>
      </c>
      <c r="G6" s="526"/>
      <c r="H6" s="520"/>
      <c r="I6" s="526"/>
      <c r="J6" s="526"/>
      <c r="K6" s="526"/>
      <c r="L6" s="526"/>
      <c r="M6" s="527"/>
      <c r="N6" s="528"/>
      <c r="O6" s="493">
        <f>SUM(C6:N6)</f>
        <v>-7884.5</v>
      </c>
      <c r="P6" s="55"/>
    </row>
    <row r="7" spans="1:19" x14ac:dyDescent="0.3">
      <c r="A7" s="514" t="s">
        <v>329</v>
      </c>
      <c r="B7" s="529">
        <v>0.05</v>
      </c>
      <c r="C7" s="530">
        <v>2564</v>
      </c>
      <c r="D7" s="521">
        <v>5896</v>
      </c>
      <c r="E7" s="521">
        <v>4683</v>
      </c>
      <c r="F7" s="521"/>
      <c r="G7" s="521"/>
      <c r="H7" s="531"/>
      <c r="I7" s="521"/>
      <c r="J7" s="521"/>
      <c r="K7" s="521"/>
      <c r="L7" s="521"/>
      <c r="M7" s="532"/>
      <c r="N7" s="533"/>
      <c r="O7" s="494">
        <f>SUM(C7:N7)</f>
        <v>13143</v>
      </c>
      <c r="P7" s="443">
        <f>SUM(O9:O9)</f>
        <v>0</v>
      </c>
    </row>
    <row r="8" spans="1:19" x14ac:dyDescent="0.3">
      <c r="A8" s="514" t="s">
        <v>328</v>
      </c>
      <c r="B8" s="529">
        <v>7.4999999999999997E-2</v>
      </c>
      <c r="C8" s="530">
        <v>382037</v>
      </c>
      <c r="D8" s="521">
        <v>280445.80999999994</v>
      </c>
      <c r="E8" s="521">
        <v>193426</v>
      </c>
      <c r="F8" s="521">
        <v>715</v>
      </c>
      <c r="G8" s="521"/>
      <c r="H8" s="531"/>
      <c r="I8" s="521"/>
      <c r="J8" s="521"/>
      <c r="K8" s="521"/>
      <c r="L8" s="521"/>
      <c r="M8" s="532"/>
      <c r="N8" s="848"/>
      <c r="O8" s="492">
        <f>SUM(C8:N8)</f>
        <v>856623.80999999994</v>
      </c>
    </row>
    <row r="9" spans="1:19" x14ac:dyDescent="0.3">
      <c r="A9" s="534" t="s">
        <v>327</v>
      </c>
      <c r="B9" s="535">
        <v>0.15</v>
      </c>
      <c r="C9" s="536"/>
      <c r="D9" s="537"/>
      <c r="E9" s="537"/>
      <c r="F9" s="537"/>
      <c r="G9" s="537"/>
      <c r="H9" s="538"/>
      <c r="I9" s="537"/>
      <c r="J9" s="539"/>
      <c r="K9" s="537"/>
      <c r="L9" s="539"/>
      <c r="M9" s="539"/>
      <c r="N9" s="540"/>
      <c r="O9" s="491">
        <f t="shared" si="0"/>
        <v>0</v>
      </c>
    </row>
    <row r="10" spans="1:19" x14ac:dyDescent="0.3">
      <c r="A10" s="541" t="s">
        <v>313</v>
      </c>
      <c r="B10" s="542">
        <v>1</v>
      </c>
      <c r="C10" s="592">
        <f t="shared" ref="C10:N10" si="1">C9*$B$9+(C8*$B$8)+(C6*$B$6)+(C7*$B$7)</f>
        <v>28780.974999999999</v>
      </c>
      <c r="D10" s="591">
        <f t="shared" si="1"/>
        <v>21328.235749999993</v>
      </c>
      <c r="E10" s="591">
        <f t="shared" si="1"/>
        <v>14741.099999999999</v>
      </c>
      <c r="F10" s="591">
        <f t="shared" si="1"/>
        <v>53.625</v>
      </c>
      <c r="G10" s="591">
        <f t="shared" si="1"/>
        <v>0</v>
      </c>
      <c r="H10" s="593">
        <f t="shared" si="1"/>
        <v>0</v>
      </c>
      <c r="I10" s="591">
        <f t="shared" si="1"/>
        <v>0</v>
      </c>
      <c r="J10" s="591">
        <f t="shared" si="1"/>
        <v>0</v>
      </c>
      <c r="K10" s="591">
        <f t="shared" si="1"/>
        <v>0</v>
      </c>
      <c r="L10" s="591">
        <f t="shared" si="1"/>
        <v>0</v>
      </c>
      <c r="M10" s="591">
        <f t="shared" si="1"/>
        <v>0</v>
      </c>
      <c r="N10" s="593">
        <f t="shared" si="1"/>
        <v>0</v>
      </c>
      <c r="O10" s="555">
        <f t="shared" si="0"/>
        <v>64903.93574999999</v>
      </c>
    </row>
    <row r="11" spans="1:19" x14ac:dyDescent="0.3">
      <c r="A11" s="514" t="s">
        <v>256</v>
      </c>
      <c r="B11" s="543">
        <v>0.1</v>
      </c>
      <c r="C11" s="518"/>
      <c r="D11" s="522"/>
      <c r="E11" s="522"/>
      <c r="F11" s="522"/>
      <c r="G11" s="521"/>
      <c r="H11" s="531"/>
      <c r="I11" s="532"/>
      <c r="J11" s="532"/>
      <c r="K11" s="516"/>
      <c r="L11" s="532"/>
      <c r="M11" s="532"/>
      <c r="N11" s="532"/>
      <c r="O11" s="490"/>
    </row>
    <row r="12" spans="1:19" x14ac:dyDescent="0.3">
      <c r="A12" s="534" t="s">
        <v>312</v>
      </c>
      <c r="B12" s="544">
        <v>0.15</v>
      </c>
      <c r="C12" s="545">
        <f>AIA!C6+AIA!C7</f>
        <v>0</v>
      </c>
      <c r="D12" s="546">
        <f>AIA!D6</f>
        <v>0</v>
      </c>
      <c r="E12" s="546">
        <f>AIA!E7+AIA!E6</f>
        <v>0</v>
      </c>
      <c r="F12" s="546">
        <f>AIA!F6+AIA!F7</f>
        <v>0</v>
      </c>
      <c r="G12" s="546">
        <f>AIA!G6+AIA!G7</f>
        <v>0</v>
      </c>
      <c r="H12" s="546">
        <f>AIA!H6+AIA!H7</f>
        <v>0</v>
      </c>
      <c r="I12" s="545">
        <f>AIA!I6+AIA!I7</f>
        <v>0</v>
      </c>
      <c r="J12" s="546">
        <f>AIA!J6+AIA!J7</f>
        <v>0</v>
      </c>
      <c r="K12" s="546">
        <f>AIA!K6+AIA!K7</f>
        <v>0</v>
      </c>
      <c r="L12" s="546">
        <f>AIA!L6+AIA!L7</f>
        <v>0</v>
      </c>
      <c r="M12" s="546">
        <f>AIA!M6+AIA!M7</f>
        <v>0</v>
      </c>
      <c r="N12" s="538">
        <f>AIA!N6+AIA!N7</f>
        <v>0</v>
      </c>
      <c r="O12" s="495">
        <f>SUM(C12:N12)</f>
        <v>0</v>
      </c>
    </row>
    <row r="13" spans="1:19" x14ac:dyDescent="0.3">
      <c r="A13" s="547" t="s">
        <v>311</v>
      </c>
      <c r="B13" s="590"/>
      <c r="C13" s="548">
        <f t="shared" ref="C13:N13" si="2">C3+C4+C5+C10+C11+C12</f>
        <v>28780.974999999999</v>
      </c>
      <c r="D13" s="548">
        <f t="shared" si="2"/>
        <v>21328.235749999993</v>
      </c>
      <c r="E13" s="548">
        <f t="shared" si="2"/>
        <v>14741.099999999999</v>
      </c>
      <c r="F13" s="548">
        <f t="shared" si="2"/>
        <v>53.625</v>
      </c>
      <c r="G13" s="548">
        <f t="shared" si="2"/>
        <v>0</v>
      </c>
      <c r="H13" s="515">
        <f t="shared" si="2"/>
        <v>0</v>
      </c>
      <c r="I13" s="548">
        <f t="shared" si="2"/>
        <v>0</v>
      </c>
      <c r="J13" s="548">
        <f t="shared" si="2"/>
        <v>0</v>
      </c>
      <c r="K13" s="548">
        <f t="shared" si="2"/>
        <v>0</v>
      </c>
      <c r="L13" s="548">
        <f t="shared" si="2"/>
        <v>0</v>
      </c>
      <c r="M13" s="548">
        <f t="shared" si="2"/>
        <v>0</v>
      </c>
      <c r="N13" s="515">
        <f t="shared" si="2"/>
        <v>0</v>
      </c>
      <c r="O13" s="341">
        <f>SUM(C13:N13)</f>
        <v>64903.93574999999</v>
      </c>
    </row>
    <row r="14" spans="1:19" s="437" customFormat="1" x14ac:dyDescent="0.3">
      <c r="A14" s="324" t="s">
        <v>497</v>
      </c>
      <c r="B14" s="445">
        <f>O14/O13</f>
        <v>0</v>
      </c>
      <c r="C14" s="400">
        <f t="shared" ref="C14:N14" si="3">C3*$B$3+C4*$B$4+C5*$B$5+C12*$B$12</f>
        <v>0</v>
      </c>
      <c r="D14" s="400">
        <f t="shared" si="3"/>
        <v>0</v>
      </c>
      <c r="E14" s="400">
        <f t="shared" si="3"/>
        <v>0</v>
      </c>
      <c r="F14" s="400">
        <f t="shared" si="3"/>
        <v>0</v>
      </c>
      <c r="G14" s="400">
        <f t="shared" si="3"/>
        <v>0</v>
      </c>
      <c r="H14" s="400">
        <f t="shared" si="3"/>
        <v>0</v>
      </c>
      <c r="I14" s="400">
        <f t="shared" si="3"/>
        <v>0</v>
      </c>
      <c r="J14" s="400">
        <f t="shared" si="3"/>
        <v>0</v>
      </c>
      <c r="K14" s="400">
        <f t="shared" si="3"/>
        <v>0</v>
      </c>
      <c r="L14" s="400">
        <f t="shared" si="3"/>
        <v>0</v>
      </c>
      <c r="M14" s="400">
        <f t="shared" si="3"/>
        <v>0</v>
      </c>
      <c r="N14" s="400">
        <f t="shared" si="3"/>
        <v>0</v>
      </c>
      <c r="O14" s="483">
        <f>SUM(C14:N14)</f>
        <v>0</v>
      </c>
      <c r="P14" s="446"/>
      <c r="Q14" s="439">
        <f>O13-O14</f>
        <v>64903.93574999999</v>
      </c>
      <c r="S14" s="447"/>
    </row>
    <row r="15" spans="1:19" s="437" customFormat="1" x14ac:dyDescent="0.3">
      <c r="A15" s="472" t="s">
        <v>498</v>
      </c>
      <c r="B15" s="448">
        <f>C15/C48</f>
        <v>1</v>
      </c>
      <c r="C15" s="475">
        <f>C3*B3+C4*B4+C5*$B$5+C10*$B$10+C11*$B$11+C12*$B$12</f>
        <v>28780.974999999999</v>
      </c>
      <c r="D15" s="473">
        <f t="shared" ref="D15:N15" si="4">D14+C15</f>
        <v>28780.974999999999</v>
      </c>
      <c r="E15" s="473">
        <f t="shared" si="4"/>
        <v>28780.974999999999</v>
      </c>
      <c r="F15" s="473">
        <f t="shared" si="4"/>
        <v>28780.974999999999</v>
      </c>
      <c r="G15" s="473">
        <f t="shared" si="4"/>
        <v>28780.974999999999</v>
      </c>
      <c r="H15" s="474">
        <f t="shared" si="4"/>
        <v>28780.974999999999</v>
      </c>
      <c r="I15" s="473">
        <f t="shared" si="4"/>
        <v>28780.974999999999</v>
      </c>
      <c r="J15" s="473">
        <f t="shared" si="4"/>
        <v>28780.974999999999</v>
      </c>
      <c r="K15" s="473">
        <f t="shared" si="4"/>
        <v>28780.974999999999</v>
      </c>
      <c r="L15" s="473">
        <f t="shared" si="4"/>
        <v>28780.974999999999</v>
      </c>
      <c r="M15" s="473">
        <f t="shared" si="4"/>
        <v>28780.974999999999</v>
      </c>
      <c r="N15" s="474">
        <f t="shared" si="4"/>
        <v>28780.974999999999</v>
      </c>
      <c r="O15" s="483"/>
      <c r="P15" s="446"/>
    </row>
    <row r="16" spans="1:19" s="437" customFormat="1" x14ac:dyDescent="0.3">
      <c r="A16" s="496" t="s">
        <v>317</v>
      </c>
      <c r="B16" s="497">
        <f>O16/O13</f>
        <v>15.623089544303948</v>
      </c>
      <c r="C16" s="498">
        <v>82000</v>
      </c>
      <c r="D16" s="499">
        <v>82000</v>
      </c>
      <c r="E16" s="499">
        <v>82000</v>
      </c>
      <c r="F16" s="499">
        <v>82000</v>
      </c>
      <c r="G16" s="499">
        <v>82000</v>
      </c>
      <c r="H16" s="500">
        <v>82000</v>
      </c>
      <c r="I16" s="501">
        <v>87000</v>
      </c>
      <c r="J16" s="498">
        <v>87000</v>
      </c>
      <c r="K16" s="498">
        <v>87000</v>
      </c>
      <c r="L16" s="498">
        <v>87000</v>
      </c>
      <c r="M16" s="498">
        <v>87000</v>
      </c>
      <c r="N16" s="502">
        <v>87000</v>
      </c>
      <c r="O16" s="446">
        <f t="shared" ref="O16:O21" si="5">SUM(C16:N16)</f>
        <v>1014000</v>
      </c>
      <c r="P16" s="596">
        <f>800000+200000+50000</f>
        <v>1050000</v>
      </c>
    </row>
    <row r="17" spans="1:16" s="437" customFormat="1" x14ac:dyDescent="0.3">
      <c r="A17" s="503" t="s">
        <v>318</v>
      </c>
      <c r="B17" s="504"/>
      <c r="C17" s="505">
        <v>4000</v>
      </c>
      <c r="D17" s="505">
        <v>4000</v>
      </c>
      <c r="E17" s="505">
        <v>4000</v>
      </c>
      <c r="F17" s="505">
        <v>4000</v>
      </c>
      <c r="G17" s="505">
        <v>4000</v>
      </c>
      <c r="H17" s="505">
        <v>4000</v>
      </c>
      <c r="I17" s="505">
        <v>4000</v>
      </c>
      <c r="J17" s="505">
        <v>4000</v>
      </c>
      <c r="K17" s="505">
        <v>4000</v>
      </c>
      <c r="L17" s="505">
        <v>4000</v>
      </c>
      <c r="M17" s="505">
        <v>4000</v>
      </c>
      <c r="N17" s="505">
        <v>4000</v>
      </c>
      <c r="O17" s="74">
        <f t="shared" si="5"/>
        <v>48000</v>
      </c>
      <c r="P17" s="446"/>
    </row>
    <row r="18" spans="1:16" s="437" customFormat="1" x14ac:dyDescent="0.3">
      <c r="A18" s="506" t="s">
        <v>337</v>
      </c>
      <c r="B18" s="507"/>
      <c r="C18" s="501">
        <f>SUM(C16:C17)</f>
        <v>86000</v>
      </c>
      <c r="D18" s="501">
        <f t="shared" ref="D18:N18" si="6">SUM(D16:D17)</f>
        <v>86000</v>
      </c>
      <c r="E18" s="501">
        <f t="shared" si="6"/>
        <v>86000</v>
      </c>
      <c r="F18" s="501">
        <f t="shared" si="6"/>
        <v>86000</v>
      </c>
      <c r="G18" s="501">
        <f t="shared" si="6"/>
        <v>86000</v>
      </c>
      <c r="H18" s="500">
        <f t="shared" si="6"/>
        <v>86000</v>
      </c>
      <c r="I18" s="501">
        <f t="shared" si="6"/>
        <v>91000</v>
      </c>
      <c r="J18" s="501">
        <f t="shared" si="6"/>
        <v>91000</v>
      </c>
      <c r="K18" s="501">
        <f t="shared" si="6"/>
        <v>91000</v>
      </c>
      <c r="L18" s="501">
        <f t="shared" si="6"/>
        <v>91000</v>
      </c>
      <c r="M18" s="501">
        <f t="shared" si="6"/>
        <v>91000</v>
      </c>
      <c r="N18" s="500">
        <f t="shared" si="6"/>
        <v>91000</v>
      </c>
      <c r="O18" s="446"/>
      <c r="P18" s="446"/>
    </row>
    <row r="19" spans="1:16" s="437" customFormat="1" x14ac:dyDescent="0.3">
      <c r="A19" s="508" t="s">
        <v>330</v>
      </c>
      <c r="B19" s="507"/>
      <c r="C19" s="501">
        <f>C18</f>
        <v>86000</v>
      </c>
      <c r="D19" s="501">
        <f>C19+D18</f>
        <v>172000</v>
      </c>
      <c r="E19" s="501">
        <f t="shared" ref="E19:N19" si="7">D19+E18</f>
        <v>258000</v>
      </c>
      <c r="F19" s="501">
        <f t="shared" si="7"/>
        <v>344000</v>
      </c>
      <c r="G19" s="501">
        <f t="shared" si="7"/>
        <v>430000</v>
      </c>
      <c r="H19" s="500">
        <f t="shared" si="7"/>
        <v>516000</v>
      </c>
      <c r="I19" s="501">
        <f t="shared" si="7"/>
        <v>607000</v>
      </c>
      <c r="J19" s="501">
        <f t="shared" si="7"/>
        <v>698000</v>
      </c>
      <c r="K19" s="501">
        <f t="shared" si="7"/>
        <v>789000</v>
      </c>
      <c r="L19" s="501">
        <f t="shared" si="7"/>
        <v>880000</v>
      </c>
      <c r="M19" s="501">
        <f t="shared" si="7"/>
        <v>971000</v>
      </c>
      <c r="N19" s="500">
        <f t="shared" si="7"/>
        <v>1062000</v>
      </c>
      <c r="O19" s="446"/>
      <c r="P19" s="446"/>
    </row>
    <row r="20" spans="1:16" s="437" customFormat="1" hidden="1" x14ac:dyDescent="0.3">
      <c r="A20" s="509" t="s">
        <v>319</v>
      </c>
      <c r="B20" s="336"/>
      <c r="C20" s="435">
        <f>C14-C18</f>
        <v>-86000</v>
      </c>
      <c r="D20" s="435">
        <f t="shared" ref="D20:N20" si="8">D14-D18</f>
        <v>-86000</v>
      </c>
      <c r="E20" s="435">
        <f t="shared" si="8"/>
        <v>-86000</v>
      </c>
      <c r="F20" s="435">
        <f t="shared" si="8"/>
        <v>-86000</v>
      </c>
      <c r="G20" s="435">
        <f t="shared" si="8"/>
        <v>-86000</v>
      </c>
      <c r="H20" s="418">
        <f t="shared" si="8"/>
        <v>-86000</v>
      </c>
      <c r="I20" s="435">
        <f t="shared" si="8"/>
        <v>-91000</v>
      </c>
      <c r="J20" s="435">
        <f t="shared" si="8"/>
        <v>-91000</v>
      </c>
      <c r="K20" s="435">
        <f t="shared" si="8"/>
        <v>-91000</v>
      </c>
      <c r="L20" s="435">
        <f t="shared" si="8"/>
        <v>-91000</v>
      </c>
      <c r="M20" s="435">
        <f t="shared" si="8"/>
        <v>-91000</v>
      </c>
      <c r="N20" s="418">
        <f t="shared" si="8"/>
        <v>-91000</v>
      </c>
      <c r="O20" s="446">
        <f t="shared" si="5"/>
        <v>-1062000</v>
      </c>
      <c r="P20" s="446"/>
    </row>
    <row r="21" spans="1:16" s="437" customFormat="1" hidden="1" x14ac:dyDescent="0.3">
      <c r="A21" s="510" t="s">
        <v>320</v>
      </c>
      <c r="B21" s="398"/>
      <c r="C21" s="589"/>
      <c r="D21" s="449"/>
      <c r="E21" s="449"/>
      <c r="F21" s="449"/>
      <c r="G21" s="449"/>
      <c r="H21" s="480"/>
      <c r="I21" s="449"/>
      <c r="J21" s="449"/>
      <c r="K21" s="450"/>
      <c r="L21" s="449"/>
      <c r="M21" s="449"/>
      <c r="N21" s="480"/>
      <c r="O21" s="74">
        <f t="shared" si="5"/>
        <v>0</v>
      </c>
      <c r="P21" s="446"/>
    </row>
    <row r="22" spans="1:16" s="437" customFormat="1" hidden="1" x14ac:dyDescent="0.3">
      <c r="A22" s="401" t="s">
        <v>324</v>
      </c>
      <c r="B22" s="261"/>
      <c r="C22" s="477">
        <f>C20</f>
        <v>-86000</v>
      </c>
      <c r="D22" s="477">
        <f t="shared" ref="D22:N22" si="9">D20+C22</f>
        <v>-172000</v>
      </c>
      <c r="E22" s="477">
        <f t="shared" si="9"/>
        <v>-258000</v>
      </c>
      <c r="F22" s="477">
        <f>F20+E22</f>
        <v>-344000</v>
      </c>
      <c r="G22" s="477">
        <f>G20+F22</f>
        <v>-430000</v>
      </c>
      <c r="H22" s="568">
        <f t="shared" si="9"/>
        <v>-516000</v>
      </c>
      <c r="I22" s="477">
        <f t="shared" si="9"/>
        <v>-607000</v>
      </c>
      <c r="J22" s="477">
        <f t="shared" si="9"/>
        <v>-698000</v>
      </c>
      <c r="K22" s="477">
        <f t="shared" si="9"/>
        <v>-789000</v>
      </c>
      <c r="L22" s="477">
        <f t="shared" si="9"/>
        <v>-880000</v>
      </c>
      <c r="M22" s="477">
        <f t="shared" si="9"/>
        <v>-971000</v>
      </c>
      <c r="N22" s="481">
        <f t="shared" si="9"/>
        <v>-1062000</v>
      </c>
      <c r="O22" s="454"/>
      <c r="P22" s="454"/>
    </row>
    <row r="23" spans="1:16" s="437" customFormat="1" x14ac:dyDescent="0.3">
      <c r="A23" s="401" t="s">
        <v>356</v>
      </c>
      <c r="B23" s="261"/>
      <c r="C23" s="598">
        <v>138</v>
      </c>
      <c r="D23" s="598">
        <v>3838</v>
      </c>
      <c r="E23" s="598"/>
      <c r="F23" s="598"/>
      <c r="G23" s="598"/>
      <c r="H23" s="598"/>
      <c r="I23" s="598"/>
      <c r="J23" s="598"/>
      <c r="K23" s="598"/>
      <c r="L23" s="598"/>
      <c r="M23" s="598"/>
      <c r="N23" s="598"/>
      <c r="O23" s="454"/>
      <c r="P23" s="454"/>
    </row>
    <row r="24" spans="1:16" s="437" customFormat="1" ht="15" thickBot="1" x14ac:dyDescent="0.35">
      <c r="A24" s="511" t="s">
        <v>353</v>
      </c>
      <c r="B24" s="512"/>
      <c r="C24" s="597">
        <v>138</v>
      </c>
      <c r="D24" s="597">
        <f>C24+D23</f>
        <v>3976</v>
      </c>
      <c r="E24" s="597">
        <f t="shared" ref="E24:N24" si="10">D24+E23</f>
        <v>3976</v>
      </c>
      <c r="F24" s="597">
        <f t="shared" si="10"/>
        <v>3976</v>
      </c>
      <c r="G24" s="597">
        <f t="shared" si="10"/>
        <v>3976</v>
      </c>
      <c r="H24" s="597">
        <f t="shared" si="10"/>
        <v>3976</v>
      </c>
      <c r="I24" s="597">
        <f t="shared" si="10"/>
        <v>3976</v>
      </c>
      <c r="J24" s="597">
        <f t="shared" si="10"/>
        <v>3976</v>
      </c>
      <c r="K24" s="597">
        <f t="shared" si="10"/>
        <v>3976</v>
      </c>
      <c r="L24" s="597">
        <f t="shared" si="10"/>
        <v>3976</v>
      </c>
      <c r="M24" s="597">
        <f t="shared" si="10"/>
        <v>3976</v>
      </c>
      <c r="N24" s="597">
        <f t="shared" si="10"/>
        <v>3976</v>
      </c>
      <c r="O24" s="454"/>
      <c r="P24" s="454"/>
    </row>
    <row r="25" spans="1:16" s="437" customFormat="1" hidden="1" x14ac:dyDescent="0.3">
      <c r="A25" s="401" t="s">
        <v>355</v>
      </c>
      <c r="B25" s="261"/>
      <c r="C25" s="478">
        <f>$O$25/12</f>
        <v>-11416.666666666666</v>
      </c>
      <c r="D25" s="478">
        <f>C25+$O$25/12</f>
        <v>-22833.333333333332</v>
      </c>
      <c r="E25" s="478">
        <f t="shared" ref="E25:N25" si="11">D25+$O$25/12</f>
        <v>-34250</v>
      </c>
      <c r="F25" s="478">
        <f t="shared" si="11"/>
        <v>-45666.666666666664</v>
      </c>
      <c r="G25" s="478">
        <f t="shared" si="11"/>
        <v>-57083.333333333328</v>
      </c>
      <c r="H25" s="478">
        <f t="shared" si="11"/>
        <v>-68500</v>
      </c>
      <c r="I25" s="478">
        <f t="shared" si="11"/>
        <v>-79916.666666666672</v>
      </c>
      <c r="J25" s="478">
        <f t="shared" si="11"/>
        <v>-91333.333333333343</v>
      </c>
      <c r="K25" s="478">
        <f t="shared" si="11"/>
        <v>-102750.00000000001</v>
      </c>
      <c r="L25" s="478">
        <f t="shared" si="11"/>
        <v>-114166.66666666669</v>
      </c>
      <c r="M25" s="478">
        <f t="shared" si="11"/>
        <v>-125583.33333333336</v>
      </c>
      <c r="N25" s="478">
        <f t="shared" si="11"/>
        <v>-137000.00000000003</v>
      </c>
      <c r="O25" s="454">
        <v>-137000</v>
      </c>
      <c r="P25" s="454"/>
    </row>
    <row r="26" spans="1:16" s="437" customFormat="1" hidden="1" x14ac:dyDescent="0.3">
      <c r="A26" s="401" t="s">
        <v>321</v>
      </c>
      <c r="B26" s="39"/>
      <c r="C26" s="477">
        <f>C25</f>
        <v>-11416.666666666666</v>
      </c>
      <c r="D26" s="477">
        <f>C26+D25</f>
        <v>-34250</v>
      </c>
      <c r="E26" s="477">
        <f t="shared" ref="E26:N26" si="12">D26+E25</f>
        <v>-68500</v>
      </c>
      <c r="F26" s="477">
        <f t="shared" si="12"/>
        <v>-114166.66666666666</v>
      </c>
      <c r="G26" s="477">
        <f t="shared" si="12"/>
        <v>-171250</v>
      </c>
      <c r="H26" s="481">
        <f t="shared" si="12"/>
        <v>-239750</v>
      </c>
      <c r="I26" s="477">
        <f t="shared" si="12"/>
        <v>-319666.66666666669</v>
      </c>
      <c r="J26" s="477">
        <f t="shared" si="12"/>
        <v>-411000</v>
      </c>
      <c r="K26" s="477">
        <f t="shared" si="12"/>
        <v>-513750</v>
      </c>
      <c r="L26" s="477">
        <f t="shared" si="12"/>
        <v>-627916.66666666674</v>
      </c>
      <c r="M26" s="477">
        <f t="shared" si="12"/>
        <v>-753500.00000000012</v>
      </c>
      <c r="N26" s="481">
        <f t="shared" si="12"/>
        <v>-890500.00000000012</v>
      </c>
      <c r="O26" s="455"/>
      <c r="P26" s="455"/>
    </row>
    <row r="27" spans="1:16" s="437" customFormat="1" ht="15" hidden="1" thickBot="1" x14ac:dyDescent="0.35">
      <c r="A27" s="39" t="s">
        <v>322</v>
      </c>
      <c r="B27" s="39"/>
      <c r="C27" s="451">
        <f>C24-C25</f>
        <v>11554.666666666666</v>
      </c>
      <c r="D27" s="451">
        <f t="shared" ref="D27:N27" si="13">D24-D25</f>
        <v>26809.333333333332</v>
      </c>
      <c r="E27" s="451">
        <f t="shared" si="13"/>
        <v>38226</v>
      </c>
      <c r="F27" s="451">
        <f t="shared" si="13"/>
        <v>49642.666666666664</v>
      </c>
      <c r="G27" s="451">
        <f t="shared" si="13"/>
        <v>61059.333333333328</v>
      </c>
      <c r="H27" s="569">
        <f t="shared" si="13"/>
        <v>72476</v>
      </c>
      <c r="I27" s="451">
        <f t="shared" si="13"/>
        <v>83892.666666666672</v>
      </c>
      <c r="J27" s="451">
        <f t="shared" si="13"/>
        <v>95309.333333333343</v>
      </c>
      <c r="K27" s="451">
        <f t="shared" si="13"/>
        <v>106726.00000000001</v>
      </c>
      <c r="L27" s="451">
        <f t="shared" si="13"/>
        <v>118142.66666666669</v>
      </c>
      <c r="M27" s="451">
        <f t="shared" si="13"/>
        <v>129559.33333333336</v>
      </c>
      <c r="N27" s="569">
        <f t="shared" si="13"/>
        <v>140976.00000000003</v>
      </c>
    </row>
    <row r="28" spans="1:16" s="437" customFormat="1" ht="18" x14ac:dyDescent="0.35">
      <c r="A28" s="554" t="s">
        <v>311</v>
      </c>
      <c r="B28" s="60"/>
      <c r="C28" s="485"/>
      <c r="D28" s="485"/>
      <c r="E28" s="485"/>
      <c r="F28" s="485"/>
      <c r="G28" s="485"/>
      <c r="H28" s="486"/>
      <c r="I28" s="485"/>
      <c r="J28" s="485"/>
      <c r="K28" s="485"/>
      <c r="L28" s="485"/>
      <c r="M28" s="485"/>
      <c r="N28" s="570"/>
      <c r="O28" s="39"/>
    </row>
    <row r="29" spans="1:16" s="437" customFormat="1" x14ac:dyDescent="0.3">
      <c r="A29" s="574" t="s">
        <v>511</v>
      </c>
      <c r="B29" s="574"/>
      <c r="C29" s="578">
        <f>O29/12</f>
        <v>0</v>
      </c>
      <c r="D29" s="578">
        <f>C29+($O$29/12)</f>
        <v>0</v>
      </c>
      <c r="E29" s="578">
        <f t="shared" ref="E29:N29" si="14">D29+($O$29/12)</f>
        <v>0</v>
      </c>
      <c r="F29" s="578">
        <f t="shared" si="14"/>
        <v>0</v>
      </c>
      <c r="G29" s="578">
        <f t="shared" si="14"/>
        <v>0</v>
      </c>
      <c r="H29" s="578">
        <f t="shared" si="14"/>
        <v>0</v>
      </c>
      <c r="I29" s="578">
        <f t="shared" si="14"/>
        <v>0</v>
      </c>
      <c r="J29" s="578">
        <f t="shared" si="14"/>
        <v>0</v>
      </c>
      <c r="K29" s="578">
        <f t="shared" si="14"/>
        <v>0</v>
      </c>
      <c r="L29" s="578">
        <f t="shared" si="14"/>
        <v>0</v>
      </c>
      <c r="M29" s="578">
        <f t="shared" si="14"/>
        <v>0</v>
      </c>
      <c r="N29" s="578">
        <f t="shared" si="14"/>
        <v>0</v>
      </c>
      <c r="O29" s="513">
        <v>0</v>
      </c>
    </row>
    <row r="30" spans="1:16" x14ac:dyDescent="0.3">
      <c r="A30" s="574" t="s">
        <v>339</v>
      </c>
      <c r="B30" s="574"/>
      <c r="C30" s="575">
        <f>'Monthly Data'!C51</f>
        <v>0</v>
      </c>
      <c r="D30" s="575">
        <f>'Monthly Data'!D51</f>
        <v>0</v>
      </c>
      <c r="E30" s="575">
        <f>'Monthly Data'!E51</f>
        <v>0</v>
      </c>
      <c r="F30" s="575">
        <f>'Monthly Data'!F51</f>
        <v>0</v>
      </c>
      <c r="G30" s="575">
        <f>'Monthly Data'!G51</f>
        <v>0</v>
      </c>
      <c r="H30" s="576">
        <f>'Monthly Data'!H51</f>
        <v>0</v>
      </c>
      <c r="I30" s="575">
        <f>'Monthly Data'!I51</f>
        <v>0</v>
      </c>
      <c r="J30" s="575">
        <f>'Monthly Data'!J51</f>
        <v>0</v>
      </c>
      <c r="K30" s="575">
        <f>'Monthly Data'!K51</f>
        <v>0</v>
      </c>
      <c r="L30" s="575">
        <f>'Monthly Data'!L51</f>
        <v>0</v>
      </c>
      <c r="M30" s="575">
        <f>'Monthly Data'!M51</f>
        <v>0</v>
      </c>
      <c r="N30" s="576">
        <f>'Monthly Data'!N51</f>
        <v>0</v>
      </c>
      <c r="O30" s="513"/>
    </row>
    <row r="31" spans="1:16" s="437" customFormat="1" x14ac:dyDescent="0.3">
      <c r="A31" s="615" t="s">
        <v>505</v>
      </c>
      <c r="B31" s="615"/>
      <c r="C31" s="653">
        <v>1588.5</v>
      </c>
      <c r="D31" s="653">
        <v>6223.5</v>
      </c>
      <c r="E31" s="653">
        <v>6823.5</v>
      </c>
      <c r="F31" s="653">
        <v>8687.5</v>
      </c>
      <c r="G31" s="653">
        <v>33667.5</v>
      </c>
      <c r="H31" s="576">
        <v>47392.5</v>
      </c>
      <c r="I31" s="653">
        <v>84622.5</v>
      </c>
      <c r="J31" s="653">
        <v>85647.5</v>
      </c>
      <c r="K31" s="653">
        <v>85647.5</v>
      </c>
      <c r="L31" s="653">
        <v>86437.5</v>
      </c>
      <c r="M31" s="653">
        <v>96622.5</v>
      </c>
      <c r="N31" s="576">
        <v>97412.5</v>
      </c>
      <c r="O31" s="39"/>
    </row>
    <row r="32" spans="1:16" s="437" customFormat="1" x14ac:dyDescent="0.3">
      <c r="A32" s="574" t="s">
        <v>517</v>
      </c>
      <c r="B32" s="574"/>
      <c r="C32" s="578">
        <f>O32/12</f>
        <v>41666.666666666664</v>
      </c>
      <c r="D32" s="578">
        <f>C32+($O$32/12)</f>
        <v>83333.333333333328</v>
      </c>
      <c r="E32" s="578">
        <f t="shared" ref="E32:N32" si="15">D32+($O$32/12)</f>
        <v>125000</v>
      </c>
      <c r="F32" s="578">
        <f t="shared" si="15"/>
        <v>166666.66666666666</v>
      </c>
      <c r="G32" s="578">
        <f t="shared" si="15"/>
        <v>208333.33333333331</v>
      </c>
      <c r="H32" s="578">
        <f t="shared" si="15"/>
        <v>249999.99999999997</v>
      </c>
      <c r="I32" s="578">
        <f t="shared" si="15"/>
        <v>291666.66666666663</v>
      </c>
      <c r="J32" s="578">
        <f t="shared" si="15"/>
        <v>333333.33333333331</v>
      </c>
      <c r="K32" s="578">
        <f t="shared" si="15"/>
        <v>375000</v>
      </c>
      <c r="L32" s="578">
        <f t="shared" si="15"/>
        <v>416666.66666666669</v>
      </c>
      <c r="M32" s="578">
        <f t="shared" si="15"/>
        <v>458333.33333333337</v>
      </c>
      <c r="N32" s="578">
        <f t="shared" si="15"/>
        <v>500000.00000000006</v>
      </c>
      <c r="O32" s="513">
        <v>500000</v>
      </c>
    </row>
    <row r="33" spans="1:15" s="437" customFormat="1" x14ac:dyDescent="0.3">
      <c r="A33" s="574" t="s">
        <v>340</v>
      </c>
      <c r="B33" s="574"/>
      <c r="C33" s="575">
        <f>'Monthly Data'!C52</f>
        <v>0</v>
      </c>
      <c r="D33" s="575">
        <f>'Monthly Data'!D52</f>
        <v>0</v>
      </c>
      <c r="E33" s="575">
        <f>'Monthly Data'!E52</f>
        <v>0</v>
      </c>
      <c r="F33" s="575">
        <f>'Monthly Data'!F52</f>
        <v>0</v>
      </c>
      <c r="G33" s="575">
        <f>'Monthly Data'!G52</f>
        <v>0</v>
      </c>
      <c r="H33" s="576">
        <f>'Monthly Data'!H52</f>
        <v>0</v>
      </c>
      <c r="I33" s="575">
        <f>'Monthly Data'!I52</f>
        <v>0</v>
      </c>
      <c r="J33" s="575">
        <f>'Monthly Data'!J52</f>
        <v>0</v>
      </c>
      <c r="K33" s="575">
        <f>'Monthly Data'!K52</f>
        <v>0</v>
      </c>
      <c r="L33" s="575">
        <f>'Monthly Data'!L52</f>
        <v>0</v>
      </c>
      <c r="M33" s="575">
        <f>'Monthly Data'!M52</f>
        <v>0</v>
      </c>
      <c r="N33" s="576">
        <f>'Monthly Data'!N52</f>
        <v>0</v>
      </c>
      <c r="O33" s="513"/>
    </row>
    <row r="34" spans="1:15" s="437" customFormat="1" x14ac:dyDescent="0.3">
      <c r="A34" s="615" t="s">
        <v>506</v>
      </c>
      <c r="B34" s="574"/>
      <c r="C34" s="653">
        <v>15514.5</v>
      </c>
      <c r="D34" s="653">
        <v>22932.5</v>
      </c>
      <c r="E34" s="653">
        <v>41579.5</v>
      </c>
      <c r="F34" s="653">
        <v>49547.65</v>
      </c>
      <c r="G34" s="653">
        <v>58708.65</v>
      </c>
      <c r="H34" s="576">
        <v>99658</v>
      </c>
      <c r="I34" s="653">
        <v>110984</v>
      </c>
      <c r="J34" s="653">
        <v>136405</v>
      </c>
      <c r="K34" s="653">
        <v>144601</v>
      </c>
      <c r="L34" s="653">
        <v>150010.5</v>
      </c>
      <c r="M34" s="653">
        <v>153341</v>
      </c>
      <c r="N34" s="576">
        <v>218118.39999999999</v>
      </c>
      <c r="O34" s="513"/>
    </row>
    <row r="35" spans="1:15" s="437" customFormat="1" x14ac:dyDescent="0.3">
      <c r="A35" s="574" t="s">
        <v>512</v>
      </c>
      <c r="B35" s="574"/>
      <c r="C35" s="578">
        <f>O35/12</f>
        <v>0</v>
      </c>
      <c r="D35" s="578">
        <f>C35+($O$35/12)</f>
        <v>0</v>
      </c>
      <c r="E35" s="578">
        <f t="shared" ref="E35:N35" si="16">D35+($O$35/12)</f>
        <v>0</v>
      </c>
      <c r="F35" s="578">
        <f t="shared" si="16"/>
        <v>0</v>
      </c>
      <c r="G35" s="578">
        <f t="shared" si="16"/>
        <v>0</v>
      </c>
      <c r="H35" s="578">
        <f t="shared" si="16"/>
        <v>0</v>
      </c>
      <c r="I35" s="578">
        <f t="shared" si="16"/>
        <v>0</v>
      </c>
      <c r="J35" s="578">
        <f t="shared" si="16"/>
        <v>0</v>
      </c>
      <c r="K35" s="578">
        <f t="shared" si="16"/>
        <v>0</v>
      </c>
      <c r="L35" s="578">
        <f t="shared" si="16"/>
        <v>0</v>
      </c>
      <c r="M35" s="578">
        <f t="shared" si="16"/>
        <v>0</v>
      </c>
      <c r="N35" s="578">
        <f t="shared" si="16"/>
        <v>0</v>
      </c>
      <c r="O35" s="513">
        <v>0</v>
      </c>
    </row>
    <row r="36" spans="1:15" s="437" customFormat="1" x14ac:dyDescent="0.3">
      <c r="A36" s="574" t="s">
        <v>341</v>
      </c>
      <c r="B36" s="574"/>
      <c r="C36" s="575">
        <f>'Monthly Data'!C53</f>
        <v>0</v>
      </c>
      <c r="D36" s="575">
        <f>'Monthly Data'!D53</f>
        <v>0</v>
      </c>
      <c r="E36" s="575">
        <f>'Monthly Data'!E53</f>
        <v>0</v>
      </c>
      <c r="F36" s="575">
        <f>'Monthly Data'!F53</f>
        <v>0</v>
      </c>
      <c r="G36" s="575">
        <f>'Monthly Data'!G53</f>
        <v>0</v>
      </c>
      <c r="H36" s="576">
        <f>'Monthly Data'!H53</f>
        <v>0</v>
      </c>
      <c r="I36" s="575">
        <f>'Monthly Data'!I53</f>
        <v>0</v>
      </c>
      <c r="J36" s="575">
        <f>'Monthly Data'!J53</f>
        <v>0</v>
      </c>
      <c r="K36" s="575">
        <f>'Monthly Data'!K53</f>
        <v>0</v>
      </c>
      <c r="L36" s="575">
        <f>'Monthly Data'!L53</f>
        <v>0</v>
      </c>
      <c r="M36" s="575">
        <f>'Monthly Data'!M53</f>
        <v>0</v>
      </c>
      <c r="N36" s="576">
        <f>'Monthly Data'!N53</f>
        <v>0</v>
      </c>
      <c r="O36" s="513"/>
    </row>
    <row r="37" spans="1:15" s="437" customFormat="1" x14ac:dyDescent="0.3">
      <c r="A37" s="634" t="s">
        <v>507</v>
      </c>
      <c r="B37" s="577"/>
      <c r="C37" s="653">
        <v>0</v>
      </c>
      <c r="D37" s="653">
        <v>0</v>
      </c>
      <c r="E37" s="653">
        <v>0</v>
      </c>
      <c r="F37" s="653">
        <v>0</v>
      </c>
      <c r="G37" s="653">
        <v>0</v>
      </c>
      <c r="H37" s="576">
        <v>6900</v>
      </c>
      <c r="I37" s="653">
        <v>8904</v>
      </c>
      <c r="J37" s="653">
        <v>8904</v>
      </c>
      <c r="K37" s="653">
        <v>8904</v>
      </c>
      <c r="L37" s="653">
        <v>8904</v>
      </c>
      <c r="M37" s="653">
        <v>8904</v>
      </c>
      <c r="N37" s="576">
        <v>8904</v>
      </c>
      <c r="O37" s="513"/>
    </row>
    <row r="38" spans="1:15" s="437" customFormat="1" x14ac:dyDescent="0.3">
      <c r="A38" s="574" t="s">
        <v>513</v>
      </c>
      <c r="B38" s="574"/>
      <c r="C38" s="578">
        <f>O38/12</f>
        <v>41666.666666666664</v>
      </c>
      <c r="D38" s="578">
        <f>C38+($O$38/12)</f>
        <v>83333.333333333328</v>
      </c>
      <c r="E38" s="578">
        <f t="shared" ref="E38:N38" si="17">D38+($O$38/12)</f>
        <v>125000</v>
      </c>
      <c r="F38" s="578">
        <f t="shared" si="17"/>
        <v>166666.66666666666</v>
      </c>
      <c r="G38" s="578">
        <f t="shared" si="17"/>
        <v>208333.33333333331</v>
      </c>
      <c r="H38" s="579">
        <f t="shared" si="17"/>
        <v>249999.99999999997</v>
      </c>
      <c r="I38" s="578">
        <f t="shared" si="17"/>
        <v>291666.66666666663</v>
      </c>
      <c r="J38" s="578">
        <f t="shared" si="17"/>
        <v>333333.33333333331</v>
      </c>
      <c r="K38" s="578">
        <f t="shared" si="17"/>
        <v>375000</v>
      </c>
      <c r="L38" s="578">
        <f t="shared" si="17"/>
        <v>416666.66666666669</v>
      </c>
      <c r="M38" s="578">
        <f t="shared" si="17"/>
        <v>458333.33333333337</v>
      </c>
      <c r="N38" s="579">
        <f t="shared" si="17"/>
        <v>500000.00000000006</v>
      </c>
      <c r="O38" s="513">
        <f>O29+O32</f>
        <v>500000</v>
      </c>
    </row>
    <row r="39" spans="1:15" s="437" customFormat="1" x14ac:dyDescent="0.3">
      <c r="A39" s="582" t="s">
        <v>359</v>
      </c>
      <c r="B39" s="581"/>
      <c r="C39" s="583">
        <f t="shared" ref="C39:N39" si="18">SUM(C30+C33)</f>
        <v>0</v>
      </c>
      <c r="D39" s="583">
        <f t="shared" si="18"/>
        <v>0</v>
      </c>
      <c r="E39" s="583">
        <f t="shared" si="18"/>
        <v>0</v>
      </c>
      <c r="F39" s="583">
        <f t="shared" si="18"/>
        <v>0</v>
      </c>
      <c r="G39" s="583">
        <f t="shared" si="18"/>
        <v>0</v>
      </c>
      <c r="H39" s="583">
        <f t="shared" si="18"/>
        <v>0</v>
      </c>
      <c r="I39" s="583">
        <f t="shared" si="18"/>
        <v>0</v>
      </c>
      <c r="J39" s="583">
        <f t="shared" si="18"/>
        <v>0</v>
      </c>
      <c r="K39" s="583">
        <f t="shared" si="18"/>
        <v>0</v>
      </c>
      <c r="L39" s="583">
        <f t="shared" si="18"/>
        <v>0</v>
      </c>
      <c r="M39" s="583">
        <f t="shared" si="18"/>
        <v>0</v>
      </c>
      <c r="N39" s="583">
        <f t="shared" si="18"/>
        <v>0</v>
      </c>
      <c r="O39" s="513"/>
    </row>
    <row r="40" spans="1:15" s="437" customFormat="1" x14ac:dyDescent="0.3">
      <c r="A40" s="626" t="s">
        <v>508</v>
      </c>
      <c r="B40" s="614"/>
      <c r="C40" s="627">
        <f t="shared" ref="C40:N40" si="19">SUM(C31+C34)</f>
        <v>17103</v>
      </c>
      <c r="D40" s="627">
        <f t="shared" si="19"/>
        <v>29156</v>
      </c>
      <c r="E40" s="627">
        <f t="shared" si="19"/>
        <v>48403</v>
      </c>
      <c r="F40" s="627">
        <f t="shared" si="19"/>
        <v>58235.15</v>
      </c>
      <c r="G40" s="627">
        <f t="shared" si="19"/>
        <v>92376.15</v>
      </c>
      <c r="H40" s="627">
        <f t="shared" si="19"/>
        <v>147050.5</v>
      </c>
      <c r="I40" s="627">
        <f t="shared" si="19"/>
        <v>195606.5</v>
      </c>
      <c r="J40" s="627">
        <f t="shared" si="19"/>
        <v>222052.5</v>
      </c>
      <c r="K40" s="627">
        <f t="shared" si="19"/>
        <v>230248.5</v>
      </c>
      <c r="L40" s="627">
        <f t="shared" si="19"/>
        <v>236448</v>
      </c>
      <c r="M40" s="627">
        <f t="shared" si="19"/>
        <v>249963.5</v>
      </c>
      <c r="N40" s="627">
        <f t="shared" si="19"/>
        <v>315530.90000000002</v>
      </c>
      <c r="O40" s="513"/>
    </row>
    <row r="41" spans="1:15" s="437" customFormat="1" x14ac:dyDescent="0.3">
      <c r="A41" s="581" t="s">
        <v>514</v>
      </c>
      <c r="B41" s="581"/>
      <c r="C41" s="578">
        <f>O41/12</f>
        <v>30833.333333333332</v>
      </c>
      <c r="D41" s="578">
        <f>C41+($O$41/12)</f>
        <v>61666.666666666664</v>
      </c>
      <c r="E41" s="578">
        <f t="shared" ref="E41:N41" si="20">D41+($O$41/12)</f>
        <v>92500</v>
      </c>
      <c r="F41" s="578">
        <f t="shared" si="20"/>
        <v>123333.33333333333</v>
      </c>
      <c r="G41" s="578">
        <f t="shared" si="20"/>
        <v>154166.66666666666</v>
      </c>
      <c r="H41" s="579">
        <f t="shared" si="20"/>
        <v>185000</v>
      </c>
      <c r="I41" s="578">
        <f t="shared" si="20"/>
        <v>215833.33333333334</v>
      </c>
      <c r="J41" s="578">
        <f t="shared" si="20"/>
        <v>246666.66666666669</v>
      </c>
      <c r="K41" s="578">
        <f t="shared" si="20"/>
        <v>277500</v>
      </c>
      <c r="L41" s="578">
        <f t="shared" si="20"/>
        <v>308333.33333333331</v>
      </c>
      <c r="M41" s="578">
        <f t="shared" si="20"/>
        <v>339166.66666666663</v>
      </c>
      <c r="N41" s="579">
        <f t="shared" si="20"/>
        <v>369999.99999999994</v>
      </c>
      <c r="O41" s="654">
        <v>370000</v>
      </c>
    </row>
    <row r="42" spans="1:15" x14ac:dyDescent="0.3">
      <c r="A42" s="581" t="s">
        <v>342</v>
      </c>
      <c r="B42" s="581"/>
      <c r="C42" s="578">
        <f>C12</f>
        <v>0</v>
      </c>
      <c r="D42" s="578">
        <f t="shared" ref="D42:N42" si="21">C42+D12</f>
        <v>0</v>
      </c>
      <c r="E42" s="578">
        <f t="shared" si="21"/>
        <v>0</v>
      </c>
      <c r="F42" s="578">
        <f t="shared" si="21"/>
        <v>0</v>
      </c>
      <c r="G42" s="578">
        <f t="shared" si="21"/>
        <v>0</v>
      </c>
      <c r="H42" s="579">
        <f t="shared" si="21"/>
        <v>0</v>
      </c>
      <c r="I42" s="578">
        <f t="shared" si="21"/>
        <v>0</v>
      </c>
      <c r="J42" s="578">
        <f t="shared" si="21"/>
        <v>0</v>
      </c>
      <c r="K42" s="578">
        <f t="shared" si="21"/>
        <v>0</v>
      </c>
      <c r="L42" s="578">
        <f t="shared" si="21"/>
        <v>0</v>
      </c>
      <c r="M42" s="578">
        <f t="shared" si="21"/>
        <v>0</v>
      </c>
      <c r="N42" s="579">
        <f t="shared" si="21"/>
        <v>0</v>
      </c>
      <c r="O42" s="513"/>
    </row>
    <row r="43" spans="1:15" s="437" customFormat="1" x14ac:dyDescent="0.3">
      <c r="A43" s="634" t="s">
        <v>504</v>
      </c>
      <c r="B43" s="580"/>
      <c r="C43" s="635">
        <v>0</v>
      </c>
      <c r="D43" s="635">
        <v>160980</v>
      </c>
      <c r="E43" s="635">
        <v>999980</v>
      </c>
      <c r="F43" s="635">
        <v>999980</v>
      </c>
      <c r="G43" s="635">
        <v>999980</v>
      </c>
      <c r="H43" s="635">
        <v>999980</v>
      </c>
      <c r="I43" s="635">
        <v>999980</v>
      </c>
      <c r="J43" s="635">
        <v>999980</v>
      </c>
      <c r="K43" s="635">
        <v>1000820</v>
      </c>
      <c r="L43" s="635">
        <v>1000820</v>
      </c>
      <c r="M43" s="635">
        <v>1000820</v>
      </c>
      <c r="N43" s="635">
        <v>1282145</v>
      </c>
      <c r="O43" s="513"/>
    </row>
    <row r="44" spans="1:15" s="437" customFormat="1" x14ac:dyDescent="0.3">
      <c r="A44" s="581" t="s">
        <v>515</v>
      </c>
      <c r="B44" s="581"/>
      <c r="C44" s="578">
        <f>O44/12</f>
        <v>39754.333333333336</v>
      </c>
      <c r="D44" s="578">
        <f>C44+($O$44/12)</f>
        <v>79508.666666666672</v>
      </c>
      <c r="E44" s="578">
        <f t="shared" ref="E44:N44" si="22">D44+($O$44/12)</f>
        <v>119263</v>
      </c>
      <c r="F44" s="578">
        <f t="shared" si="22"/>
        <v>159017.33333333334</v>
      </c>
      <c r="G44" s="578">
        <f t="shared" si="22"/>
        <v>198771.66666666669</v>
      </c>
      <c r="H44" s="579">
        <f t="shared" si="22"/>
        <v>238526.00000000003</v>
      </c>
      <c r="I44" s="578">
        <f t="shared" si="22"/>
        <v>278280.33333333337</v>
      </c>
      <c r="J44" s="578">
        <f t="shared" si="22"/>
        <v>318034.66666666669</v>
      </c>
      <c r="K44" s="578">
        <f t="shared" si="22"/>
        <v>357789</v>
      </c>
      <c r="L44" s="578">
        <f t="shared" si="22"/>
        <v>397543.33333333331</v>
      </c>
      <c r="M44" s="578">
        <f t="shared" si="22"/>
        <v>437297.66666666663</v>
      </c>
      <c r="N44" s="579">
        <f t="shared" si="22"/>
        <v>477051.99999999994</v>
      </c>
      <c r="O44" s="513">
        <v>477052</v>
      </c>
    </row>
    <row r="45" spans="1:15" x14ac:dyDescent="0.3">
      <c r="A45" s="581" t="s">
        <v>343</v>
      </c>
      <c r="B45" s="581"/>
      <c r="C45" s="578">
        <f>C10</f>
        <v>28780.974999999999</v>
      </c>
      <c r="D45" s="578">
        <f t="shared" ref="D45:N45" si="23">C45+D10</f>
        <v>50109.210749999991</v>
      </c>
      <c r="E45" s="578">
        <f t="shared" si="23"/>
        <v>64850.31074999999</v>
      </c>
      <c r="F45" s="578">
        <f t="shared" si="23"/>
        <v>64903.93574999999</v>
      </c>
      <c r="G45" s="578">
        <f t="shared" si="23"/>
        <v>64903.93574999999</v>
      </c>
      <c r="H45" s="579">
        <f t="shared" si="23"/>
        <v>64903.93574999999</v>
      </c>
      <c r="I45" s="578">
        <f t="shared" si="23"/>
        <v>64903.93574999999</v>
      </c>
      <c r="J45" s="578">
        <f t="shared" si="23"/>
        <v>64903.93574999999</v>
      </c>
      <c r="K45" s="578">
        <f t="shared" si="23"/>
        <v>64903.93574999999</v>
      </c>
      <c r="L45" s="578">
        <f t="shared" si="23"/>
        <v>64903.93574999999</v>
      </c>
      <c r="M45" s="578">
        <f t="shared" si="23"/>
        <v>64903.93574999999</v>
      </c>
      <c r="N45" s="579">
        <f t="shared" si="23"/>
        <v>64903.93574999999</v>
      </c>
      <c r="O45" s="513"/>
    </row>
    <row r="46" spans="1:15" s="437" customFormat="1" x14ac:dyDescent="0.3">
      <c r="A46" s="634" t="s">
        <v>509</v>
      </c>
      <c r="B46" s="580"/>
      <c r="C46" s="635">
        <v>9543.1749999999993</v>
      </c>
      <c r="D46" s="635">
        <v>23321.875</v>
      </c>
      <c r="E46" s="635">
        <v>83044.574999999997</v>
      </c>
      <c r="F46" s="635">
        <v>86956.617499999993</v>
      </c>
      <c r="G46" s="635">
        <v>95859.19249999999</v>
      </c>
      <c r="H46" s="636">
        <v>86809.517499999987</v>
      </c>
      <c r="I46" s="635">
        <v>107719.04249999998</v>
      </c>
      <c r="J46" s="635">
        <v>114407.29249999998</v>
      </c>
      <c r="K46" s="635">
        <v>123005.89249999999</v>
      </c>
      <c r="L46" s="635">
        <v>128691.38124999999</v>
      </c>
      <c r="M46" s="635">
        <v>147760.08124999999</v>
      </c>
      <c r="N46" s="636">
        <v>178662.90625</v>
      </c>
      <c r="O46" s="513"/>
    </row>
    <row r="47" spans="1:15" s="437" customFormat="1" x14ac:dyDescent="0.3">
      <c r="A47" s="581" t="s">
        <v>516</v>
      </c>
      <c r="B47" s="581"/>
      <c r="C47" s="578">
        <f>O47/12</f>
        <v>112254.33333333333</v>
      </c>
      <c r="D47" s="578">
        <f t="shared" ref="D47:N47" si="24">C47+($O$47/12)</f>
        <v>224508.66666666666</v>
      </c>
      <c r="E47" s="578">
        <f t="shared" si="24"/>
        <v>336763</v>
      </c>
      <c r="F47" s="578">
        <f t="shared" si="24"/>
        <v>449017.33333333331</v>
      </c>
      <c r="G47" s="578">
        <f t="shared" si="24"/>
        <v>561271.66666666663</v>
      </c>
      <c r="H47" s="579">
        <f t="shared" si="24"/>
        <v>673526</v>
      </c>
      <c r="I47" s="578">
        <f t="shared" si="24"/>
        <v>785780.33333333337</v>
      </c>
      <c r="J47" s="578">
        <f t="shared" si="24"/>
        <v>898034.66666666674</v>
      </c>
      <c r="K47" s="578">
        <f t="shared" si="24"/>
        <v>1010289.0000000001</v>
      </c>
      <c r="L47" s="578">
        <f t="shared" si="24"/>
        <v>1122543.3333333335</v>
      </c>
      <c r="M47" s="578">
        <f t="shared" si="24"/>
        <v>1234797.6666666667</v>
      </c>
      <c r="N47" s="579">
        <f t="shared" si="24"/>
        <v>1347052</v>
      </c>
      <c r="O47" s="513">
        <f>O29+O32+O35+O41+O44</f>
        <v>1347052</v>
      </c>
    </row>
    <row r="48" spans="1:15" x14ac:dyDescent="0.3">
      <c r="A48" s="628" t="s">
        <v>338</v>
      </c>
      <c r="B48" s="582"/>
      <c r="C48" s="583">
        <f>C13</f>
        <v>28780.974999999999</v>
      </c>
      <c r="D48" s="583">
        <f t="shared" ref="D48:N48" si="25">C48+D13</f>
        <v>50109.210749999991</v>
      </c>
      <c r="E48" s="583">
        <f t="shared" si="25"/>
        <v>64850.31074999999</v>
      </c>
      <c r="F48" s="583">
        <f t="shared" si="25"/>
        <v>64903.93574999999</v>
      </c>
      <c r="G48" s="583">
        <f t="shared" si="25"/>
        <v>64903.93574999999</v>
      </c>
      <c r="H48" s="584">
        <f t="shared" si="25"/>
        <v>64903.93574999999</v>
      </c>
      <c r="I48" s="583">
        <f t="shared" si="25"/>
        <v>64903.93574999999</v>
      </c>
      <c r="J48" s="583">
        <f t="shared" si="25"/>
        <v>64903.93574999999</v>
      </c>
      <c r="K48" s="583">
        <f t="shared" si="25"/>
        <v>64903.93574999999</v>
      </c>
      <c r="L48" s="583">
        <f t="shared" si="25"/>
        <v>64903.93574999999</v>
      </c>
      <c r="M48" s="583">
        <f t="shared" si="25"/>
        <v>64903.93574999999</v>
      </c>
      <c r="N48" s="584">
        <f t="shared" si="25"/>
        <v>64903.93574999999</v>
      </c>
    </row>
    <row r="49" spans="1:16" s="437" customFormat="1" ht="15" thickBot="1" x14ac:dyDescent="0.35">
      <c r="A49" s="629" t="s">
        <v>510</v>
      </c>
      <c r="B49" s="630"/>
      <c r="C49" s="631">
        <f>SUM(C37+C40+C46)</f>
        <v>26646.174999999999</v>
      </c>
      <c r="D49" s="631">
        <f t="shared" ref="D49:N49" si="26">SUM(D37+D40+D46)</f>
        <v>52477.875</v>
      </c>
      <c r="E49" s="631">
        <f t="shared" si="26"/>
        <v>131447.57500000001</v>
      </c>
      <c r="F49" s="631">
        <f t="shared" si="26"/>
        <v>145191.76749999999</v>
      </c>
      <c r="G49" s="631">
        <f t="shared" si="26"/>
        <v>188235.34249999997</v>
      </c>
      <c r="H49" s="631">
        <f t="shared" si="26"/>
        <v>240760.01749999999</v>
      </c>
      <c r="I49" s="631">
        <f t="shared" si="26"/>
        <v>312229.54249999998</v>
      </c>
      <c r="J49" s="631">
        <f t="shared" si="26"/>
        <v>345363.79249999998</v>
      </c>
      <c r="K49" s="631">
        <f t="shared" si="26"/>
        <v>362158.39249999996</v>
      </c>
      <c r="L49" s="631">
        <f t="shared" si="26"/>
        <v>374043.38124999998</v>
      </c>
      <c r="M49" s="631">
        <f t="shared" si="26"/>
        <v>406627.58124999999</v>
      </c>
      <c r="N49" s="631">
        <f t="shared" si="26"/>
        <v>503097.80625000002</v>
      </c>
      <c r="O49" s="513"/>
    </row>
    <row r="50" spans="1:16" s="437" customFormat="1" ht="18" x14ac:dyDescent="0.35">
      <c r="A50" s="554" t="s">
        <v>352</v>
      </c>
      <c r="B50" s="60"/>
      <c r="C50" s="485"/>
      <c r="D50" s="485"/>
      <c r="E50" s="485"/>
      <c r="F50" s="485"/>
      <c r="G50" s="485"/>
      <c r="H50" s="486"/>
      <c r="I50" s="485"/>
      <c r="J50" s="485"/>
      <c r="K50" s="485"/>
      <c r="L50" s="485"/>
      <c r="M50" s="485"/>
      <c r="N50" s="486"/>
      <c r="O50" s="39"/>
    </row>
    <row r="51" spans="1:16" s="437" customFormat="1" x14ac:dyDescent="0.3">
      <c r="A51" s="452" t="s">
        <v>348</v>
      </c>
      <c r="B51" s="585"/>
      <c r="C51" s="566">
        <f>O51/12</f>
        <v>31666.666666666668</v>
      </c>
      <c r="D51" s="566">
        <f>C51+($O$51/12)</f>
        <v>63333.333333333336</v>
      </c>
      <c r="E51" s="566">
        <f t="shared" ref="E51:N51" si="27">D51+($O$51/12)</f>
        <v>95000</v>
      </c>
      <c r="F51" s="566">
        <f t="shared" si="27"/>
        <v>126666.66666666667</v>
      </c>
      <c r="G51" s="566">
        <f t="shared" si="27"/>
        <v>158333.33333333334</v>
      </c>
      <c r="H51" s="567">
        <f t="shared" si="27"/>
        <v>190000</v>
      </c>
      <c r="I51" s="566">
        <f t="shared" si="27"/>
        <v>221666.66666666666</v>
      </c>
      <c r="J51" s="566">
        <f t="shared" si="27"/>
        <v>253333.33333333331</v>
      </c>
      <c r="K51" s="566">
        <f t="shared" si="27"/>
        <v>285000</v>
      </c>
      <c r="L51" s="566">
        <f t="shared" si="27"/>
        <v>316666.66666666669</v>
      </c>
      <c r="M51" s="566">
        <f t="shared" si="27"/>
        <v>348333.33333333337</v>
      </c>
      <c r="N51" s="567">
        <f t="shared" si="27"/>
        <v>380000.00000000006</v>
      </c>
      <c r="O51" s="513">
        <v>380000</v>
      </c>
    </row>
    <row r="52" spans="1:16" s="437" customFormat="1" x14ac:dyDescent="0.3">
      <c r="A52" s="452" t="s">
        <v>345</v>
      </c>
      <c r="B52" s="452"/>
      <c r="C52" s="453">
        <f>'Monthly Data'!C60</f>
        <v>0</v>
      </c>
      <c r="D52" s="453">
        <f>'Monthly Data'!D60</f>
        <v>0</v>
      </c>
      <c r="E52" s="453">
        <f>'Monthly Data'!E60</f>
        <v>0</v>
      </c>
      <c r="F52" s="453">
        <f>'Monthly Data'!F60</f>
        <v>0</v>
      </c>
      <c r="G52" s="453">
        <f>'Monthly Data'!G60</f>
        <v>0</v>
      </c>
      <c r="H52" s="482">
        <f>'Monthly Data'!H60</f>
        <v>0</v>
      </c>
      <c r="I52" s="453">
        <f>'Monthly Data'!I60</f>
        <v>0</v>
      </c>
      <c r="J52" s="453">
        <f>'Monthly Data'!J60</f>
        <v>0</v>
      </c>
      <c r="K52" s="453">
        <f>'Monthly Data'!K60</f>
        <v>0</v>
      </c>
      <c r="L52" s="453">
        <f>'Monthly Data'!L60</f>
        <v>0</v>
      </c>
      <c r="M52" s="453">
        <f>'Monthly Data'!M60</f>
        <v>0</v>
      </c>
      <c r="N52" s="482">
        <f>'Monthly Data'!N60</f>
        <v>0</v>
      </c>
      <c r="O52" s="513"/>
    </row>
    <row r="53" spans="1:16" s="437" customFormat="1" x14ac:dyDescent="0.3">
      <c r="A53" s="616" t="s">
        <v>370</v>
      </c>
      <c r="B53" s="585"/>
      <c r="C53" s="618">
        <v>9318</v>
      </c>
      <c r="D53" s="618">
        <v>28811.5</v>
      </c>
      <c r="E53" s="618">
        <v>63341.5</v>
      </c>
      <c r="F53" s="618">
        <v>70756.5</v>
      </c>
      <c r="G53" s="618">
        <v>99398.5</v>
      </c>
      <c r="H53" s="619">
        <v>118121.5</v>
      </c>
      <c r="I53" s="618">
        <v>147626.5</v>
      </c>
      <c r="J53" s="618">
        <v>147626.5</v>
      </c>
      <c r="K53" s="618">
        <v>164937</v>
      </c>
      <c r="L53" s="618">
        <v>175562</v>
      </c>
      <c r="M53" s="618">
        <v>180412</v>
      </c>
      <c r="N53" s="619">
        <v>187344.5</v>
      </c>
      <c r="O53" s="513"/>
    </row>
    <row r="54" spans="1:16" s="437" customFormat="1" x14ac:dyDescent="0.3">
      <c r="A54" s="452" t="s">
        <v>349</v>
      </c>
      <c r="B54" s="452"/>
      <c r="C54" s="566">
        <f>O54/12</f>
        <v>28750</v>
      </c>
      <c r="D54" s="566">
        <f>C54+($O$54/12)</f>
        <v>57500</v>
      </c>
      <c r="E54" s="566">
        <f t="shared" ref="E54:N54" si="28">D54+($O$54/12)</f>
        <v>86250</v>
      </c>
      <c r="F54" s="566">
        <f t="shared" si="28"/>
        <v>115000</v>
      </c>
      <c r="G54" s="566">
        <f t="shared" si="28"/>
        <v>143750</v>
      </c>
      <c r="H54" s="567">
        <f t="shared" si="28"/>
        <v>172500</v>
      </c>
      <c r="I54" s="566">
        <f t="shared" si="28"/>
        <v>201250</v>
      </c>
      <c r="J54" s="566">
        <f t="shared" si="28"/>
        <v>230000</v>
      </c>
      <c r="K54" s="566">
        <f t="shared" si="28"/>
        <v>258750</v>
      </c>
      <c r="L54" s="566">
        <f t="shared" si="28"/>
        <v>287500</v>
      </c>
      <c r="M54" s="566">
        <f t="shared" si="28"/>
        <v>316250</v>
      </c>
      <c r="N54" s="567">
        <f t="shared" si="28"/>
        <v>345000</v>
      </c>
      <c r="O54" s="513">
        <v>345000</v>
      </c>
    </row>
    <row r="55" spans="1:16" s="437" customFormat="1" x14ac:dyDescent="0.3">
      <c r="A55" s="452" t="s">
        <v>346</v>
      </c>
      <c r="B55" s="452"/>
      <c r="C55" s="453">
        <f>'Monthly Data'!C61</f>
        <v>0</v>
      </c>
      <c r="D55" s="453">
        <f>'Monthly Data'!D61</f>
        <v>0</v>
      </c>
      <c r="E55" s="453">
        <f>'Monthly Data'!E61</f>
        <v>0</v>
      </c>
      <c r="F55" s="453">
        <f>'Monthly Data'!F61</f>
        <v>0</v>
      </c>
      <c r="G55" s="453">
        <f>'Monthly Data'!G61</f>
        <v>0</v>
      </c>
      <c r="H55" s="482">
        <f>'Monthly Data'!H61</f>
        <v>0</v>
      </c>
      <c r="I55" s="453">
        <f>'Monthly Data'!I61</f>
        <v>0</v>
      </c>
      <c r="J55" s="453">
        <f>'Monthly Data'!J61</f>
        <v>0</v>
      </c>
      <c r="K55" s="453">
        <f>'Monthly Data'!K61</f>
        <v>0</v>
      </c>
      <c r="L55" s="453">
        <f>'Monthly Data'!L61</f>
        <v>0</v>
      </c>
      <c r="M55" s="453">
        <f>'Monthly Data'!M61</f>
        <v>0</v>
      </c>
      <c r="N55" s="482">
        <f>'Monthly Data'!N61</f>
        <v>0</v>
      </c>
      <c r="O55" s="513"/>
    </row>
    <row r="56" spans="1:16" s="437" customFormat="1" x14ac:dyDescent="0.3">
      <c r="A56" s="616" t="s">
        <v>371</v>
      </c>
      <c r="B56" s="452"/>
      <c r="C56" s="618">
        <v>24768</v>
      </c>
      <c r="D56" s="618">
        <v>31757.5</v>
      </c>
      <c r="E56" s="618">
        <v>32148.45</v>
      </c>
      <c r="F56" s="618">
        <v>32148.45</v>
      </c>
      <c r="G56" s="618">
        <v>39194.1</v>
      </c>
      <c r="H56" s="619">
        <v>59688.1</v>
      </c>
      <c r="I56" s="618">
        <v>73545.100000000006</v>
      </c>
      <c r="J56" s="618">
        <v>97690.1</v>
      </c>
      <c r="K56" s="618">
        <v>103352.1</v>
      </c>
      <c r="L56" s="618">
        <v>112211.1</v>
      </c>
      <c r="M56" s="618">
        <v>120048.75</v>
      </c>
      <c r="N56" s="619">
        <v>132270.75</v>
      </c>
      <c r="O56" s="513"/>
    </row>
    <row r="57" spans="1:16" s="437" customFormat="1" x14ac:dyDescent="0.3">
      <c r="A57" s="452" t="s">
        <v>350</v>
      </c>
      <c r="B57" s="452"/>
      <c r="C57" s="566">
        <f>O57/12</f>
        <v>10000</v>
      </c>
      <c r="D57" s="566">
        <f>C57+($O$57/12)</f>
        <v>20000</v>
      </c>
      <c r="E57" s="566">
        <f t="shared" ref="E57:N57" si="29">D57+($O$57/12)</f>
        <v>30000</v>
      </c>
      <c r="F57" s="566">
        <f t="shared" si="29"/>
        <v>40000</v>
      </c>
      <c r="G57" s="566">
        <f t="shared" si="29"/>
        <v>50000</v>
      </c>
      <c r="H57" s="566">
        <f t="shared" si="29"/>
        <v>60000</v>
      </c>
      <c r="I57" s="566">
        <f t="shared" si="29"/>
        <v>70000</v>
      </c>
      <c r="J57" s="566">
        <f t="shared" si="29"/>
        <v>80000</v>
      </c>
      <c r="K57" s="566">
        <f t="shared" si="29"/>
        <v>90000</v>
      </c>
      <c r="L57" s="566">
        <f t="shared" si="29"/>
        <v>100000</v>
      </c>
      <c r="M57" s="566">
        <f t="shared" si="29"/>
        <v>110000</v>
      </c>
      <c r="N57" s="566">
        <f t="shared" si="29"/>
        <v>120000</v>
      </c>
      <c r="O57" s="513">
        <v>120000</v>
      </c>
    </row>
    <row r="58" spans="1:16" s="437" customFormat="1" x14ac:dyDescent="0.3">
      <c r="A58" s="452" t="s">
        <v>347</v>
      </c>
      <c r="B58" s="452"/>
      <c r="C58" s="453">
        <f>'Monthly Data'!C62</f>
        <v>0</v>
      </c>
      <c r="D58" s="453">
        <f>'Monthly Data'!D62</f>
        <v>0</v>
      </c>
      <c r="E58" s="453">
        <f>'Monthly Data'!E62</f>
        <v>0</v>
      </c>
      <c r="F58" s="453">
        <f>'Monthly Data'!F62</f>
        <v>0</v>
      </c>
      <c r="G58" s="453">
        <f>'Monthly Data'!G62</f>
        <v>0</v>
      </c>
      <c r="H58" s="482">
        <f>'Monthly Data'!H62</f>
        <v>0</v>
      </c>
      <c r="I58" s="453">
        <f>'Monthly Data'!I62</f>
        <v>0</v>
      </c>
      <c r="J58" s="453">
        <f>'Monthly Data'!J62</f>
        <v>0</v>
      </c>
      <c r="K58" s="453">
        <f>'Monthly Data'!K62</f>
        <v>0</v>
      </c>
      <c r="L58" s="453">
        <f>'Monthly Data'!L62</f>
        <v>0</v>
      </c>
      <c r="M58" s="453">
        <f>'Monthly Data'!M62</f>
        <v>0</v>
      </c>
      <c r="N58" s="482">
        <f>'Monthly Data'!N62</f>
        <v>0</v>
      </c>
      <c r="O58" s="513"/>
    </row>
    <row r="59" spans="1:16" s="437" customFormat="1" x14ac:dyDescent="0.3">
      <c r="A59" s="617" t="s">
        <v>372</v>
      </c>
      <c r="B59" s="564"/>
      <c r="C59" s="620">
        <v>0</v>
      </c>
      <c r="D59" s="620">
        <v>0</v>
      </c>
      <c r="E59" s="620">
        <v>0</v>
      </c>
      <c r="F59" s="620">
        <v>23250</v>
      </c>
      <c r="G59" s="620">
        <v>23250</v>
      </c>
      <c r="H59" s="620">
        <v>23250</v>
      </c>
      <c r="I59" s="620">
        <v>23250</v>
      </c>
      <c r="J59" s="620">
        <v>23250</v>
      </c>
      <c r="K59" s="620">
        <v>23250</v>
      </c>
      <c r="L59" s="620">
        <v>23250</v>
      </c>
      <c r="M59" s="620">
        <v>25044.6</v>
      </c>
      <c r="N59" s="620">
        <v>25129.599999999999</v>
      </c>
      <c r="O59" s="513"/>
    </row>
    <row r="60" spans="1:16" s="437" customFormat="1" x14ac:dyDescent="0.3">
      <c r="A60" s="452" t="s">
        <v>361</v>
      </c>
      <c r="B60" s="452"/>
      <c r="C60" s="566">
        <f>O60/12</f>
        <v>60416.666666666664</v>
      </c>
      <c r="D60" s="566">
        <f>C60+($O$60/12)</f>
        <v>120833.33333333333</v>
      </c>
      <c r="E60" s="566">
        <f t="shared" ref="E60:N60" si="30">D60+($O$60/12)</f>
        <v>181250</v>
      </c>
      <c r="F60" s="566">
        <f t="shared" si="30"/>
        <v>241666.66666666666</v>
      </c>
      <c r="G60" s="566">
        <f t="shared" si="30"/>
        <v>302083.33333333331</v>
      </c>
      <c r="H60" s="567">
        <f t="shared" si="30"/>
        <v>362500</v>
      </c>
      <c r="I60" s="566">
        <f t="shared" si="30"/>
        <v>422916.66666666669</v>
      </c>
      <c r="J60" s="566">
        <f t="shared" si="30"/>
        <v>483333.33333333337</v>
      </c>
      <c r="K60" s="566">
        <f t="shared" si="30"/>
        <v>543750</v>
      </c>
      <c r="L60" s="566">
        <f t="shared" si="30"/>
        <v>604166.66666666663</v>
      </c>
      <c r="M60" s="566">
        <f t="shared" si="30"/>
        <v>664583.33333333326</v>
      </c>
      <c r="N60" s="567">
        <f t="shared" si="30"/>
        <v>724999.99999999988</v>
      </c>
      <c r="O60" s="513">
        <f>O51+O54</f>
        <v>725000</v>
      </c>
    </row>
    <row r="61" spans="1:16" s="437" customFormat="1" x14ac:dyDescent="0.3">
      <c r="A61" s="487" t="s">
        <v>360</v>
      </c>
      <c r="B61" s="487"/>
      <c r="C61" s="488">
        <f t="shared" ref="C61:N61" si="31">C52+C55</f>
        <v>0</v>
      </c>
      <c r="D61" s="488">
        <f t="shared" si="31"/>
        <v>0</v>
      </c>
      <c r="E61" s="488">
        <f t="shared" si="31"/>
        <v>0</v>
      </c>
      <c r="F61" s="488">
        <f t="shared" si="31"/>
        <v>0</v>
      </c>
      <c r="G61" s="488">
        <f t="shared" si="31"/>
        <v>0</v>
      </c>
      <c r="H61" s="488">
        <f t="shared" si="31"/>
        <v>0</v>
      </c>
      <c r="I61" s="488">
        <f t="shared" si="31"/>
        <v>0</v>
      </c>
      <c r="J61" s="488">
        <f t="shared" si="31"/>
        <v>0</v>
      </c>
      <c r="K61" s="488">
        <f t="shared" si="31"/>
        <v>0</v>
      </c>
      <c r="L61" s="488">
        <f t="shared" si="31"/>
        <v>0</v>
      </c>
      <c r="M61" s="488">
        <f t="shared" si="31"/>
        <v>0</v>
      </c>
      <c r="N61" s="488">
        <f t="shared" si="31"/>
        <v>0</v>
      </c>
      <c r="O61" s="39"/>
    </row>
    <row r="62" spans="1:16" s="437" customFormat="1" x14ac:dyDescent="0.3">
      <c r="A62" s="632" t="s">
        <v>373</v>
      </c>
      <c r="B62" s="586"/>
      <c r="C62" s="622">
        <f t="shared" ref="C62:N62" si="32">C53+C56</f>
        <v>34086</v>
      </c>
      <c r="D62" s="622">
        <f t="shared" si="32"/>
        <v>60569</v>
      </c>
      <c r="E62" s="622">
        <f t="shared" si="32"/>
        <v>95489.95</v>
      </c>
      <c r="F62" s="622">
        <f t="shared" si="32"/>
        <v>102904.95</v>
      </c>
      <c r="G62" s="622">
        <f t="shared" si="32"/>
        <v>138592.6</v>
      </c>
      <c r="H62" s="622">
        <f t="shared" si="32"/>
        <v>177809.6</v>
      </c>
      <c r="I62" s="622">
        <f t="shared" si="32"/>
        <v>221171.6</v>
      </c>
      <c r="J62" s="622">
        <f t="shared" si="32"/>
        <v>245316.6</v>
      </c>
      <c r="K62" s="622">
        <f t="shared" si="32"/>
        <v>268289.09999999998</v>
      </c>
      <c r="L62" s="622">
        <f t="shared" si="32"/>
        <v>287773.09999999998</v>
      </c>
      <c r="M62" s="622">
        <f t="shared" si="32"/>
        <v>300460.75</v>
      </c>
      <c r="N62" s="622">
        <f t="shared" si="32"/>
        <v>319615.25</v>
      </c>
      <c r="O62" s="513"/>
    </row>
    <row r="63" spans="1:16" s="394" customFormat="1" ht="15" customHeight="1" x14ac:dyDescent="0.3">
      <c r="A63" s="452" t="s">
        <v>323</v>
      </c>
      <c r="B63" s="452"/>
      <c r="C63" s="453">
        <f t="shared" ref="C63:N63" si="33">$O$63/12</f>
        <v>580583.33333333337</v>
      </c>
      <c r="D63" s="453">
        <f t="shared" si="33"/>
        <v>580583.33333333337</v>
      </c>
      <c r="E63" s="453">
        <f t="shared" si="33"/>
        <v>580583.33333333337</v>
      </c>
      <c r="F63" s="453">
        <f t="shared" si="33"/>
        <v>580583.33333333337</v>
      </c>
      <c r="G63" s="453">
        <f t="shared" si="33"/>
        <v>580583.33333333337</v>
      </c>
      <c r="H63" s="482">
        <f t="shared" si="33"/>
        <v>580583.33333333337</v>
      </c>
      <c r="I63" s="453">
        <f t="shared" si="33"/>
        <v>580583.33333333337</v>
      </c>
      <c r="J63" s="453">
        <f t="shared" si="33"/>
        <v>580583.33333333337</v>
      </c>
      <c r="K63" s="453">
        <f t="shared" si="33"/>
        <v>580583.33333333337</v>
      </c>
      <c r="L63" s="453">
        <f t="shared" si="33"/>
        <v>580583.33333333337</v>
      </c>
      <c r="M63" s="453">
        <f t="shared" si="33"/>
        <v>580583.33333333337</v>
      </c>
      <c r="N63" s="482">
        <f t="shared" si="33"/>
        <v>580583.33333333337</v>
      </c>
      <c r="O63" s="513">
        <f>4872000+2095000</f>
        <v>6967000</v>
      </c>
      <c r="P63" s="601">
        <f>O64/O63</f>
        <v>0.68240490885603555</v>
      </c>
    </row>
    <row r="64" spans="1:16" s="394" customFormat="1" ht="15" customHeight="1" x14ac:dyDescent="0.3">
      <c r="A64" s="452" t="s">
        <v>344</v>
      </c>
      <c r="B64" s="452"/>
      <c r="C64" s="453">
        <f>$O$64/12</f>
        <v>396192.91666666669</v>
      </c>
      <c r="D64" s="453">
        <f t="shared" ref="D64:N64" si="34">$O$64/12</f>
        <v>396192.91666666669</v>
      </c>
      <c r="E64" s="453">
        <f t="shared" si="34"/>
        <v>396192.91666666669</v>
      </c>
      <c r="F64" s="453">
        <f t="shared" si="34"/>
        <v>396192.91666666669</v>
      </c>
      <c r="G64" s="453">
        <f t="shared" si="34"/>
        <v>396192.91666666669</v>
      </c>
      <c r="H64" s="482">
        <f t="shared" si="34"/>
        <v>396192.91666666669</v>
      </c>
      <c r="I64" s="453">
        <f t="shared" si="34"/>
        <v>396192.91666666669</v>
      </c>
      <c r="J64" s="453">
        <f t="shared" si="34"/>
        <v>396192.91666666669</v>
      </c>
      <c r="K64" s="453">
        <f t="shared" si="34"/>
        <v>396192.91666666669</v>
      </c>
      <c r="L64" s="453">
        <f t="shared" si="34"/>
        <v>396192.91666666669</v>
      </c>
      <c r="M64" s="453">
        <f t="shared" si="34"/>
        <v>396192.91666666669</v>
      </c>
      <c r="N64" s="482">
        <f t="shared" si="34"/>
        <v>396192.91666666669</v>
      </c>
      <c r="O64" s="513">
        <f xml:space="preserve"> 3451699+1302616</f>
        <v>4754315</v>
      </c>
    </row>
    <row r="65" spans="1:16" s="394" customFormat="1" ht="15" customHeight="1" x14ac:dyDescent="0.3">
      <c r="A65" s="669" t="s">
        <v>334</v>
      </c>
      <c r="B65" s="669"/>
      <c r="C65" s="670">
        <v>340509.94999999995</v>
      </c>
      <c r="D65" s="670">
        <v>85704.559731821166</v>
      </c>
      <c r="E65" s="670">
        <v>533231</v>
      </c>
      <c r="F65" s="670">
        <v>771126</v>
      </c>
      <c r="G65" s="670"/>
      <c r="H65" s="671"/>
      <c r="I65" s="670"/>
      <c r="J65" s="670"/>
      <c r="K65" s="670"/>
      <c r="L65" s="670"/>
      <c r="M65" s="670"/>
      <c r="N65" s="671"/>
      <c r="O65" s="405"/>
    </row>
    <row r="66" spans="1:16" s="394" customFormat="1" ht="15" customHeight="1" x14ac:dyDescent="0.3">
      <c r="A66" s="565" t="s">
        <v>362</v>
      </c>
      <c r="B66" s="565"/>
      <c r="C66" s="566">
        <f>C63</f>
        <v>580583.33333333337</v>
      </c>
      <c r="D66" s="566">
        <f t="shared" ref="D66:N66" si="35">C66+D63</f>
        <v>1161166.6666666667</v>
      </c>
      <c r="E66" s="566">
        <f t="shared" si="35"/>
        <v>1741750</v>
      </c>
      <c r="F66" s="566">
        <f t="shared" si="35"/>
        <v>2322333.3333333335</v>
      </c>
      <c r="G66" s="566">
        <f t="shared" si="35"/>
        <v>2902916.666666667</v>
      </c>
      <c r="H66" s="567">
        <f t="shared" si="35"/>
        <v>3483500.0000000005</v>
      </c>
      <c r="I66" s="566">
        <f t="shared" si="35"/>
        <v>4064083.333333334</v>
      </c>
      <c r="J66" s="566">
        <f t="shared" si="35"/>
        <v>4644666.666666667</v>
      </c>
      <c r="K66" s="566">
        <f t="shared" si="35"/>
        <v>5225250</v>
      </c>
      <c r="L66" s="566">
        <f t="shared" si="35"/>
        <v>5805833.333333333</v>
      </c>
      <c r="M66" s="566">
        <f t="shared" si="35"/>
        <v>6386416.666666666</v>
      </c>
      <c r="N66" s="567">
        <f t="shared" si="35"/>
        <v>6966999.9999999991</v>
      </c>
      <c r="O66" s="513">
        <f>4872000+2095000</f>
        <v>6967000</v>
      </c>
    </row>
    <row r="67" spans="1:16" s="394" customFormat="1" x14ac:dyDescent="0.3">
      <c r="A67" s="487" t="s">
        <v>354</v>
      </c>
      <c r="B67" s="487"/>
      <c r="C67" s="488">
        <f>C64</f>
        <v>396192.91666666669</v>
      </c>
      <c r="D67" s="488">
        <f t="shared" ref="D67:N67" si="36">C67+D64</f>
        <v>792385.83333333337</v>
      </c>
      <c r="E67" s="488">
        <f t="shared" si="36"/>
        <v>1188578.75</v>
      </c>
      <c r="F67" s="488">
        <f t="shared" si="36"/>
        <v>1584771.6666666667</v>
      </c>
      <c r="G67" s="488">
        <f t="shared" si="36"/>
        <v>1980964.5833333335</v>
      </c>
      <c r="H67" s="489">
        <f t="shared" si="36"/>
        <v>2377157.5</v>
      </c>
      <c r="I67" s="488">
        <f t="shared" si="36"/>
        <v>2773350.4166666665</v>
      </c>
      <c r="J67" s="488">
        <f t="shared" si="36"/>
        <v>3169543.333333333</v>
      </c>
      <c r="K67" s="488">
        <f t="shared" si="36"/>
        <v>3565736.2499999995</v>
      </c>
      <c r="L67" s="488">
        <f t="shared" si="36"/>
        <v>3961929.166666666</v>
      </c>
      <c r="M67" s="488">
        <f t="shared" si="36"/>
        <v>4358122.083333333</v>
      </c>
      <c r="N67" s="489">
        <f t="shared" si="36"/>
        <v>4754315</v>
      </c>
      <c r="O67" s="587">
        <f xml:space="preserve"> 3451699+1302616</f>
        <v>4754315</v>
      </c>
    </row>
    <row r="68" spans="1:16" s="394" customFormat="1" x14ac:dyDescent="0.3">
      <c r="A68" s="603" t="s">
        <v>358</v>
      </c>
      <c r="B68" s="603"/>
      <c r="C68" s="604">
        <f>O68/12</f>
        <v>290291.66666666669</v>
      </c>
      <c r="D68" s="604">
        <f>C68+$O$68/12</f>
        <v>580583.33333333337</v>
      </c>
      <c r="E68" s="604">
        <f t="shared" ref="E68:N68" si="37">D68+$O$68/12</f>
        <v>870875</v>
      </c>
      <c r="F68" s="604">
        <f t="shared" si="37"/>
        <v>1161166.6666666667</v>
      </c>
      <c r="G68" s="604">
        <f t="shared" si="37"/>
        <v>1451458.3333333335</v>
      </c>
      <c r="H68" s="604">
        <f t="shared" si="37"/>
        <v>1741750.0000000002</v>
      </c>
      <c r="I68" s="604">
        <f t="shared" si="37"/>
        <v>2032041.666666667</v>
      </c>
      <c r="J68" s="604">
        <f t="shared" si="37"/>
        <v>2322333.3333333335</v>
      </c>
      <c r="K68" s="604">
        <f t="shared" si="37"/>
        <v>2612625</v>
      </c>
      <c r="L68" s="604">
        <f t="shared" si="37"/>
        <v>2902916.6666666665</v>
      </c>
      <c r="M68" s="604">
        <f t="shared" si="37"/>
        <v>3193208.333333333</v>
      </c>
      <c r="N68" s="605">
        <f t="shared" si="37"/>
        <v>3483499.9999999995</v>
      </c>
      <c r="O68" s="587">
        <f>0.5*O66</f>
        <v>3483500</v>
      </c>
      <c r="P68" s="606">
        <f>O68/O66</f>
        <v>0.5</v>
      </c>
    </row>
    <row r="69" spans="1:16" s="394" customFormat="1" x14ac:dyDescent="0.3">
      <c r="A69" s="672" t="s">
        <v>335</v>
      </c>
      <c r="B69" s="672"/>
      <c r="C69" s="670">
        <f>C65</f>
        <v>340509.94999999995</v>
      </c>
      <c r="D69" s="670">
        <f t="shared" ref="D69:N69" si="38">C69+D65</f>
        <v>426214.50973182113</v>
      </c>
      <c r="E69" s="670">
        <f t="shared" si="38"/>
        <v>959445.50973182113</v>
      </c>
      <c r="F69" s="670">
        <f t="shared" si="38"/>
        <v>1730571.5097318213</v>
      </c>
      <c r="G69" s="670">
        <f t="shared" si="38"/>
        <v>1730571.5097318213</v>
      </c>
      <c r="H69" s="671">
        <f t="shared" si="38"/>
        <v>1730571.5097318213</v>
      </c>
      <c r="I69" s="670">
        <f t="shared" si="38"/>
        <v>1730571.5097318213</v>
      </c>
      <c r="J69" s="670">
        <f t="shared" si="38"/>
        <v>1730571.5097318213</v>
      </c>
      <c r="K69" s="670">
        <f t="shared" si="38"/>
        <v>1730571.5097318213</v>
      </c>
      <c r="L69" s="670">
        <f t="shared" si="38"/>
        <v>1730571.5097318213</v>
      </c>
      <c r="M69" s="670">
        <f t="shared" si="38"/>
        <v>1730571.5097318213</v>
      </c>
      <c r="N69" s="671">
        <f t="shared" si="38"/>
        <v>1730571.5097318213</v>
      </c>
      <c r="O69" s="405"/>
    </row>
    <row r="70" spans="1:16" s="437" customFormat="1" x14ac:dyDescent="0.3">
      <c r="A70" s="621" t="s">
        <v>364</v>
      </c>
      <c r="B70" s="487"/>
      <c r="C70" s="623">
        <v>276408.88</v>
      </c>
      <c r="D70" s="623">
        <v>810219.39</v>
      </c>
      <c r="E70" s="623">
        <v>1222990.72</v>
      </c>
      <c r="F70" s="623">
        <v>1393067.6199999999</v>
      </c>
      <c r="G70" s="623">
        <v>3383382.32</v>
      </c>
      <c r="H70" s="623">
        <v>4187121</v>
      </c>
      <c r="I70" s="623">
        <v>4422240.9800000004</v>
      </c>
      <c r="J70" s="623">
        <v>4511704.25</v>
      </c>
      <c r="K70" s="623">
        <v>6332709.9399999995</v>
      </c>
      <c r="L70" s="623">
        <v>7258662.1199999992</v>
      </c>
      <c r="M70" s="623">
        <v>7518405.4799999995</v>
      </c>
      <c r="N70" s="623">
        <v>8510925.8200000003</v>
      </c>
      <c r="O70" s="39"/>
    </row>
    <row r="71" spans="1:16" s="394" customFormat="1" ht="18" x14ac:dyDescent="0.35">
      <c r="A71" s="554" t="s">
        <v>351</v>
      </c>
      <c r="B71" s="59"/>
      <c r="C71" s="602"/>
      <c r="D71" s="602"/>
      <c r="E71" s="602"/>
      <c r="F71" s="602"/>
      <c r="G71" s="555"/>
      <c r="H71" s="556"/>
      <c r="I71" s="555"/>
      <c r="J71" s="555"/>
      <c r="K71" s="555"/>
      <c r="L71" s="555"/>
      <c r="M71" s="555"/>
      <c r="N71" s="556"/>
      <c r="O71" s="405"/>
    </row>
    <row r="72" spans="1:16" s="394" customFormat="1" x14ac:dyDescent="0.3">
      <c r="A72" s="558" t="s">
        <v>366</v>
      </c>
      <c r="B72" s="558"/>
      <c r="C72" s="559">
        <f t="shared" ref="C72:N72" si="39">$O$72/12</f>
        <v>583333.33333333337</v>
      </c>
      <c r="D72" s="559">
        <f t="shared" si="39"/>
        <v>583333.33333333337</v>
      </c>
      <c r="E72" s="559">
        <f t="shared" si="39"/>
        <v>583333.33333333337</v>
      </c>
      <c r="F72" s="559">
        <f t="shared" si="39"/>
        <v>583333.33333333337</v>
      </c>
      <c r="G72" s="559">
        <f t="shared" si="39"/>
        <v>583333.33333333337</v>
      </c>
      <c r="H72" s="560">
        <f t="shared" si="39"/>
        <v>583333.33333333337</v>
      </c>
      <c r="I72" s="559">
        <f t="shared" si="39"/>
        <v>583333.33333333337</v>
      </c>
      <c r="J72" s="559">
        <f t="shared" si="39"/>
        <v>583333.33333333337</v>
      </c>
      <c r="K72" s="559">
        <f t="shared" si="39"/>
        <v>583333.33333333337</v>
      </c>
      <c r="L72" s="559">
        <f t="shared" si="39"/>
        <v>583333.33333333337</v>
      </c>
      <c r="M72" s="559">
        <f t="shared" si="39"/>
        <v>583333.33333333337</v>
      </c>
      <c r="N72" s="560">
        <f t="shared" si="39"/>
        <v>583333.33333333337</v>
      </c>
      <c r="O72" s="513">
        <v>7000000</v>
      </c>
    </row>
    <row r="73" spans="1:16" s="394" customFormat="1" x14ac:dyDescent="0.3">
      <c r="A73" s="558" t="s">
        <v>367</v>
      </c>
      <c r="B73" s="558"/>
      <c r="C73" s="559">
        <f>$O$73/12</f>
        <v>416666.66666666669</v>
      </c>
      <c r="D73" s="559">
        <f t="shared" ref="D73:N73" si="40">$O$73/12</f>
        <v>416666.66666666669</v>
      </c>
      <c r="E73" s="559">
        <f t="shared" si="40"/>
        <v>416666.66666666669</v>
      </c>
      <c r="F73" s="559">
        <f t="shared" si="40"/>
        <v>416666.66666666669</v>
      </c>
      <c r="G73" s="559">
        <f t="shared" si="40"/>
        <v>416666.66666666669</v>
      </c>
      <c r="H73" s="560">
        <f t="shared" si="40"/>
        <v>416666.66666666669</v>
      </c>
      <c r="I73" s="559">
        <f t="shared" si="40"/>
        <v>416666.66666666669</v>
      </c>
      <c r="J73" s="559">
        <f t="shared" si="40"/>
        <v>416666.66666666669</v>
      </c>
      <c r="K73" s="559">
        <f t="shared" si="40"/>
        <v>416666.66666666669</v>
      </c>
      <c r="L73" s="559">
        <f t="shared" si="40"/>
        <v>416666.66666666669</v>
      </c>
      <c r="M73" s="559">
        <f t="shared" si="40"/>
        <v>416666.66666666669</v>
      </c>
      <c r="N73" s="560">
        <f t="shared" si="40"/>
        <v>416666.66666666669</v>
      </c>
      <c r="O73" s="587">
        <v>5000000</v>
      </c>
    </row>
    <row r="74" spans="1:16" s="394" customFormat="1" x14ac:dyDescent="0.3">
      <c r="A74" s="669" t="s">
        <v>332</v>
      </c>
      <c r="B74" s="669"/>
      <c r="C74" s="654">
        <f>SUM(C6:C9)</f>
        <v>387460</v>
      </c>
      <c r="D74" s="654">
        <f t="shared" ref="D74:N74" si="41">SUM(D6:D9)</f>
        <v>296375.80999999994</v>
      </c>
      <c r="E74" s="654">
        <f t="shared" si="41"/>
        <v>176379.5</v>
      </c>
      <c r="F74" s="654">
        <f t="shared" si="41"/>
        <v>1667</v>
      </c>
      <c r="G74" s="654">
        <f t="shared" si="41"/>
        <v>0</v>
      </c>
      <c r="H74" s="654">
        <f t="shared" si="41"/>
        <v>0</v>
      </c>
      <c r="I74" s="654">
        <f t="shared" si="41"/>
        <v>0</v>
      </c>
      <c r="J74" s="654">
        <f t="shared" si="41"/>
        <v>0</v>
      </c>
      <c r="K74" s="654">
        <f t="shared" si="41"/>
        <v>0</v>
      </c>
      <c r="L74" s="654">
        <f t="shared" si="41"/>
        <v>0</v>
      </c>
      <c r="M74" s="654">
        <f t="shared" si="41"/>
        <v>0</v>
      </c>
      <c r="N74" s="654">
        <f t="shared" si="41"/>
        <v>0</v>
      </c>
      <c r="O74" s="513"/>
    </row>
    <row r="75" spans="1:16" s="394" customFormat="1" x14ac:dyDescent="0.3">
      <c r="A75" s="571" t="s">
        <v>368</v>
      </c>
      <c r="B75" s="571"/>
      <c r="C75" s="572">
        <f>C72</f>
        <v>583333.33333333337</v>
      </c>
      <c r="D75" s="572">
        <f>C75+D72</f>
        <v>1166666.6666666667</v>
      </c>
      <c r="E75" s="572">
        <f t="shared" ref="E75:N75" si="42">D75+E72</f>
        <v>1750000</v>
      </c>
      <c r="F75" s="572">
        <f t="shared" si="42"/>
        <v>2333333.3333333335</v>
      </c>
      <c r="G75" s="572">
        <f t="shared" si="42"/>
        <v>2916666.666666667</v>
      </c>
      <c r="H75" s="573">
        <f t="shared" si="42"/>
        <v>3500000.0000000005</v>
      </c>
      <c r="I75" s="572">
        <f t="shared" si="42"/>
        <v>4083333.333333334</v>
      </c>
      <c r="J75" s="572">
        <f t="shared" si="42"/>
        <v>4666666.666666667</v>
      </c>
      <c r="K75" s="572">
        <f t="shared" si="42"/>
        <v>5250000</v>
      </c>
      <c r="L75" s="572">
        <f t="shared" si="42"/>
        <v>5833333.333333333</v>
      </c>
      <c r="M75" s="572">
        <f t="shared" si="42"/>
        <v>6416666.666666666</v>
      </c>
      <c r="N75" s="573">
        <f t="shared" si="42"/>
        <v>6999999.9999999991</v>
      </c>
      <c r="O75" s="513">
        <v>7000000</v>
      </c>
    </row>
    <row r="76" spans="1:16" s="394" customFormat="1" x14ac:dyDescent="0.3">
      <c r="A76" s="561" t="s">
        <v>369</v>
      </c>
      <c r="B76" s="561"/>
      <c r="C76" s="562">
        <f>C73</f>
        <v>416666.66666666669</v>
      </c>
      <c r="D76" s="562">
        <f>C76+D73</f>
        <v>833333.33333333337</v>
      </c>
      <c r="E76" s="562">
        <f t="shared" ref="E76:N76" si="43">D76+E73</f>
        <v>1250000</v>
      </c>
      <c r="F76" s="562">
        <f t="shared" si="43"/>
        <v>1666666.6666666667</v>
      </c>
      <c r="G76" s="562">
        <f t="shared" si="43"/>
        <v>2083333.3333333335</v>
      </c>
      <c r="H76" s="563">
        <f t="shared" si="43"/>
        <v>2500000</v>
      </c>
      <c r="I76" s="562">
        <f t="shared" si="43"/>
        <v>2916666.6666666665</v>
      </c>
      <c r="J76" s="562">
        <f t="shared" si="43"/>
        <v>3333333.333333333</v>
      </c>
      <c r="K76" s="562">
        <f t="shared" si="43"/>
        <v>3749999.9999999995</v>
      </c>
      <c r="L76" s="562">
        <f t="shared" si="43"/>
        <v>4166666.666666666</v>
      </c>
      <c r="M76" s="562">
        <f t="shared" si="43"/>
        <v>4583333.333333333</v>
      </c>
      <c r="N76" s="563">
        <f t="shared" si="43"/>
        <v>5000000</v>
      </c>
      <c r="O76" s="587">
        <v>5000000</v>
      </c>
    </row>
    <row r="77" spans="1:16" s="394" customFormat="1" x14ac:dyDescent="0.3">
      <c r="A77" s="603" t="s">
        <v>374</v>
      </c>
      <c r="B77" s="603"/>
      <c r="C77" s="604">
        <f>O77/12</f>
        <v>291666.66666666669</v>
      </c>
      <c r="D77" s="604">
        <f>C77+$O$77/12</f>
        <v>583333.33333333337</v>
      </c>
      <c r="E77" s="604">
        <f t="shared" ref="E77:N77" si="44">D77+$O$77/12</f>
        <v>875000</v>
      </c>
      <c r="F77" s="604">
        <f t="shared" si="44"/>
        <v>1166666.6666666667</v>
      </c>
      <c r="G77" s="604">
        <f t="shared" si="44"/>
        <v>1458333.3333333335</v>
      </c>
      <c r="H77" s="604">
        <f t="shared" si="44"/>
        <v>1750000.0000000002</v>
      </c>
      <c r="I77" s="604">
        <f t="shared" si="44"/>
        <v>2041666.666666667</v>
      </c>
      <c r="J77" s="604">
        <f t="shared" si="44"/>
        <v>2333333.3333333335</v>
      </c>
      <c r="K77" s="604">
        <f t="shared" si="44"/>
        <v>2625000</v>
      </c>
      <c r="L77" s="604">
        <f t="shared" si="44"/>
        <v>2916666.6666666665</v>
      </c>
      <c r="M77" s="604">
        <f t="shared" si="44"/>
        <v>3208333.333333333</v>
      </c>
      <c r="N77" s="604">
        <f t="shared" si="44"/>
        <v>3499999.9999999995</v>
      </c>
      <c r="O77" s="587">
        <f>0.5*O75</f>
        <v>3500000</v>
      </c>
      <c r="P77" s="606">
        <f>O77/O75</f>
        <v>0.5</v>
      </c>
    </row>
    <row r="78" spans="1:16" s="394" customFormat="1" x14ac:dyDescent="0.3">
      <c r="A78" s="672" t="s">
        <v>333</v>
      </c>
      <c r="B78" s="672"/>
      <c r="C78" s="670">
        <f>C74</f>
        <v>387460</v>
      </c>
      <c r="D78" s="670">
        <f>C78+D74</f>
        <v>683835.80999999994</v>
      </c>
      <c r="E78" s="670">
        <f t="shared" ref="E78:M78" si="45">D78+E74</f>
        <v>860215.30999999994</v>
      </c>
      <c r="F78" s="670">
        <f t="shared" si="45"/>
        <v>861882.30999999994</v>
      </c>
      <c r="G78" s="670">
        <f t="shared" si="45"/>
        <v>861882.30999999994</v>
      </c>
      <c r="H78" s="671">
        <f t="shared" si="45"/>
        <v>861882.30999999994</v>
      </c>
      <c r="I78" s="670">
        <f t="shared" si="45"/>
        <v>861882.30999999994</v>
      </c>
      <c r="J78" s="670">
        <f>I78+J74</f>
        <v>861882.30999999994</v>
      </c>
      <c r="K78" s="670">
        <f t="shared" si="45"/>
        <v>861882.30999999994</v>
      </c>
      <c r="L78" s="670">
        <f t="shared" si="45"/>
        <v>861882.30999999994</v>
      </c>
      <c r="M78" s="670">
        <f t="shared" si="45"/>
        <v>861882.30999999994</v>
      </c>
      <c r="N78" s="671">
        <f>M78+N74</f>
        <v>861882.30999999994</v>
      </c>
      <c r="O78" s="513"/>
    </row>
    <row r="79" spans="1:16" s="394" customFormat="1" x14ac:dyDescent="0.3">
      <c r="A79" s="633" t="s">
        <v>365</v>
      </c>
      <c r="B79" s="561"/>
      <c r="C79" s="624">
        <v>365466</v>
      </c>
      <c r="D79" s="624">
        <v>1342832</v>
      </c>
      <c r="E79" s="624">
        <v>1853515</v>
      </c>
      <c r="F79" s="624">
        <v>2768619</v>
      </c>
      <c r="G79" s="624">
        <v>3308599</v>
      </c>
      <c r="H79" s="625">
        <v>4234927</v>
      </c>
      <c r="I79" s="624">
        <v>5510658</v>
      </c>
      <c r="J79" s="624">
        <v>6630589</v>
      </c>
      <c r="K79" s="624">
        <v>7371928</v>
      </c>
      <c r="L79" s="624">
        <v>7568091</v>
      </c>
      <c r="M79" s="624">
        <v>7755500</v>
      </c>
      <c r="N79" s="625">
        <v>9308833</v>
      </c>
      <c r="O79" s="513"/>
    </row>
    <row r="80" spans="1:16" s="394" customFormat="1" x14ac:dyDescent="0.3">
      <c r="A80" s="59"/>
      <c r="B80" s="59"/>
      <c r="C80" s="555"/>
      <c r="D80" s="555"/>
      <c r="E80" s="555"/>
      <c r="F80" s="555"/>
      <c r="G80" s="555"/>
      <c r="H80" s="556"/>
      <c r="I80" s="555"/>
      <c r="J80" s="555"/>
      <c r="K80" s="555"/>
      <c r="L80" s="555"/>
      <c r="M80" s="555"/>
      <c r="N80" s="556"/>
      <c r="O80" s="405"/>
    </row>
    <row r="81" spans="8:8" s="394" customFormat="1" x14ac:dyDescent="0.3">
      <c r="H81" s="557"/>
    </row>
  </sheetData>
  <conditionalFormatting sqref="C1:N2">
    <cfRule type="expression" dxfId="395" priority="7">
      <formula>MONTH(TODAY())=MONTH(C$1)</formula>
    </cfRule>
  </conditionalFormatting>
  <conditionalFormatting sqref="C22:N22">
    <cfRule type="cellIs" dxfId="394" priority="5" operator="lessThan">
      <formula>0</formula>
    </cfRule>
    <cfRule type="cellIs" dxfId="393" priority="6" operator="lessThan">
      <formula>-169808</formula>
    </cfRule>
  </conditionalFormatting>
  <conditionalFormatting sqref="C20:N20">
    <cfRule type="cellIs" dxfId="392" priority="4" operator="lessThan">
      <formula>0</formula>
    </cfRule>
  </conditionalFormatting>
  <conditionalFormatting sqref="C24:N24">
    <cfRule type="cellIs" dxfId="391" priority="1" operator="lessThan">
      <formula>0</formula>
    </cfRule>
    <cfRule type="cellIs" dxfId="390" priority="2" operator="lessThan">
      <formula>0</formula>
    </cfRule>
    <cfRule type="cellIs" dxfId="389" priority="3" operator="lessThan">
      <formula>0</formula>
    </cfRule>
  </conditionalFormatting>
  <pageMargins left="0.7" right="0.7" top="0.75" bottom="0.75" header="0.3" footer="0.3"/>
  <pageSetup paperSize="9" scale="10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S36"/>
  <sheetViews>
    <sheetView workbookViewId="0">
      <pane xSplit="2" ySplit="1" topLeftCell="C2" activePane="bottomRight" state="frozenSplit"/>
      <selection pane="topRight" activeCell="D1" sqref="D1"/>
      <selection pane="bottomLeft" activeCell="A12" sqref="A12"/>
      <selection pane="bottomRight" activeCell="E22" sqref="E22"/>
    </sheetView>
  </sheetViews>
  <sheetFormatPr baseColWidth="10" defaultColWidth="8.88671875" defaultRowHeight="14.4" x14ac:dyDescent="0.3"/>
  <cols>
    <col min="1" max="1" width="17" bestFit="1" customWidth="1"/>
    <col min="2" max="2" width="21.88671875" bestFit="1" customWidth="1"/>
    <col min="3" max="3" width="10" bestFit="1" customWidth="1"/>
    <col min="4" max="7" width="10.44140625" bestFit="1" customWidth="1"/>
    <col min="8" max="9" width="12.88671875" bestFit="1" customWidth="1"/>
    <col min="10" max="10" width="10.44140625" bestFit="1" customWidth="1"/>
    <col min="11" max="12" width="9.44140625" bestFit="1" customWidth="1"/>
    <col min="13" max="13" width="8.109375" bestFit="1" customWidth="1"/>
    <col min="14" max="14" width="10.44140625" bestFit="1" customWidth="1"/>
    <col min="15" max="16" width="11.88671875" bestFit="1" customWidth="1"/>
  </cols>
  <sheetData>
    <row r="1" spans="1:16" x14ac:dyDescent="0.3">
      <c r="A1" s="397"/>
      <c r="B1" s="397" t="s">
        <v>376</v>
      </c>
      <c r="C1" s="411">
        <v>44197</v>
      </c>
      <c r="D1" s="412">
        <v>44228</v>
      </c>
      <c r="E1" s="412">
        <v>44256</v>
      </c>
      <c r="F1" s="412">
        <v>44287</v>
      </c>
      <c r="G1" s="432">
        <v>44317</v>
      </c>
      <c r="H1" s="433">
        <v>44348</v>
      </c>
      <c r="I1" s="433">
        <v>44378</v>
      </c>
      <c r="J1" s="433">
        <v>44409</v>
      </c>
      <c r="K1" s="432">
        <v>44440</v>
      </c>
      <c r="L1" s="433">
        <v>44470</v>
      </c>
      <c r="M1" s="433">
        <v>44501</v>
      </c>
      <c r="N1" s="433">
        <v>44531</v>
      </c>
      <c r="O1" s="402" t="s">
        <v>23</v>
      </c>
      <c r="P1" s="395"/>
    </row>
    <row r="2" spans="1:16" x14ac:dyDescent="0.3">
      <c r="A2" s="395" t="s">
        <v>379</v>
      </c>
      <c r="B2" s="396"/>
      <c r="C2" s="419">
        <f>SUMIFS(Data!$I:$I,Data!$D:$D,"&gt;"&amp;C$1,Data!$D:$D,"&lt;="&amp;EOMONTH(C$1,0),Data!$G:$G,"AIA*",Data!$K:$K,"&lt;&gt;"&amp;"Trading")</f>
        <v>2980</v>
      </c>
      <c r="D2" s="435">
        <f>SUMIFS(Data!$I:$I,Data!$D:$D,"&gt;"&amp;D$1,Data!$D:$D,"&lt;="&amp;EOMONTH(D$1,0),Data!$G:$G,"AIA*",Data!$K:$K,"&lt;&gt;"&amp;"Trading")</f>
        <v>0</v>
      </c>
      <c r="E2" s="435">
        <f>SUMIFS(Data!$I:$I,Data!$D:$D,"&gt;"&amp;E$1,Data!$D:$D,"&lt;="&amp;EOMONTH(E$1,0),Data!$G:$G,"AIA*",Data!$K:$K,"&lt;&gt;"&amp;"Trading")</f>
        <v>0</v>
      </c>
      <c r="F2" s="435">
        <f>SUMIFS(Data!$I:$I,Data!$D:$D,"&gt;"&amp;F$1,Data!$D:$D,"&lt;="&amp;EOMONTH(F$1,0),Data!$G:$G,"AIA*",Data!$K:$K,"&lt;&gt;"&amp;"Trading")</f>
        <v>0</v>
      </c>
      <c r="G2" s="435">
        <f>SUMIFS(Data!$I:$I,Data!$D:$D,"&gt;"&amp;G$1,Data!$D:$D,"&lt;="&amp;EOMONTH(G$1,0),Data!$G:$G,"AIA*",Data!$K:$K,"&lt;&gt;"&amp;"Trading")</f>
        <v>0</v>
      </c>
      <c r="H2" s="435">
        <f>SUMIFS(Data!$I:$I,Data!$D:$D,"&gt;"&amp;H$1,Data!$D:$D,"&lt;="&amp;EOMONTH(H$1,0),Data!$G:$G,"AIA*",Data!$K:$K,"&lt;&gt;"&amp;"Trading")</f>
        <v>48920</v>
      </c>
      <c r="I2" s="435">
        <f>SUMIFS(Data!$I:$I,Data!$D:$D,"&gt;"&amp;I$1,Data!$D:$D,"&lt;="&amp;EOMONTH(I$1,0),Data!$G:$G,"AIA*",Data!$K:$K,"&lt;&gt;"&amp;"Trading")</f>
        <v>0</v>
      </c>
      <c r="J2" s="435">
        <f>SUMIFS(Data!$I:$I,Data!$D:$D,"&gt;"&amp;J$1,Data!$D:$D,"&lt;="&amp;EOMONTH(J$1,0),Data!$G:$G,"AIA*",Data!$K:$K,"&lt;&gt;"&amp;"Trading")</f>
        <v>0</v>
      </c>
      <c r="K2" s="435">
        <f>SUMIFS(Data!$I:$I,Data!$D:$D,"&gt;"&amp;K$1,Data!$D:$D,"&lt;="&amp;EOMONTH(K$1,0),Data!$G:$G,"AIA*",Data!$K:$K,"&lt;&gt;"&amp;"Trading")</f>
        <v>0</v>
      </c>
      <c r="L2" s="435">
        <f>SUMIFS(Data!$I:$I,Data!$D:$D,"&gt;"&amp;L$1,Data!$D:$D,"&lt;="&amp;EOMONTH(L$1,0),Data!$G:$G,"AIA*",Data!$K:$K,"&lt;&gt;"&amp;"Trading")</f>
        <v>11759</v>
      </c>
      <c r="M2" s="435">
        <f>SUMIFS(Data!$I:$I,Data!$D:$D,"&gt;"&amp;M$1,Data!$D:$D,"&lt;="&amp;EOMONTH(M$1,0),Data!$G:$G,"AIA*",Data!$K:$K,"&lt;&gt;"&amp;"Trading")</f>
        <v>28945</v>
      </c>
      <c r="N2" s="418">
        <f>SUMIFS(Data!$I:$I,Data!$D:$D,"&gt;"&amp;N$1,Data!$D:$D,"&lt;="&amp;EOMONTH(N$1,0),Data!$G:$G,"AIA*",Data!$K:$K,"&lt;&gt;"&amp;"Trading")</f>
        <v>2750</v>
      </c>
      <c r="O2" s="403">
        <f>SUM(C2:N2)</f>
        <v>95354</v>
      </c>
      <c r="P2" s="395"/>
    </row>
    <row r="3" spans="1:16" x14ac:dyDescent="0.3">
      <c r="A3" s="397" t="s">
        <v>303</v>
      </c>
      <c r="B3" s="398"/>
      <c r="C3" s="423">
        <f>SUMIFS(Data!$I:$I,Data!$D:$D,"&gt;"&amp;C$1,Data!$D:$D,"&lt;="&amp;EOMONTH(C$1,0),Data!$G:$G,"AIA*",Data!$K:$K,"Trading")</f>
        <v>0</v>
      </c>
      <c r="D3" s="400">
        <f>SUMIFS(Data!$I:$I,Data!$D:$D,"&gt;"&amp;D$1,Data!$D:$D,"&lt;="&amp;EOMONTH(D$1,0),Data!$G:$G,"AIA*",Data!$K:$K,"Trading")</f>
        <v>0</v>
      </c>
      <c r="E3" s="400">
        <f>SUMIFS(Data!$I:$I,Data!$D:$D,"&gt;"&amp;E$1,Data!$D:$D,"&lt;="&amp;EOMONTH(E$1,0),Data!$G:$G,"AIA*",Data!$K:$K,"Trading")</f>
        <v>0</v>
      </c>
      <c r="F3" s="400">
        <f>SUMIFS(Data!$I:$I,Data!$D:$D,"&gt;"&amp;F$1,Data!$D:$D,"&lt;="&amp;EOMONTH(F$1,0),Data!$G:$G,"AIA*",Data!$K:$K,"Trading")</f>
        <v>0</v>
      </c>
      <c r="G3" s="400">
        <f>SUMIFS(Data!$I:$I,Data!$D:$D,"&gt;"&amp;G$1,Data!$D:$D,"&lt;="&amp;EOMONTH(G$1,0),Data!$G:$G,"AIA*",Data!$K:$K,"Trading")</f>
        <v>0</v>
      </c>
      <c r="H3" s="400">
        <f>SUMIFS(Data!$I:$I,Data!$D:$D,"&gt;"&amp;H$1,Data!$D:$D,"&lt;="&amp;EOMONTH(H$1,0),Data!$G:$G,"AIA*",Data!$K:$K,"Trading")</f>
        <v>0</v>
      </c>
      <c r="I3" s="400">
        <f>SUMIFS(Data!$I:$I,Data!$D:$D,"&gt;"&amp;I$1,Data!$D:$D,"&lt;="&amp;EOMONTH(I$1,0),Data!$G:$G,"AIA*",Data!$K:$K,"Trading")</f>
        <v>0</v>
      </c>
      <c r="J3" s="400">
        <f>SUMIFS(Data!$I:$I,Data!$D:$D,"&gt;"&amp;J$1,Data!$D:$D,"&lt;="&amp;EOMONTH(J$1,0),Data!$G:$G,"AIA*",Data!$K:$K,"Trading")</f>
        <v>0</v>
      </c>
      <c r="K3" s="400">
        <f>SUMIFS(Data!$I:$I,Data!$D:$D,"&gt;"&amp;K$1,Data!$D:$D,"&lt;="&amp;EOMONTH(K$1,0),Data!$G:$G,"AIA*",Data!$K:$K,"Trading")</f>
        <v>0</v>
      </c>
      <c r="L3" s="400">
        <f>SUMIFS(Data!$I:$I,Data!$D:$D,"&gt;"&amp;L$1,Data!$D:$D,"&lt;="&amp;EOMONTH(L$1,0),Data!$G:$G,"AIA*",Data!$K:$K,"Trading")</f>
        <v>0</v>
      </c>
      <c r="M3" s="400">
        <f>SUMIFS(Data!$I:$I,Data!$D:$D,"&gt;"&amp;M$1,Data!$D:$D,"&lt;="&amp;EOMONTH(M$1,0),Data!$G:$G,"AIA*",Data!$K:$K,"Trading")</f>
        <v>0</v>
      </c>
      <c r="N3" s="479">
        <f>SUMIFS(Data!$I:$I,Data!$D:$D,"&gt;"&amp;N$1,Data!$D:$D,"&lt;="&amp;EOMONTH(N$1,0),Data!$G:$G,"AIA*",Data!$K:$K,"Trading")</f>
        <v>0</v>
      </c>
      <c r="O3" s="404">
        <f>SUM(C3:N3)</f>
        <v>0</v>
      </c>
      <c r="P3" s="395"/>
    </row>
    <row r="4" spans="1:16" x14ac:dyDescent="0.3">
      <c r="A4" s="395" t="s">
        <v>377</v>
      </c>
      <c r="B4" s="399">
        <v>1590</v>
      </c>
      <c r="C4" s="427">
        <f>SUMIFS(Data!$S:$S,Data!$Q:$Q,"&gt;"&amp;C$1,Data!$Q:$Q,"&lt;="&amp;EOMONTH(C$1,0),Data!$G:$G,"AIA*",Data!$K:$K,"&lt;&gt;"&amp;"Trading")</f>
        <v>0</v>
      </c>
      <c r="D4" s="427">
        <f>SUMIFS(Data!$S:$S,Data!$Q:$Q,"&gt;"&amp;D$1,Data!$Q:$Q,"&lt;="&amp;EOMONTH(D$1,0),Data!$G:$G,"AIA*",Data!$K:$K,"&lt;&gt;"&amp;"Trading")</f>
        <v>0</v>
      </c>
      <c r="E4" s="427">
        <f>SUMIFS(Data!$S:$S,Data!$Q:$Q,"&gt;"&amp;E$1,Data!$Q:$Q,"&lt;="&amp;EOMONTH(E$1,0),Data!$G:$G,"AIA*",Data!$K:$K,"&lt;&gt;"&amp;"Trading")</f>
        <v>0</v>
      </c>
      <c r="F4" s="427">
        <f>SUMIFS(Data!$S:$S,Data!$Q:$Q,"&gt;"&amp;F$1,Data!$Q:$Q,"&lt;="&amp;EOMONTH(F$1,0),Data!$G:$G,"AIA*",Data!$K:$K,"&lt;&gt;"&amp;"Trading")</f>
        <v>0</v>
      </c>
      <c r="G4" s="427">
        <f>SUMIFS(Data!$S:$S,Data!$Q:$Q,"&gt;"&amp;G$1,Data!$Q:$Q,"&lt;="&amp;EOMONTH(G$1,0),Data!$G:$G,"AIA*",Data!$K:$K,"&lt;&gt;"&amp;"Trading")</f>
        <v>0</v>
      </c>
      <c r="H4" s="427">
        <f>SUMIFS(Data!$S:$S,Data!$Q:$Q,"&gt;"&amp;H$1,Data!$Q:$Q,"&lt;="&amp;EOMONTH(H$1,0),Data!$G:$G,"AIA*",Data!$K:$K,"&lt;&gt;"&amp;"Trading")</f>
        <v>0</v>
      </c>
      <c r="I4" s="407">
        <f>SUMIFS(Data!$S:$S,Data!$Q:$Q,"&gt;"&amp;I$1,Data!$Q:$Q,"&lt;="&amp;EOMONTH(I$1,0),Data!$G:$G,"AIA*",Data!$K:$K,"&lt;&gt;"&amp;"Trading")</f>
        <v>0</v>
      </c>
      <c r="J4" s="427">
        <f>SUMIFS(Data!$S:$S,Data!$Q:$Q,"&gt;"&amp;J$1,Data!$Q:$Q,"&lt;="&amp;EOMONTH(J$1,0),Data!$G:$G,"AIA*",Data!$K:$K,"&lt;&gt;"&amp;"Trading")</f>
        <v>0</v>
      </c>
      <c r="K4" s="427">
        <f>SUMIFS(Data!$S:$S,Data!$Q:$Q,"&gt;"&amp;K$1,Data!$Q:$Q,"&lt;="&amp;EOMONTH(K$1,0),Data!$G:$G,"AIA*",Data!$K:$K,"&lt;&gt;"&amp;"Trading")</f>
        <v>0</v>
      </c>
      <c r="L4" s="427">
        <f>SUMIFS(Data!$S:$S,Data!$Q:$Q,"&gt;"&amp;L$1,Data!$Q:$Q,"&lt;="&amp;EOMONTH(L$1,0),Data!$G:$G,"AIA*",Data!$K:$K,"&lt;&gt;"&amp;"Trading")</f>
        <v>0</v>
      </c>
      <c r="M4" s="427">
        <f>SUMIFS(Data!$S:$S,Data!$Q:$Q,"&gt;"&amp;M$1,Data!$Q:$Q,"&lt;="&amp;EOMONTH(M$1,0),Data!$G:$G,"AIA*",Data!$K:$K,"&lt;&gt;"&amp;"Trading")</f>
        <v>3180</v>
      </c>
      <c r="N4" s="427">
        <f>SUMIFS(Data!$S:$S,Data!$Q:$Q,"&gt;"&amp;N$1,Data!$Q:$Q,"&lt;="&amp;EOMONTH(N$1,0),Data!$G:$G,"AIA*",Data!$K:$K,"&lt;&gt;"&amp;"Trading")</f>
        <v>6210</v>
      </c>
      <c r="O4" s="416">
        <f>SUM(B4:N4)</f>
        <v>10980</v>
      </c>
      <c r="P4" s="395"/>
    </row>
    <row r="5" spans="1:16" x14ac:dyDescent="0.3">
      <c r="A5" s="397" t="s">
        <v>304</v>
      </c>
      <c r="B5" s="400">
        <v>266850</v>
      </c>
      <c r="C5" s="436">
        <f>SUMIFS(Data!$S:$S,Data!$Q:$Q,"&gt;"&amp;C$1,Data!$Q:$Q,"&lt;="&amp;EOMONTH(C$1,0),Data!$G:$G,"AIA*",Data!$K:$K,"Trading")</f>
        <v>0</v>
      </c>
      <c r="D5" s="436">
        <f>SUMIFS(Data!$S:$S,Data!$Q:$Q,"&gt;"&amp;D$1,Data!$Q:$Q,"&lt;="&amp;EOMONTH(D$1,0),Data!$G:$G,"AIA*",Data!$K:$K,"Trading")</f>
        <v>0</v>
      </c>
      <c r="E5" s="436">
        <f>SUMIFS(Data!$S:$S,Data!$Q:$Q,"&gt;"&amp;E$1,Data!$Q:$Q,"&lt;="&amp;EOMONTH(E$1,0),Data!$G:$G,"AIA*",Data!$K:$K,"Trading")</f>
        <v>0</v>
      </c>
      <c r="F5" s="436">
        <f>SUMIFS(Data!$S:$S,Data!$Q:$Q,"&gt;"&amp;F$1,Data!$Q:$Q,"&lt;="&amp;EOMONTH(F$1,0),Data!$G:$G,"AIA*",Data!$K:$K,"Trading")</f>
        <v>0</v>
      </c>
      <c r="G5" s="436">
        <f>SUMIFS(Data!$S:$S,Data!$Q:$Q,"&gt;"&amp;G$1,Data!$Q:$Q,"&lt;="&amp;EOMONTH(G$1,0),Data!$G:$G,"AIA*",Data!$K:$K,"Trading")</f>
        <v>0</v>
      </c>
      <c r="H5" s="436">
        <f>SUMIFS(Data!$S:$S,Data!$Q:$Q,"&gt;"&amp;H$1,Data!$Q:$Q,"&lt;="&amp;EOMONTH(H$1,0),Data!$G:$G,"AIA*",Data!$K:$K,"Trading")</f>
        <v>0</v>
      </c>
      <c r="I5" s="436">
        <f>SUMIFS(Data!$S:$S,Data!$Q:$Q,"&gt;"&amp;I$1,Data!$Q:$Q,"&lt;="&amp;EOMONTH(I$1,0),Data!$G:$G,"AIA*",Data!$K:$K,"Trading")</f>
        <v>0</v>
      </c>
      <c r="J5" s="436">
        <f>SUMIFS(Data!$S:$S,Data!$Q:$Q,"&gt;"&amp;J$1,Data!$Q:$Q,"&lt;="&amp;EOMONTH(J$1,0),Data!$G:$G,"AIA*",Data!$K:$K,"Trading")</f>
        <v>0</v>
      </c>
      <c r="K5" s="436">
        <f>SUMIFS(Data!$S:$S,Data!$Q:$Q,"&gt;"&amp;K$1,Data!$Q:$Q,"&lt;="&amp;EOMONTH(K$1,0),Data!$G:$G,"AIA*",Data!$K:$K,"Trading")</f>
        <v>0</v>
      </c>
      <c r="L5" s="436">
        <f>SUMIFS(Data!$S:$S,Data!$Q:$Q,"&gt;"&amp;L$1,Data!$Q:$Q,"&lt;="&amp;EOMONTH(L$1,0),Data!$G:$G,"AIA*",Data!$K:$K,"Trading")</f>
        <v>0</v>
      </c>
      <c r="M5" s="436">
        <f>SUMIFS(Data!$S:$S,Data!$Q:$Q,"&gt;"&amp;M$1,Data!$Q:$Q,"&lt;="&amp;EOMONTH(M$1,0),Data!$G:$G,"AIA*",Data!$K:$K,"Trading")</f>
        <v>0</v>
      </c>
      <c r="N5" s="436">
        <f>SUMIFS(Data!$S:$S,Data!$Q:$Q,"&gt;"&amp;N$1,Data!$Q:$Q,"&lt;="&amp;EOMONTH(N$1,0),Data!$G:$G,"AIA*",Data!$K:$K,"Trading")</f>
        <v>0</v>
      </c>
      <c r="O5" s="417">
        <f>SUM(B5:N5)</f>
        <v>266850</v>
      </c>
      <c r="P5" s="413">
        <f>O4+O5</f>
        <v>277830</v>
      </c>
    </row>
    <row r="6" spans="1:16" x14ac:dyDescent="0.3">
      <c r="A6" s="395" t="s">
        <v>378</v>
      </c>
      <c r="B6" s="396"/>
      <c r="C6" s="429">
        <f>SUMIFS(Data!$AD:$AD,Data!$AC:$AC,"&gt;"&amp;C$1,Data!$AC:$AC,"&lt;="&amp;EOMONTH(C$1,0),Data!$G:$G,"AIA*",Data!$K:$K,"&lt;&gt;"&amp;"Trading")</f>
        <v>0</v>
      </c>
      <c r="D6" s="429">
        <f>SUMIFS(Data!$AD:$AD,Data!$AC:$AC,"&gt;"&amp;D$1,Data!$AC:$AC,"&lt;="&amp;EOMONTH(D$1,0),Data!$G:$G,"AIA*",Data!$K:$K,"&lt;&gt;"&amp;"Trading")</f>
        <v>0</v>
      </c>
      <c r="E6" s="429">
        <f>SUMIFS(Data!$AD:$AD,Data!$AC:$AC,"&gt;"&amp;E$1,Data!$AC:$AC,"&lt;="&amp;EOMONTH(E$1,0),Data!$G:$G,"AIA*",Data!$K:$K,"&lt;&gt;"&amp;"Trading")</f>
        <v>0</v>
      </c>
      <c r="F6" s="429">
        <f>SUMIFS(Data!$AD:$AD,Data!$AC:$AC,"&gt;"&amp;F$1,Data!$AC:$AC,"&lt;="&amp;EOMONTH(F$1,0),Data!$G:$G,"AIA*",Data!$K:$K,"&lt;&gt;"&amp;"Trading")</f>
        <v>0</v>
      </c>
      <c r="G6" s="429">
        <f>SUMIFS(Data!$AD:$AD,Data!$AC:$AC,"&gt;"&amp;G$1,Data!$AC:$AC,"&lt;="&amp;EOMONTH(G$1,0),Data!$G:$G,"AIA*",Data!$K:$K,"&lt;&gt;"&amp;"Trading")</f>
        <v>0</v>
      </c>
      <c r="H6" s="429">
        <f>SUMIFS(Data!$AD:$AD,Data!$AC:$AC,"&gt;"&amp;H$1,Data!$AC:$AC,"&lt;="&amp;EOMONTH(H$1,0),Data!$G:$G,"AIA*",Data!$K:$K,"&lt;&gt;"&amp;"Trading")</f>
        <v>0</v>
      </c>
      <c r="I6" s="429">
        <f>SUMIFS(Data!$AD:$AD,Data!$AC:$AC,"&gt;"&amp;I$1,Data!$AC:$AC,"&lt;="&amp;EOMONTH(I$1,0),Data!$G:$G,"AIA*",Data!$K:$K,"&lt;&gt;"&amp;"Trading")</f>
        <v>0</v>
      </c>
      <c r="J6" s="429">
        <f>SUMIFS(Data!$AD:$AD,Data!$AC:$AC,"&gt;"&amp;J$1,Data!$AC:$AC,"&lt;="&amp;EOMONTH(J$1,0),Data!$G:$G,"AIA*",Data!$K:$K,"&lt;&gt;"&amp;"Trading")</f>
        <v>0</v>
      </c>
      <c r="K6" s="429">
        <f>SUMIFS(Data!$AD:$AD,Data!$AC:$AC,"&gt;"&amp;K$1,Data!$AC:$AC,"&lt;="&amp;EOMONTH(K$1,0),Data!$G:$G,"AIA*",Data!$K:$K,"&lt;&gt;"&amp;"Trading")</f>
        <v>0</v>
      </c>
      <c r="L6" s="429">
        <f>SUMIFS(Data!$AD:$AD,Data!$AC:$AC,"&gt;"&amp;L$1,Data!$AC:$AC,"&lt;="&amp;EOMONTH(L$1,0),Data!$G:$G,"AIA*",Data!$K:$K,"&lt;&gt;"&amp;"Trading")</f>
        <v>0</v>
      </c>
      <c r="M6" s="429">
        <f>SUMIFS(Data!$AD:$AD,Data!$AC:$AC,"&gt;"&amp;M$1,Data!$AC:$AC,"&lt;="&amp;EOMONTH(M$1,0),Data!$G:$G,"AIA*",Data!$K:$K,"&lt;&gt;"&amp;"Trading")</f>
        <v>0</v>
      </c>
      <c r="N6" s="429">
        <f>SUMIFS(Data!$AD:$AD,Data!$AC:$AC,"&gt;"&amp;N$1,Data!$AC:$AC,"&lt;="&amp;EOMONTH(N$1,0),Data!$G:$G,"AIA*",Data!$K:$K,"&lt;&gt;"&amp;"Trading")</f>
        <v>0</v>
      </c>
      <c r="O6" s="415">
        <f>SUM(C6:N6)</f>
        <v>0</v>
      </c>
      <c r="P6" s="395"/>
    </row>
    <row r="7" spans="1:16" x14ac:dyDescent="0.3">
      <c r="A7" s="397" t="s">
        <v>305</v>
      </c>
      <c r="B7" s="398"/>
      <c r="C7" s="434">
        <f>SUMIFS(Data!$AD:$AD,Data!$AC:$AC,"&gt;"&amp;C$1,Data!$AC:$AC,"&lt;="&amp;EOMONTH(C$1,0),Data!$G:$G,"AIA*",Data!$K:$K,"Trading")</f>
        <v>0</v>
      </c>
      <c r="D7" s="476">
        <f>SUMIFS(Data!$AD:$AD,Data!$AC:$AC,"&gt;"&amp;D$1,Data!$AC:$AC,"&lt;="&amp;EOMONTH(D$1,0),Data!$G:$G,"AIA*",Data!$K:$K,"Trading")</f>
        <v>0</v>
      </c>
      <c r="E7" s="476">
        <f>SUMIFS(Data!$AD:$AD,Data!$AC:$AC,"&gt;"&amp;E$1,Data!$AC:$AC,"&lt;="&amp;EOMONTH(E$1,0),Data!$G:$G,"AIA*",Data!$K:$K,"Trading")</f>
        <v>0</v>
      </c>
      <c r="F7" s="434">
        <f>SUMIFS(Data!$AD:$AD,Data!$AC:$AC,"&gt;"&amp;F$1,Data!$AC:$AC,"&lt;="&amp;EOMONTH(F$1,0),Data!$G:$G,"AIA*",Data!$K:$K,"Trading")</f>
        <v>0</v>
      </c>
      <c r="G7" s="434">
        <f>SUMIFS(Data!$AD:$AD,Data!$AC:$AC,"&gt;"&amp;G$1,Data!$AC:$AC,"&lt;="&amp;EOMONTH(G$1,0),Data!$G:$G,"AIA*",Data!$K:$K,"Trading")</f>
        <v>0</v>
      </c>
      <c r="H7" s="434">
        <f>SUMIFS(Data!$AD:$AD,Data!$AC:$AC,"&gt;"&amp;H$1,Data!$AC:$AC,"&lt;="&amp;EOMONTH(H$1,0),Data!$G:$G,"AIA*",Data!$K:$K,"Trading")</f>
        <v>0</v>
      </c>
      <c r="I7" s="434">
        <f>SUMIFS(Data!$AD:$AD,Data!$AC:$AC,"&gt;"&amp;I$1,Data!$AC:$AC,"&lt;="&amp;EOMONTH(I$1,0),Data!$G:$G,"AIA*",Data!$K:$K,"Trading")</f>
        <v>0</v>
      </c>
      <c r="J7" s="434">
        <f>SUMIFS(Data!$AD:$AD,Data!$AC:$AC,"&gt;"&amp;J$1,Data!$AC:$AC,"&lt;="&amp;EOMONTH(J$1,0),Data!$G:$G,"AIA*",Data!$K:$K,"Trading")</f>
        <v>0</v>
      </c>
      <c r="K7" s="434">
        <f>SUMIFS(Data!$AD:$AD,Data!$AC:$AC,"&gt;"&amp;K$1,Data!$AC:$AC,"&lt;="&amp;EOMONTH(K$1,0),Data!$G:$G,"AIA*")</f>
        <v>0</v>
      </c>
      <c r="L7" s="434">
        <f>SUMIFS(Data!$AD:$AD,Data!$AC:$AC,"&gt;"&amp;L$1,Data!$AC:$AC,"&lt;="&amp;EOMONTH(L$1,0),Data!$G:$G,"AIA*",Data!$K:$K,"Trading")</f>
        <v>0</v>
      </c>
      <c r="M7" s="434">
        <f>SUMIFS(Data!$AD:$AD,Data!$AC:$AC,"&gt;"&amp;M$1,Data!$AC:$AC,"&lt;="&amp;EOMONTH(M$1,0),Data!$G:$G,"AIA*",Data!$K:$K,"Trading")</f>
        <v>0</v>
      </c>
      <c r="N7" s="434">
        <f>SUMIFS(Data!$AD:$AD,Data!$AC:$AC,"&gt;"&amp;N$1,Data!$AC:$AC,"&lt;="&amp;EOMONTH(N$1,0),Data!$G:$G,"AIA*",Data!$K:$K,"Trading")</f>
        <v>0</v>
      </c>
      <c r="O7" s="410">
        <f>SUM(C7:N7)</f>
        <v>0</v>
      </c>
      <c r="P7" s="414">
        <f>O6+O7</f>
        <v>0</v>
      </c>
    </row>
    <row r="8" spans="1:16" x14ac:dyDescent="0.3">
      <c r="A8" s="405" t="s">
        <v>375</v>
      </c>
      <c r="B8" s="399">
        <f>P5-P7</f>
        <v>277830</v>
      </c>
      <c r="C8" s="401"/>
      <c r="D8" s="395"/>
      <c r="E8" s="395"/>
      <c r="F8" s="395"/>
      <c r="G8" s="395"/>
      <c r="H8" s="395"/>
      <c r="I8" s="395"/>
      <c r="J8" s="395"/>
      <c r="K8" s="395"/>
      <c r="L8" s="395"/>
      <c r="M8" s="395"/>
      <c r="N8" s="395"/>
      <c r="O8" s="406"/>
      <c r="P8" s="395"/>
    </row>
    <row r="9" spans="1:16" x14ac:dyDescent="0.3">
      <c r="A9" s="405"/>
      <c r="B9" s="409"/>
      <c r="C9" s="395"/>
      <c r="D9" s="395"/>
      <c r="E9" s="395"/>
      <c r="F9" s="395"/>
      <c r="G9" s="395"/>
      <c r="H9" s="395"/>
      <c r="I9" s="395"/>
      <c r="J9" s="395"/>
      <c r="K9" s="395"/>
      <c r="L9" s="395"/>
      <c r="M9" s="395"/>
      <c r="N9" s="395"/>
      <c r="O9" s="395"/>
      <c r="P9" s="395"/>
    </row>
    <row r="10" spans="1:16" x14ac:dyDescent="0.3">
      <c r="A10" s="395"/>
      <c r="B10" s="395"/>
      <c r="C10" s="395"/>
      <c r="D10" s="395"/>
      <c r="E10" s="395"/>
      <c r="F10" s="395"/>
      <c r="G10" s="395"/>
      <c r="H10" s="395"/>
      <c r="I10" s="395"/>
      <c r="J10" s="395"/>
      <c r="K10" s="395"/>
      <c r="L10" s="395"/>
      <c r="M10" s="395"/>
      <c r="N10" s="395"/>
      <c r="O10" s="395"/>
      <c r="P10" s="409"/>
    </row>
    <row r="14" spans="1:16" x14ac:dyDescent="0.3">
      <c r="A14" s="395"/>
      <c r="B14" s="395"/>
      <c r="C14" s="395"/>
      <c r="D14" s="395"/>
      <c r="E14" s="395"/>
      <c r="F14" s="395"/>
      <c r="G14" s="395"/>
      <c r="H14" s="395"/>
      <c r="I14" s="395"/>
      <c r="J14" s="408"/>
      <c r="K14" s="395"/>
      <c r="L14" s="395"/>
      <c r="M14" s="395"/>
      <c r="N14" s="395"/>
      <c r="O14" s="395"/>
      <c r="P14" s="395"/>
    </row>
    <row r="17" spans="2:19" x14ac:dyDescent="0.3">
      <c r="B17" s="639"/>
    </row>
    <row r="18" spans="2:19" x14ac:dyDescent="0.3">
      <c r="B18" s="639"/>
    </row>
    <row r="19" spans="2:19" x14ac:dyDescent="0.3">
      <c r="B19" s="390"/>
    </row>
    <row r="23" spans="2:19" x14ac:dyDescent="0.3">
      <c r="R23" s="409"/>
      <c r="S23" s="395"/>
    </row>
    <row r="25" spans="2:19" x14ac:dyDescent="0.3">
      <c r="R25" s="395"/>
      <c r="S25" s="395"/>
    </row>
    <row r="31" spans="2:19" x14ac:dyDescent="0.3">
      <c r="R31" s="409"/>
      <c r="S31" s="395"/>
    </row>
    <row r="32" spans="2:19" x14ac:dyDescent="0.3">
      <c r="R32" s="395"/>
      <c r="S32" s="409"/>
    </row>
    <row r="36" spans="18:18" x14ac:dyDescent="0.3">
      <c r="R36" s="409"/>
    </row>
  </sheetData>
  <conditionalFormatting sqref="C1:N1">
    <cfRule type="expression" dxfId="388" priority="1">
      <formula>MONTH(C1)&lt;=MONTH(TODAY())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1:P4"/>
  <sheetViews>
    <sheetView workbookViewId="0">
      <selection activeCell="C2" sqref="C2"/>
    </sheetView>
  </sheetViews>
  <sheetFormatPr baseColWidth="10" defaultColWidth="8.88671875" defaultRowHeight="14.4" x14ac:dyDescent="0.3"/>
  <cols>
    <col min="2" max="2" width="6.109375" bestFit="1" customWidth="1"/>
    <col min="3" max="5" width="10.109375" bestFit="1" customWidth="1"/>
    <col min="6" max="8" width="9.109375" bestFit="1" customWidth="1"/>
    <col min="9" max="9" width="10.109375" bestFit="1" customWidth="1"/>
    <col min="10" max="10" width="11.88671875" bestFit="1" customWidth="1"/>
    <col min="11" max="11" width="9.109375" bestFit="1" customWidth="1"/>
    <col min="12" max="12" width="10.109375" bestFit="1" customWidth="1"/>
    <col min="13" max="13" width="9.109375" bestFit="1" customWidth="1"/>
    <col min="14" max="14" width="10.109375" bestFit="1" customWidth="1"/>
    <col min="15" max="15" width="11.88671875" bestFit="1" customWidth="1"/>
  </cols>
  <sheetData>
    <row r="1" spans="2:16" x14ac:dyDescent="0.3">
      <c r="B1" s="421"/>
      <c r="C1" s="430">
        <v>43466</v>
      </c>
      <c r="D1" s="431">
        <v>43497</v>
      </c>
      <c r="E1" s="431">
        <v>43525</v>
      </c>
      <c r="F1" s="431">
        <v>43556</v>
      </c>
      <c r="G1" s="431">
        <v>43586</v>
      </c>
      <c r="H1" s="431">
        <v>43617</v>
      </c>
      <c r="I1" s="431">
        <v>43647</v>
      </c>
      <c r="J1" s="431">
        <v>43678</v>
      </c>
      <c r="K1" s="431">
        <v>43709</v>
      </c>
      <c r="L1" s="431">
        <v>43739</v>
      </c>
      <c r="M1" s="431">
        <v>43770</v>
      </c>
      <c r="N1" s="431">
        <v>43800</v>
      </c>
      <c r="O1" s="425" t="s">
        <v>23</v>
      </c>
      <c r="P1" s="420"/>
    </row>
    <row r="2" spans="2:16" x14ac:dyDescent="0.3">
      <c r="B2" s="420" t="s">
        <v>49</v>
      </c>
      <c r="C2" s="422">
        <f>'Monthly Data'!C3+AIA!C4+AIA!C5</f>
        <v>21780</v>
      </c>
      <c r="D2" s="422">
        <f>'Monthly Data'!D3+AIA!D4+AIA!D5</f>
        <v>118682</v>
      </c>
      <c r="E2" s="422">
        <f>'Monthly Data'!E3+AIA!E4+AIA!E5</f>
        <v>37778</v>
      </c>
      <c r="F2" s="422">
        <f>'Monthly Data'!F3+AIA!F4+AIA!F5</f>
        <v>15131</v>
      </c>
      <c r="G2" s="422">
        <f>'Monthly Data'!G3+AIA!G4+AIA!G5</f>
        <v>0</v>
      </c>
      <c r="H2" s="422">
        <f>'Monthly Data'!H3+AIA!H4+AIA!H5</f>
        <v>0</v>
      </c>
      <c r="I2" s="422">
        <f>'Monthly Data'!I3+AIA!I4+AIA!I5</f>
        <v>0</v>
      </c>
      <c r="J2" s="422">
        <f>'Monthly Data'!J3+AIA!J4+AIA!J5</f>
        <v>0</v>
      </c>
      <c r="K2" s="422">
        <f>'Monthly Data'!K3+AIA!K4+AIA!K5</f>
        <v>0</v>
      </c>
      <c r="L2" s="422">
        <f>'Monthly Data'!L3+AIA!L4+AIA!L5</f>
        <v>0</v>
      </c>
      <c r="M2" s="422">
        <f>'Monthly Data'!M3+AIA!M4+AIA!M5</f>
        <v>3180</v>
      </c>
      <c r="N2" s="422">
        <f>'Monthly Data'!N3+AIA!N4+AIA!N5</f>
        <v>6210</v>
      </c>
      <c r="O2" s="426">
        <f>SUM(C2:N2)</f>
        <v>202761</v>
      </c>
      <c r="P2" s="420"/>
    </row>
    <row r="3" spans="2:16" x14ac:dyDescent="0.3">
      <c r="B3" s="421" t="s">
        <v>50</v>
      </c>
      <c r="C3" s="423">
        <f>'Monthly Data'!C4+AIA!C6+AIA!C7</f>
        <v>9356</v>
      </c>
      <c r="D3" s="423">
        <f>'Monthly Data'!D4+AIA!D6</f>
        <v>35273</v>
      </c>
      <c r="E3" s="423">
        <f>'Monthly Data'!E4+AIA!E6+AIA!E7</f>
        <v>48892.5</v>
      </c>
      <c r="F3" s="423">
        <f>'Monthly Data'!F4+AIA!F6+AIA!F7</f>
        <v>15694</v>
      </c>
      <c r="G3" s="423">
        <f>'Monthly Data'!G4+AIA!G6+AIA!G7</f>
        <v>0</v>
      </c>
      <c r="H3" s="423">
        <f>'Monthly Data'!H4+AIA!H6+AIA!H7</f>
        <v>0</v>
      </c>
      <c r="I3" s="423">
        <f>'Monthly Data'!I4+AIA!I6+AIA!I7</f>
        <v>0</v>
      </c>
      <c r="J3" s="423">
        <f>'Monthly Data'!J4+AIA!J6+AIA!J7</f>
        <v>0</v>
      </c>
      <c r="K3" s="423">
        <f>'Monthly Data'!K4+AIA!K6+AIA!K7</f>
        <v>0</v>
      </c>
      <c r="L3" s="423">
        <f>'Monthly Data'!L4+AIA!L6+AIA!L7</f>
        <v>0</v>
      </c>
      <c r="M3" s="423">
        <f>'Monthly Data'!M4+AIA!M6+AIA!M7</f>
        <v>0</v>
      </c>
      <c r="N3" s="423">
        <f>'Monthly Data'!N4+AIA!N6+AIA!N7</f>
        <v>0</v>
      </c>
      <c r="O3" s="428">
        <f>SUM(C3:N3)</f>
        <v>109215.5</v>
      </c>
      <c r="P3" s="420"/>
    </row>
    <row r="4" spans="2:16" x14ac:dyDescent="0.3">
      <c r="B4" s="420"/>
      <c r="C4" s="420"/>
      <c r="D4" s="420"/>
      <c r="E4" s="420"/>
      <c r="F4" s="420"/>
      <c r="G4" s="420"/>
      <c r="H4" s="420"/>
      <c r="I4" s="420"/>
      <c r="J4" s="420"/>
      <c r="K4" s="420"/>
      <c r="L4" s="420"/>
      <c r="M4" s="420"/>
      <c r="N4" s="420"/>
      <c r="O4" s="424"/>
      <c r="P4" s="420"/>
    </row>
  </sheetData>
  <conditionalFormatting sqref="C1:N1">
    <cfRule type="expression" dxfId="387" priority="1">
      <formula>MONTH(C1)=MONTH(TODAY())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70C0"/>
  </sheetPr>
  <dimension ref="A1:I15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17.88671875" customWidth="1"/>
    <col min="2" max="2" width="20.109375" customWidth="1"/>
    <col min="3" max="3" width="12" bestFit="1" customWidth="1"/>
    <col min="4" max="4" width="14.109375" customWidth="1"/>
    <col min="5" max="6" width="14.109375" style="437" customWidth="1"/>
    <col min="7" max="7" width="17.109375" customWidth="1"/>
    <col min="8" max="8" width="12" bestFit="1" customWidth="1"/>
    <col min="9" max="9" width="13.5546875" customWidth="1"/>
    <col min="10" max="10" width="3.88671875" customWidth="1"/>
  </cols>
  <sheetData>
    <row r="1" spans="1:9" ht="15" thickBot="1" x14ac:dyDescent="0.35">
      <c r="B1" t="s">
        <v>326</v>
      </c>
    </row>
    <row r="2" spans="1:9" ht="15" thickBot="1" x14ac:dyDescent="0.35">
      <c r="B2" s="456">
        <v>2020</v>
      </c>
      <c r="C2" s="457" t="s">
        <v>114</v>
      </c>
      <c r="D2" s="457" t="s">
        <v>118</v>
      </c>
      <c r="E2" s="457" t="s">
        <v>315</v>
      </c>
      <c r="F2" s="457" t="s">
        <v>316</v>
      </c>
      <c r="G2" s="457" t="s">
        <v>174</v>
      </c>
      <c r="H2" s="457" t="s">
        <v>169</v>
      </c>
      <c r="I2" s="469" t="s">
        <v>23</v>
      </c>
    </row>
    <row r="3" spans="1:9" ht="15" thickBot="1" x14ac:dyDescent="0.35">
      <c r="B3" s="458" t="s">
        <v>172</v>
      </c>
      <c r="C3" s="459">
        <v>0</v>
      </c>
      <c r="D3" s="459">
        <v>80000</v>
      </c>
      <c r="E3" s="459">
        <v>345000</v>
      </c>
      <c r="F3" s="459">
        <v>120000</v>
      </c>
      <c r="G3" s="459">
        <v>484760</v>
      </c>
      <c r="H3" s="459"/>
      <c r="I3" s="460">
        <f>SUM(C3:H3)</f>
        <v>1029760</v>
      </c>
    </row>
    <row r="4" spans="1:9" s="192" customFormat="1" x14ac:dyDescent="0.3">
      <c r="B4" s="461" t="s">
        <v>325</v>
      </c>
      <c r="C4" s="462">
        <v>0</v>
      </c>
      <c r="D4" s="462">
        <v>60000</v>
      </c>
      <c r="E4" s="462">
        <v>300000</v>
      </c>
      <c r="F4" s="462">
        <v>120000</v>
      </c>
      <c r="G4" s="462"/>
      <c r="H4" s="462"/>
      <c r="I4" s="463">
        <f>SUM(C4:H4)</f>
        <v>480000</v>
      </c>
    </row>
    <row r="5" spans="1:9" s="192" customFormat="1" ht="15" thickBot="1" x14ac:dyDescent="0.35">
      <c r="B5" s="464" t="s">
        <v>170</v>
      </c>
      <c r="C5" s="465">
        <v>999890</v>
      </c>
      <c r="D5" s="465">
        <v>30253</v>
      </c>
      <c r="E5" s="465">
        <v>9411</v>
      </c>
      <c r="F5" s="465">
        <v>0</v>
      </c>
      <c r="G5" s="465"/>
      <c r="H5" s="465"/>
      <c r="I5" s="466">
        <f>SUM(C5:H5)</f>
        <v>1039554</v>
      </c>
    </row>
    <row r="6" spans="1:9" ht="15" thickBot="1" x14ac:dyDescent="0.35">
      <c r="B6" s="467" t="s">
        <v>167</v>
      </c>
      <c r="C6" s="468">
        <v>860721</v>
      </c>
      <c r="D6" s="468">
        <f>(D4+D5)*0.8</f>
        <v>72202.400000000009</v>
      </c>
      <c r="E6" s="468">
        <f>(E4+E5)*0.7</f>
        <v>216587.69999999998</v>
      </c>
      <c r="F6" s="468">
        <f>(F4+F5)*0.65</f>
        <v>78000</v>
      </c>
      <c r="G6" s="468"/>
      <c r="H6" s="468">
        <f>-H7</f>
        <v>1062000</v>
      </c>
      <c r="I6" s="463">
        <f>SUM(C6:H6)</f>
        <v>2289511.1</v>
      </c>
    </row>
    <row r="7" spans="1:9" ht="15" thickBot="1" x14ac:dyDescent="0.35">
      <c r="B7" s="458" t="s">
        <v>168</v>
      </c>
      <c r="C7" s="459">
        <f>C5+C4-C6</f>
        <v>139169</v>
      </c>
      <c r="D7" s="459">
        <f>D5+D4-D6</f>
        <v>18050.599999999991</v>
      </c>
      <c r="E7" s="459">
        <f>E5+E4-E6</f>
        <v>92823.300000000017</v>
      </c>
      <c r="F7" s="459">
        <f>F5+F4-F6</f>
        <v>42000</v>
      </c>
      <c r="G7" s="459">
        <f>G3</f>
        <v>484760</v>
      </c>
      <c r="H7" s="470">
        <f>Reporting!O20</f>
        <v>-1062000</v>
      </c>
      <c r="I7" s="471">
        <f>SUM(C7:H7)</f>
        <v>-285197.09999999998</v>
      </c>
    </row>
    <row r="8" spans="1:9" x14ac:dyDescent="0.3">
      <c r="A8" s="258"/>
      <c r="B8" s="70"/>
      <c r="C8" s="257"/>
      <c r="D8" s="258"/>
      <c r="G8" s="258"/>
    </row>
    <row r="9" spans="1:9" x14ac:dyDescent="0.3">
      <c r="A9" s="258"/>
      <c r="B9" s="258"/>
      <c r="C9" s="258"/>
      <c r="D9" s="258"/>
      <c r="G9" s="258"/>
    </row>
    <row r="10" spans="1:9" x14ac:dyDescent="0.3">
      <c r="A10" s="258"/>
      <c r="B10" s="70"/>
      <c r="C10" s="257"/>
      <c r="D10" s="258"/>
      <c r="G10" s="258"/>
    </row>
    <row r="11" spans="1:9" x14ac:dyDescent="0.3">
      <c r="A11" s="258"/>
      <c r="B11" s="258"/>
      <c r="C11" s="258"/>
      <c r="D11" s="258"/>
      <c r="G11" s="258"/>
    </row>
    <row r="12" spans="1:9" x14ac:dyDescent="0.3">
      <c r="B12" s="70"/>
      <c r="C12" s="15"/>
    </row>
    <row r="14" spans="1:9" x14ac:dyDescent="0.3">
      <c r="C14" s="15"/>
      <c r="D14" s="15"/>
      <c r="E14" s="388"/>
      <c r="F14" s="388"/>
      <c r="G14" s="15"/>
      <c r="H14" s="15"/>
      <c r="I14" s="15"/>
    </row>
    <row r="15" spans="1:9" x14ac:dyDescent="0.3">
      <c r="G15" s="1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pageSetUpPr fitToPage="1"/>
  </sheetPr>
  <dimension ref="A1:BB145"/>
  <sheetViews>
    <sheetView topLeftCell="A10" zoomScale="93" zoomScaleNormal="93" workbookViewId="0">
      <pane xSplit="2" topLeftCell="C1" activePane="topRight" state="frozenSplit"/>
      <selection activeCell="A40" sqref="A40"/>
      <selection pane="topRight" activeCell="A51" sqref="A51"/>
    </sheetView>
  </sheetViews>
  <sheetFormatPr baseColWidth="10" defaultColWidth="9.109375" defaultRowHeight="14.4" x14ac:dyDescent="0.3"/>
  <cols>
    <col min="1" max="1" width="28.44140625" bestFit="1" customWidth="1"/>
    <col min="2" max="2" width="16.88671875" style="4" bestFit="1" customWidth="1"/>
    <col min="3" max="3" width="9.44140625" bestFit="1" customWidth="1"/>
    <col min="4" max="4" width="12.5546875" bestFit="1" customWidth="1"/>
    <col min="5" max="5" width="12.109375" customWidth="1"/>
    <col min="6" max="6" width="12.5546875" bestFit="1" customWidth="1"/>
    <col min="7" max="7" width="13.109375" bestFit="1" customWidth="1"/>
    <col min="8" max="8" width="16.88671875" bestFit="1" customWidth="1"/>
    <col min="9" max="9" width="12.5546875" bestFit="1" customWidth="1"/>
    <col min="10" max="15" width="12.88671875" bestFit="1" customWidth="1"/>
    <col min="16" max="16" width="13.88671875" bestFit="1" customWidth="1"/>
    <col min="17" max="17" width="12.88671875" bestFit="1" customWidth="1"/>
    <col min="18" max="18" width="14" customWidth="1"/>
    <col min="19" max="19" width="12.88671875" bestFit="1" customWidth="1"/>
    <col min="20" max="20" width="13.109375" customWidth="1"/>
    <col min="21" max="22" width="13.44140625" bestFit="1" customWidth="1"/>
    <col min="23" max="29" width="12" customWidth="1"/>
    <col min="30" max="31" width="12.5546875" bestFit="1" customWidth="1"/>
    <col min="32" max="32" width="13.88671875" bestFit="1" customWidth="1"/>
    <col min="33" max="33" width="12.5546875" bestFit="1" customWidth="1"/>
    <col min="34" max="34" width="12.109375" bestFit="1" customWidth="1"/>
    <col min="35" max="35" width="12.5546875" bestFit="1" customWidth="1"/>
    <col min="36" max="36" width="14" customWidth="1"/>
    <col min="37" max="37" width="13.88671875" bestFit="1" customWidth="1"/>
    <col min="38" max="38" width="12" bestFit="1" customWidth="1"/>
    <col min="39" max="39" width="12.5546875" bestFit="1" customWidth="1"/>
    <col min="40" max="40" width="12.88671875" bestFit="1" customWidth="1"/>
    <col min="41" max="41" width="12" bestFit="1" customWidth="1"/>
    <col min="42" max="42" width="13.5546875" bestFit="1" customWidth="1"/>
    <col min="43" max="43" width="12.88671875" bestFit="1" customWidth="1"/>
    <col min="44" max="44" width="12.44140625" customWidth="1"/>
    <col min="45" max="46" width="13.5546875" bestFit="1" customWidth="1"/>
    <col min="47" max="47" width="12.88671875" bestFit="1" customWidth="1"/>
    <col min="48" max="48" width="11.88671875" bestFit="1" customWidth="1"/>
    <col min="49" max="49" width="12.109375" bestFit="1" customWidth="1"/>
    <col min="50" max="54" width="12" bestFit="1" customWidth="1"/>
  </cols>
  <sheetData>
    <row r="1" spans="1:54" x14ac:dyDescent="0.3">
      <c r="A1" s="55" t="s">
        <v>161</v>
      </c>
    </row>
    <row r="3" spans="1:54" s="122" customFormat="1" ht="15.6" x14ac:dyDescent="0.3">
      <c r="A3" s="122" t="s">
        <v>23</v>
      </c>
      <c r="B3" s="167" t="s">
        <v>118</v>
      </c>
      <c r="C3" s="122" t="s">
        <v>56</v>
      </c>
      <c r="D3" s="122" t="s">
        <v>57</v>
      </c>
      <c r="E3" s="122" t="s">
        <v>58</v>
      </c>
      <c r="F3" s="123" t="s">
        <v>59</v>
      </c>
      <c r="G3" s="123" t="s">
        <v>60</v>
      </c>
      <c r="H3" s="123" t="s">
        <v>61</v>
      </c>
      <c r="I3" s="122" t="s">
        <v>62</v>
      </c>
      <c r="J3" s="123" t="s">
        <v>63</v>
      </c>
      <c r="K3" s="122" t="s">
        <v>64</v>
      </c>
      <c r="L3" s="123" t="s">
        <v>65</v>
      </c>
      <c r="M3" s="123" t="s">
        <v>66</v>
      </c>
      <c r="N3" s="123" t="s">
        <v>67</v>
      </c>
      <c r="O3" s="123" t="s">
        <v>68</v>
      </c>
      <c r="P3" s="123" t="s">
        <v>69</v>
      </c>
      <c r="Q3" s="123" t="s">
        <v>70</v>
      </c>
      <c r="R3" s="123" t="s">
        <v>71</v>
      </c>
      <c r="S3" s="124" t="s">
        <v>72</v>
      </c>
      <c r="T3" s="123" t="s">
        <v>73</v>
      </c>
      <c r="U3" s="123" t="s">
        <v>74</v>
      </c>
      <c r="V3" s="123" t="s">
        <v>75</v>
      </c>
      <c r="W3" s="123" t="s">
        <v>76</v>
      </c>
      <c r="X3" s="123" t="s">
        <v>77</v>
      </c>
      <c r="Y3" s="123" t="s">
        <v>78</v>
      </c>
      <c r="Z3" s="123" t="s">
        <v>79</v>
      </c>
      <c r="AA3" s="123" t="s">
        <v>80</v>
      </c>
      <c r="AB3" s="123" t="s">
        <v>81</v>
      </c>
      <c r="AC3" s="123" t="s">
        <v>82</v>
      </c>
      <c r="AD3" s="125" t="s">
        <v>83</v>
      </c>
      <c r="AE3" s="123" t="s">
        <v>84</v>
      </c>
      <c r="AF3" s="123" t="s">
        <v>85</v>
      </c>
      <c r="AG3" s="123" t="s">
        <v>86</v>
      </c>
      <c r="AH3" s="123" t="s">
        <v>87</v>
      </c>
      <c r="AI3" s="198" t="s">
        <v>88</v>
      </c>
      <c r="AJ3" s="123" t="s">
        <v>89</v>
      </c>
      <c r="AK3" s="123" t="s">
        <v>90</v>
      </c>
      <c r="AL3" s="123" t="s">
        <v>91</v>
      </c>
      <c r="AM3" s="123" t="s">
        <v>92</v>
      </c>
      <c r="AN3" s="123" t="s">
        <v>93</v>
      </c>
      <c r="AO3" s="123" t="s">
        <v>94</v>
      </c>
      <c r="AP3" s="123" t="s">
        <v>95</v>
      </c>
      <c r="AQ3" s="123" t="s">
        <v>96</v>
      </c>
      <c r="AR3" s="123" t="s">
        <v>97</v>
      </c>
      <c r="AS3" s="123" t="s">
        <v>98</v>
      </c>
      <c r="AT3" s="123" t="s">
        <v>99</v>
      </c>
      <c r="AU3" s="123" t="s">
        <v>100</v>
      </c>
      <c r="AV3" s="123" t="s">
        <v>101</v>
      </c>
      <c r="AW3" s="123" t="s">
        <v>102</v>
      </c>
      <c r="AX3" s="123" t="s">
        <v>103</v>
      </c>
      <c r="AY3" s="123" t="s">
        <v>104</v>
      </c>
      <c r="AZ3" s="123" t="s">
        <v>105</v>
      </c>
      <c r="BA3" s="123" t="s">
        <v>106</v>
      </c>
      <c r="BB3" s="123" t="s">
        <v>107</v>
      </c>
    </row>
    <row r="4" spans="1:54" s="126" customFormat="1" ht="15.6" x14ac:dyDescent="0.3">
      <c r="A4" s="126">
        <f>SUM(C4:BB4)</f>
        <v>271455.40000000002</v>
      </c>
      <c r="B4" s="161" t="s">
        <v>53</v>
      </c>
      <c r="C4" s="126">
        <f>SUMIF(Data!$C12:$C511,C3,Data!$I12:$I511)</f>
        <v>12719</v>
      </c>
      <c r="D4" s="126">
        <f>SUMIF(Data!$C12:$C511,D3,Data!$I12:$I511)</f>
        <v>43355</v>
      </c>
      <c r="E4" s="126">
        <f>SUMIF(Data!$C12:$C511,E3,Data!$I12:$I511)</f>
        <v>27121</v>
      </c>
      <c r="F4" s="126">
        <f>SUMIF(Data!$C12:$C511,F3,Data!$I12:$I511)</f>
        <v>660</v>
      </c>
      <c r="G4" s="126">
        <f>SUMIF(Data!$C12:$C511,G3,Data!$I12:$I511)</f>
        <v>21496</v>
      </c>
      <c r="H4" s="126">
        <f>SUMIF(Data!$C12:$C511,H3,Data!$I12:$I511)</f>
        <v>14804</v>
      </c>
      <c r="I4" s="126">
        <f>SUMIF(Data!$C12:$C511,I3,Data!$I12:$I511)</f>
        <v>71457.399999999994</v>
      </c>
      <c r="J4" s="126">
        <f>SUMIF(Data!$C12:$C511,J3,Data!$I12:$I511)</f>
        <v>1915</v>
      </c>
      <c r="K4" s="126">
        <f>SUMIF(Data!$C12:$C511,K3,Data!$I12:$I511)</f>
        <v>23765</v>
      </c>
      <c r="L4" s="126">
        <f>SUMIF(Data!$C12:$C511,L3,Data!$I12:$I511)</f>
        <v>5007</v>
      </c>
      <c r="M4" s="126">
        <f>SUMIF(Data!$C12:$C511,M3,Data!$I12:$I511)</f>
        <v>26736</v>
      </c>
      <c r="N4" s="126">
        <f>SUMIF(Data!$C12:$C511,N3,Data!$I12:$I511)</f>
        <v>707</v>
      </c>
      <c r="O4" s="126">
        <f>SUMIF(Data!$C12:$C511,O3,Data!$I12:$I511)</f>
        <v>3180</v>
      </c>
      <c r="P4" s="126">
        <f>SUMIF(Data!$C12:$C511,P3,Data!$I12:$I511)</f>
        <v>18533</v>
      </c>
      <c r="Q4" s="126">
        <f>SUMIF(Data!$C12:$C511,Q3,Data!$I12:$I511)</f>
        <v>0</v>
      </c>
      <c r="R4" s="127">
        <f>SUMIF(Data!$C12:$C511,R3,Data!$I12:$I511)</f>
        <v>0</v>
      </c>
      <c r="S4" s="127">
        <f>SUMIF(Data!$C12:$C511,S3,Data!$I12:$I511)</f>
        <v>0</v>
      </c>
      <c r="T4" s="128">
        <f>SUMIF(Data!$C12:$C1021,T3,Data!$I12:$I1021)</f>
        <v>0</v>
      </c>
      <c r="U4" s="128">
        <f>SUMIF(Data!$C12:$C1021,U3,Data!$I12:$I1021)</f>
        <v>0</v>
      </c>
      <c r="V4" s="128">
        <f>SUMIF(Data!$C12:$C1021,V3,Data!$I12:$I1021)</f>
        <v>0</v>
      </c>
      <c r="W4" s="128">
        <f>SUMIF(Data!$C12:$C1021,W3,Data!$I12:$I1021)</f>
        <v>0</v>
      </c>
      <c r="X4" s="128">
        <f>SUMIF(Data!$C12:$C1021,X3,Data!$I12:$I1021)</f>
        <v>0</v>
      </c>
      <c r="Y4" s="128">
        <f>SUMIF(Data!$C12:$C1021,Y3,Data!$I12:$I1021)</f>
        <v>0</v>
      </c>
      <c r="Z4" s="128">
        <f>SUMIF(Data!$C12:$C1021,Z3,Data!$I12:$I1021)</f>
        <v>0</v>
      </c>
      <c r="AA4" s="128">
        <f>SUMIF(Data!$C12:$C1021,AA3,Data!$I12:$I1021)</f>
        <v>0</v>
      </c>
      <c r="AB4" s="128">
        <f>SUMIF(Data!$C12:$C1021,AB3,Data!$I12:$I1021)</f>
        <v>0</v>
      </c>
      <c r="AC4" s="128">
        <f>SUMIF(Data!$C12:$C1021,AC3,Data!$I12:$I1021)</f>
        <v>0</v>
      </c>
      <c r="AD4" s="128">
        <f>SUMIF(Data!$C12:$C1021,AD3,Data!$I12:$I1021)</f>
        <v>0</v>
      </c>
      <c r="AE4" s="337">
        <f>SUMIF(Data!$C12:$C511,AE3,Data!$I12:$I511)</f>
        <v>0</v>
      </c>
      <c r="AF4" s="129">
        <f>SUMIF(Data!$C12:$C511,AF3,Data!$I12:$I511)</f>
        <v>0</v>
      </c>
      <c r="AG4" s="129">
        <f>SUMIF(Data!$C12:$C511,AG3,Data!$I12:$I511)</f>
        <v>0</v>
      </c>
      <c r="AH4" s="129">
        <f>SUMIF(Data!$C12:$C511,AH3,Data!$I12:$I511)</f>
        <v>0</v>
      </c>
      <c r="AI4" s="196">
        <f>SUMIF(Data!$C12:$C511,AI3,Data!$I12:$I511)</f>
        <v>0</v>
      </c>
      <c r="AJ4" s="200">
        <f>SUMIF(Data!$C12:$C511,AJ3,Data!$I12:$I511)</f>
        <v>0</v>
      </c>
      <c r="AK4" s="200">
        <f>SUMIF(Data!$C12:$C511,AK3,Data!$I12:$I511)</f>
        <v>0</v>
      </c>
      <c r="AL4" s="200">
        <f>SUMIF(Data!$C12:$C511,AL3,Data!$I12:$I511)</f>
        <v>0</v>
      </c>
      <c r="AM4" s="200">
        <f>SUMIF(Data!$C12:$C511,AM3,Data!$I12:$I511)</f>
        <v>0</v>
      </c>
      <c r="AN4" s="200">
        <f>SUMIF(Data!$C12:$C511,AN3,Data!$I12:$I511)</f>
        <v>0</v>
      </c>
      <c r="AO4" s="200">
        <f>SUMIF(Data!$C12:$C511,AO3,Data!$I12:$I511)</f>
        <v>0</v>
      </c>
      <c r="AP4" s="200">
        <f>SUMIF(Data!$C12:$C511,AP3,Data!$I12:$I511)</f>
        <v>0</v>
      </c>
      <c r="AQ4" s="200">
        <f>SUMIF(Data!$C12:$C511,AQ3,Data!$I12:$I511)</f>
        <v>0</v>
      </c>
      <c r="AR4" s="200">
        <f>SUMIF(Data!$C12:$C511,AR3,Data!$I12:$I511)</f>
        <v>0</v>
      </c>
      <c r="AS4" s="200">
        <f>SUMIF(Data!$C12:$C511,AS3,Data!$I12:$I511)</f>
        <v>0</v>
      </c>
      <c r="AT4" s="200">
        <f>SUMIF(Data!$C12:$C511,AT3,Data!$I12:$I511)</f>
        <v>0</v>
      </c>
      <c r="AU4" s="200">
        <f>SUMIF(Data!$C12:$C511,AU3,Data!$I12:$I511)</f>
        <v>0</v>
      </c>
      <c r="AV4" s="200">
        <f>SUMIF(Data!$C12:$C511,AV3,Data!$I12:$I511)</f>
        <v>0</v>
      </c>
      <c r="AW4" s="200">
        <f>SUMIF(Data!$C12:$C511,AW3,Data!$I12:$I511)</f>
        <v>0</v>
      </c>
      <c r="AX4" s="200">
        <f>SUMIF(Data!$C12:$C511,AX3,Data!$I12:$I511)</f>
        <v>0</v>
      </c>
      <c r="AY4" s="200">
        <f>SUMIF(Data!$C12:$C511,AY3,Data!$I12:$I511)</f>
        <v>0</v>
      </c>
      <c r="AZ4" s="200">
        <f>SUMIF(Data!$C12:$C511,AZ3,Data!$I12:$I511)</f>
        <v>0</v>
      </c>
      <c r="BA4" s="200">
        <f>SUMIF(Data!$C12:$C511,BA3,Data!$I12:$I511)</f>
        <v>0</v>
      </c>
      <c r="BB4" s="200">
        <f>SUMIF(Data!$C12:$C511,BB3,Data!$I12:$I511)</f>
        <v>0</v>
      </c>
    </row>
    <row r="5" spans="1:54" s="126" customFormat="1" ht="15.6" x14ac:dyDescent="0.3">
      <c r="A5" s="126">
        <f>SUM(C5:BB5)</f>
        <v>193371</v>
      </c>
      <c r="B5" s="161" t="s">
        <v>49</v>
      </c>
      <c r="C5" s="126">
        <f>SUMIF(Data!$N12:$N511,C3,Data!$S12:$S511)</f>
        <v>0</v>
      </c>
      <c r="D5" s="126">
        <f>SUMIF(Data!$N12:$N511,D3,Data!$S12:$S511)</f>
        <v>12384</v>
      </c>
      <c r="E5" s="126">
        <f>SUMIF(Data!$N12:$N511,E3,Data!$S12:$S511)</f>
        <v>660</v>
      </c>
      <c r="F5" s="126">
        <f>SUMIF(Data!$N12:$N511,F3,Data!$S12:$S511)</f>
        <v>8736</v>
      </c>
      <c r="G5" s="126">
        <f>SUMIF(Data!$N12:$N511,G3,Data!$S12:$S511)</f>
        <v>5150</v>
      </c>
      <c r="H5" s="126">
        <f>SUMIF(Data!$N12:$N511,H3,Data!$S12:$S511)</f>
        <v>3180</v>
      </c>
      <c r="I5" s="126">
        <f>SUMIF(Data!$N12:$N511,I3,Data!$S12:$S511)</f>
        <v>77275</v>
      </c>
      <c r="J5" s="130">
        <f>SUMIF(Data!$N12:$N511,J3,Data!$S12:$S511)</f>
        <v>33077</v>
      </c>
      <c r="K5" s="126">
        <f>SUMIF(Data!$N12:$N511,K3,Data!$S12:$S511)</f>
        <v>8097</v>
      </c>
      <c r="L5" s="126">
        <f>SUMIF(Data!$N12:$N511,L3,Data!$S12:$S511)</f>
        <v>13676</v>
      </c>
      <c r="M5" s="126">
        <f>SUMIF(Data!$N12:$N511,M3,Data!$S12:$S511)</f>
        <v>2396</v>
      </c>
      <c r="N5" s="126">
        <f>SUMIF(Data!$N12:$N511,N3,Data!$S12:$S511)</f>
        <v>12223</v>
      </c>
      <c r="O5" s="126">
        <f>SUMIF(Data!$N12:$N511,O3,Data!$S12:$S511)</f>
        <v>1386</v>
      </c>
      <c r="P5" s="126">
        <f>SUMIF(Data!$N12:$N511,P3,Data!$S12:$S511)</f>
        <v>15131</v>
      </c>
      <c r="Q5" s="126">
        <f>SUMIF(Data!$N12:$N511,Q3,Data!$S12:$S511)</f>
        <v>0</v>
      </c>
      <c r="R5" s="131">
        <f>SUMIF(Data!$N12:$N511,R3,Data!$S12:$S511)</f>
        <v>0</v>
      </c>
      <c r="S5" s="131">
        <f>SUMIF(Data!$N12:$N511,S3,Data!$S12:$S511)</f>
        <v>0</v>
      </c>
      <c r="T5" s="131">
        <f>SUMIF(Data!$N12:$N1021,T3,Data!$S12:$S1021)</f>
        <v>0</v>
      </c>
      <c r="U5" s="131">
        <f>SUMIF(Data!$N12:$N1021,U3,Data!$S12:$S1021)</f>
        <v>0</v>
      </c>
      <c r="V5" s="131">
        <f>SUMIF(Data!$N12:$N1021,V3,Data!$S12:$S1021)</f>
        <v>0</v>
      </c>
      <c r="W5" s="131">
        <f>SUMIF(Data!$N12:$N1021,W3,Data!$S12:$S1021)</f>
        <v>0</v>
      </c>
      <c r="X5" s="131">
        <f>SUMIF(Data!$N12:$N215,X3,Data!$S12:$S215)</f>
        <v>0</v>
      </c>
      <c r="Y5" s="128">
        <f>SUMIF(Data!$N12:$N1021,Y3,Data!$S12:$S1021)</f>
        <v>0</v>
      </c>
      <c r="Z5" s="128">
        <f>SUMIF(Data!$N12:$N1021,Z3,Data!$S12:$S1021)</f>
        <v>0</v>
      </c>
      <c r="AA5" s="128">
        <f>SUMIF(Data!$N12:$N1021,AA3,Data!$S12:$S1021)</f>
        <v>0</v>
      </c>
      <c r="AB5" s="128">
        <f>SUMIF(Data!$N12:$N1021,AB3,Data!$S12:$S1021)</f>
        <v>0</v>
      </c>
      <c r="AC5" s="128">
        <f>SUMIF(Data!$N12:$N1021,AC3,Data!$S12:$S1021)</f>
        <v>0</v>
      </c>
      <c r="AD5" s="128">
        <f>SUMIF(Data!$N12:$N1021,AD3,Data!$S12:$S1021)</f>
        <v>0</v>
      </c>
      <c r="AE5" s="338">
        <f>SUMIF(Data!$N12:$N511,AE3,Data!$S12:$S511)</f>
        <v>0</v>
      </c>
      <c r="AF5" s="129">
        <f>SUMIF(Data!$N12:$N511,AF3,Data!$S12:$S511)</f>
        <v>0</v>
      </c>
      <c r="AG5" s="129">
        <f>SUMIF(Data!$N12:$N266,AG3,Data!$S12:$S266)</f>
        <v>0</v>
      </c>
      <c r="AH5" s="129">
        <f>SUMIF(Data!$N12:$N511,AH3,Data!$S12:$S511)</f>
        <v>0</v>
      </c>
      <c r="AI5" s="196">
        <f>SUMIF(Data!$N12:$N511,AI3,Data!$S12:$S511)</f>
        <v>0</v>
      </c>
      <c r="AJ5" s="200">
        <f>SUMIF(Data!$N12:$N511,AJ3,Data!$S12:$S511)</f>
        <v>0</v>
      </c>
      <c r="AK5" s="200">
        <f>SUMIF(Data!$N12:$N511,AK3,Data!$S12:$S511)</f>
        <v>0</v>
      </c>
      <c r="AL5" s="200">
        <f>SUMIF(Data!$N12:$N511,AL3,Data!$S12:$S511)</f>
        <v>0</v>
      </c>
      <c r="AM5" s="200">
        <f>SUMIF(Data!$N12:$N511,AM3,Data!$S12:$S511)</f>
        <v>0</v>
      </c>
      <c r="AN5" s="200">
        <f>SUMIF(Data!$N12:$N511,AN3,Data!$S12:$S511)</f>
        <v>0</v>
      </c>
      <c r="AO5" s="200">
        <f>SUMIF(Data!$N12:$N511,AO3,Data!$S12:$S511)</f>
        <v>0</v>
      </c>
      <c r="AP5" s="200">
        <f>SUMIF(Data!$N12:$N511,AP3,Data!$S12:$S511)</f>
        <v>0</v>
      </c>
      <c r="AQ5" s="200">
        <f>SUMIF(Data!$N12:$N511,AQ3,Data!$S12:$S511)</f>
        <v>0</v>
      </c>
      <c r="AR5" s="200">
        <f>SUMIF(Data!$N12:$N511,AR3,Data!$S12:$S511)</f>
        <v>0</v>
      </c>
      <c r="AS5" s="200">
        <f>SUMIF(Data!$N12:$N511,AS3,Data!$S12:$S511)</f>
        <v>0</v>
      </c>
      <c r="AT5" s="200">
        <f>SUMIF(Data!$N12:$N511,AT3,Data!$S12:$S511)</f>
        <v>0</v>
      </c>
      <c r="AU5" s="200">
        <f>SUMIF(Data!$N12:$N511,AU3,Data!$S12:$S511)</f>
        <v>0</v>
      </c>
      <c r="AV5" s="200">
        <f>SUMIF(Data!$N12:$N511,AV3,Data!$S12:$S511)</f>
        <v>0</v>
      </c>
      <c r="AW5" s="200">
        <f>SUMIF(Data!$N12:$N511,AW3,Data!$S12:$S511)</f>
        <v>0</v>
      </c>
      <c r="AX5" s="200">
        <f>SUMIF(Data!$N12:$N511,AX3,Data!$S12:$S511)</f>
        <v>0</v>
      </c>
      <c r="AY5" s="200">
        <f>SUMIF(Data!$N12:$N511,AY3,Data!$S12:$S511)</f>
        <v>0</v>
      </c>
      <c r="AZ5" s="200">
        <f>SUMIF(Data!$N12:$N511,AZ3,Data!$S12:$S511)</f>
        <v>0</v>
      </c>
      <c r="BA5" s="200">
        <f>SUMIF(Data!$N12:$N511,BA3,Data!$S12:$S511)</f>
        <v>0</v>
      </c>
      <c r="BB5" s="200">
        <f>SUMIF(Data!$N12:$N511,BB3,Data!$S12:$S511)</f>
        <v>0</v>
      </c>
    </row>
    <row r="6" spans="1:54" s="132" customFormat="1" ht="15.6" x14ac:dyDescent="0.3">
      <c r="A6" s="132">
        <f>SUM(C6:BB6)</f>
        <v>103222</v>
      </c>
      <c r="B6" s="162" t="s">
        <v>50</v>
      </c>
      <c r="C6" s="132">
        <f>SUMIF(Data!$X12:$X511,C3,Data!$AD12:$AD511)-SUMIFS(Data!$AD$12:$AD$511,Data!$X$12:$X$511,C3,Data!$R$12:$R$511,"2017-074")</f>
        <v>0</v>
      </c>
      <c r="D6" s="132">
        <f>SUMIF(Data!$X12:$X511,D3,Data!$AD12:$AD511)-SUMIFS(Data!$AD$12:$AD$511,Data!$X$12:$X$511,D3,Data!$R$12:$R$511,"2017-074")</f>
        <v>3180</v>
      </c>
      <c r="E6" s="132">
        <f>SUMIF(Data!$X12:$X511,E3,Data!$AD12:$AD511)-SUMIFS(Data!$AD$12:$AD$511,Data!$X$12:$X$511,E3,Data!$R$12:$R$511,"2017-074")</f>
        <v>5516</v>
      </c>
      <c r="F6" s="133">
        <f>SUMIF(Data!$X12:$X511,F3,Data!$AD12:$AD511)-SUMIFS(Data!$AD$12:$AD$511,Data!$X$12:$X$511,F3,Data!$R$12:$R$511,"2017-074")</f>
        <v>790</v>
      </c>
      <c r="G6" s="132">
        <f>SUMIF(Data!$X12:$X511,G3,Data!$AD12:$AD511)-SUMIFS(Data!$AD$12:$AD$511,Data!$X$12:$X$511,G3,Data!$R$12:$R$511,"2017-074")</f>
        <v>1072.5</v>
      </c>
      <c r="H6" s="132">
        <f>SUMIF(Data!$X12:$X511,H3,Data!$AD12:$AD511)-SUMIFS(Data!$AD$12:$AD$511,Data!$X$12:$X$511,H3,Data!$R$12:$R$511,"2017-074")</f>
        <v>13705</v>
      </c>
      <c r="I6" s="132">
        <f>SUMIF(Data!$X12:$X511,I3,Data!$AD12:$AD511)-SUMIFS(Data!$AD$12:$AD$511,Data!$X$12:$X$511,I3,Data!$R$12:$R$511,"2017-074")</f>
        <v>5085</v>
      </c>
      <c r="J6" s="132">
        <f>SUMIF(Data!$X12:$X511,J3,Data!$AD12:$AD511)-SUMIFS(Data!$AD$12:$AD$511,Data!$X$12:$X$511,J3,Data!$R$12:$R$511,"2017-074")</f>
        <v>6347</v>
      </c>
      <c r="K6" s="132">
        <f>SUMIF(Data!$X12:$X511,K3,Data!$AD12:$AD511)-SUMIFS(Data!$AD$12:$AD$511,Data!$X$12:$X$511,K3,Data!$R$12:$R$511,"2017-074")</f>
        <v>3180</v>
      </c>
      <c r="L6" s="132">
        <f>SUMIF(Data!$X12:$X511,L3,Data!$AD12:$AD511)-SUMIFS(Data!$AD$12:$AD$511,Data!$X$12:$X$511,L3,Data!$R$12:$R$511,"2017-074")</f>
        <v>4683.5</v>
      </c>
      <c r="M6" s="132">
        <f>SUMIF(Data!$X12:$X511,M3,Data!$AD12:$AD511)-SUMIFS(Data!$AD$12:$AD$511,Data!$X$12:$X$511,M3,Data!$R$12:$R$511,"2017-074")</f>
        <v>5120</v>
      </c>
      <c r="N6" s="133">
        <f>SUMIF(Data!$X12:$X511,N3,Data!$AD12:$AD511)-SUMIFS(Data!$AD$12:$AD$511,Data!$X$12:$X$511,N3,Data!$R$12:$R$511,"2017-074")</f>
        <v>14389</v>
      </c>
      <c r="O6" s="134">
        <f>SUMIF(Data!$X12:$X511,O3,Data!$AD12:$AD511)-SUMIFS(Data!$AD$12:$AD$511,Data!$X$12:$X$511,O3,Data!$R$12:$R$511,"2017-074")</f>
        <v>24460</v>
      </c>
      <c r="P6" s="134">
        <f>SUMIF(Data!$X12:$X511,P3,Data!$AD12:$AD511)-SUMIFS(Data!$AD$12:$AD$511,Data!$X$12:$X$511,P3,Data!$R$12:$R$511,"2017-074")</f>
        <v>15309</v>
      </c>
      <c r="Q6" s="134">
        <f>SUMIF(Data!$X12:$X511,Q3,Data!$AD12:$AD511)-SUMIFS(Data!$AD$12:$AD$511,Data!$X$12:$X$511,Q3,Data!$R$12:$R$511,"2017-074")</f>
        <v>385</v>
      </c>
      <c r="R6" s="134">
        <f>SUMIF(Data!$X12:$X511,R3,Data!$AD12:$AD511)-SUMIFS(Data!$AD$12:$AD$511,Data!$X$12:$X$511,R3,Data!$R$12:$R$511,"2017-074")</f>
        <v>0</v>
      </c>
      <c r="S6" s="134">
        <f>SUMIF(Data!$X12:$X511,S3,Data!$AD12:$AD511)-SUMIFS(Data!$AD$12:$AD$511,Data!$X$12:$X$511,S3,Data!$R$12:$R$511,"2017-074")</f>
        <v>0</v>
      </c>
      <c r="T6" s="134">
        <f>SUMIF(Data!$X12:$X511,T3,Data!$AD12:$AD511)-SUMIFS(Data!$AD$12:$AD$511,Data!$X$12:$X$511,T3,Data!$R$12:$R$511,"2017-074")</f>
        <v>0</v>
      </c>
      <c r="U6" s="134">
        <f>SUMIF(Data!$X12:$X511,U3,Data!$AD12:$AD511)-SUMIFS(Data!$AD$12:$AD$511,Data!$X$12:$X$511,U3,Data!$R$12:$R$511,"2017-074")</f>
        <v>0</v>
      </c>
      <c r="V6" s="135">
        <f>SUMIF(Data!$X12:$X1021,V3,Data!$AD12:$AD1021)-SUMIFS(Data!$AD$12:$AD$511,Data!$X$12:$X$511,V3,Data!$R$12:$R$511,"2017-074")</f>
        <v>0</v>
      </c>
      <c r="W6" s="134">
        <f>SUMIF(Data!$X12:$X1021,W3,Data!$AD12:$AD1021)-SUMIFS(Data!$AD$12:$AD$511,Data!$X$12:$X$511,W3,Data!$R$12:$R$511,"2017-074")</f>
        <v>0</v>
      </c>
      <c r="X6" s="134">
        <f>SUMIF(Data!$X12:$X511,X3,Data!$AD12:$AD511)-SUMIFS(Data!$AD$12:$AD$511,Data!$X$12:$X$511,X3,Data!$R$12:$R$511,"2017-074")</f>
        <v>0</v>
      </c>
      <c r="Y6" s="136">
        <f>SUMIF(Data!$X12:$X1021,Y3,Data!$AD12:$AD1021)-SUMIFS(Data!$AD$12:$AD$511,Data!$X$12:$X$511,Y3,Data!$R$12:$R$511,"2017-074")</f>
        <v>0</v>
      </c>
      <c r="Z6" s="136">
        <f>SUMIF(Data!$X12:$X1021,Z3,Data!$AD12:$AD1021)-SUMIFS(Data!$AD$12:$AD$511,Data!$X$12:$X$511,Z3,Data!$R$12:$R$511,"2017-074")</f>
        <v>0</v>
      </c>
      <c r="AA6" s="136">
        <f>SUMIF(Data!$X12:$X1021,AA3,Data!$AD12:$AD1021)-SUMIFS(Data!$AD$12:$AD$511,Data!$X$12:$X$511,AA3,Data!$R$12:$R$511,"2017-074")</f>
        <v>0</v>
      </c>
      <c r="AB6" s="136">
        <f>SUMIF(Data!$X12:$X1021,AB3,Data!$AD12:$AD1021)-SUMIFS(Data!$AD$12:$AD$511,Data!$X$12:$X$511,AB3,Data!$R$12:$R$511,"2017-074")</f>
        <v>0</v>
      </c>
      <c r="AC6" s="136">
        <f>SUMIF(Data!$X12:$X1021,AC3,Data!$AD12:$AD1021)-SUMIFS(Data!$AD$12:$AD$511,Data!$X$12:$X$511,AC3,Data!$R$12:$R$511,"2017-074")</f>
        <v>0</v>
      </c>
      <c r="AD6" s="136">
        <f>SUMIF(Data!$X12:$X1021,AD3,Data!$AD12:$AD1021)-SUMIFS(Data!$AD$12:$AD$511,Data!$X$12:$X$511,AD3,Data!$R$12:$R$511,"2017-074")</f>
        <v>0</v>
      </c>
      <c r="AE6" s="339">
        <f>SUMIF(Data!$X12:$X511,AE3,Data!$AD12:$AD511)-SUMIFS(Data!$AD$12:$AD$511,Data!$X$12:$X$511,AE3,Data!$R$12:$R$511,"2017-074")</f>
        <v>0</v>
      </c>
      <c r="AF6" s="137">
        <f>SUMIF(Data!$X12:$X511,AF3,Data!$AD12:$AD511)-SUMIFS(Data!$AD$12:$AD$511,Data!$X$12:$X$511,AF3,Data!$R$12:$R$511,"2017-074")</f>
        <v>0</v>
      </c>
      <c r="AG6" s="137">
        <f>SUMIF(Data!$X12:$X511,AG3,Data!$AD12:$AD511)-SUMIFS(Data!$AD$12:$AD$511,Data!$X$12:$X$511,AG3,Data!$R$12:$R$511,"2017-074")</f>
        <v>0</v>
      </c>
      <c r="AH6" s="137">
        <f>SUMIF(Data!$X12:$X511,AH3,Data!$AD12:$AD511)-SUMIFS(Data!$AD$12:$AD$511,Data!$X$12:$X$511,AH3,Data!$R$12:$R$511,"2017-074")</f>
        <v>0</v>
      </c>
      <c r="AI6" s="197">
        <f>SUMIF(Data!$X12:$X511,AI3,Data!$AD12:$AD511)-SUMIFS(Data!$AD$12:$AD$511,Data!$X$12:$X$511,AI3,Data!$R$12:$R$511,"2017-074")</f>
        <v>0</v>
      </c>
      <c r="AJ6" s="201">
        <f>SUMIF(Data!$X12:$X511,AJ3,Data!$AD12:$AD511)-SUMIFS(Data!$AD$12:$AD$511,Data!$X$12:$X$511,AJ3,Data!$R$12:$R$511,"2017-074")</f>
        <v>0</v>
      </c>
      <c r="AK6" s="201">
        <f>SUMIF(Data!$X12:$X511,AK3,Data!$AD12:$AD511)-SUMIFS(Data!$AD$12:$AD$511,Data!$X$12:$X$511,AK3,Data!$R$12:$R$511,"2017-074")</f>
        <v>0</v>
      </c>
      <c r="AL6" s="201">
        <f>SUMIF(Data!$X12:$X511,AL3,Data!$AD12:$AD511)-SUMIFS(Data!$AD$12:$AD$511,Data!$X$12:$X$511,AL3,Data!$R$12:$R$511,"2017-074")</f>
        <v>0</v>
      </c>
      <c r="AM6" s="201">
        <f>SUMIF(Data!$X12:$X511,AM3,Data!$AD12:$AD511)-SUMIFS(Data!$AD$12:$AD$511,Data!$X$12:$X$511,AM3,Data!$R$12:$R$511,"2017-074")</f>
        <v>0</v>
      </c>
      <c r="AN6" s="201">
        <f>SUMIF(Data!$X12:$X511,AN3,Data!$AD12:$AD511)-SUMIFS(Data!$AD$12:$AD$511,Data!$X$12:$X$511,AN3,Data!$R$12:$R$511,"2017-074")</f>
        <v>0</v>
      </c>
      <c r="AO6" s="201">
        <f>SUMIF(Data!$X12:$X511,AO3,Data!$AD12:$AD511)-SUMIFS(Data!$AD$12:$AD$511,Data!$X$12:$X$511,AO3,Data!$R$12:$R$511,"2017-074")</f>
        <v>0</v>
      </c>
      <c r="AP6" s="201">
        <f>SUMIF(Data!$X12:$X511,AP3,Data!$AD12:$AD511)-SUMIFS(Data!$AD$12:$AD$511,Data!$X$12:$X$511,AP3,Data!$R$12:$R$511,"2017-074")</f>
        <v>0</v>
      </c>
      <c r="AQ6" s="201">
        <f>SUMIF(Data!$X12:$X511,AQ3,Data!$AD12:$AD511)-SUMIFS(Data!$AD$12:$AD$511,Data!$X$12:$X$511,AQ3,Data!$R$12:$R$511,"2017-074")</f>
        <v>0</v>
      </c>
      <c r="AR6" s="201">
        <f>SUMIF(Data!$X12:$X511,AR3,Data!$AD12:$AD511)-SUMIFS(Data!$AD$12:$AD$511,Data!$X$12:$X$511,AR3,Data!$R$12:$R$511,"2017-074")</f>
        <v>0</v>
      </c>
      <c r="AS6" s="201">
        <f>SUMIF(Data!$X12:$X511,AS3,Data!$AD12:$AD511)-SUMIFS(Data!$AD$12:$AD$511,Data!$X$12:$X$511,AS3,Data!$R$12:$R$511,"2017-074")</f>
        <v>0</v>
      </c>
      <c r="AT6" s="201">
        <f>SUMIF(Data!$X12:$X511,AT3,Data!$AD12:$AD511)-SUMIFS(Data!$AD$12:$AD$511,Data!$X$12:$X$511,AT3,Data!$R$12:$R$511,"2017-074")</f>
        <v>0</v>
      </c>
      <c r="AU6" s="201">
        <f>SUMIF(Data!$X12:$X511,AU3,Data!$AD12:$AD511)-SUMIFS(Data!$AD$12:$AD$511,Data!$X$12:$X$511,AU3,Data!$R$12:$R$511,"2017-074")</f>
        <v>0</v>
      </c>
      <c r="AV6" s="201">
        <f>SUMIF(Data!$X12:$X511,AV3,Data!$AD12:$AD511)-SUMIFS(Data!$AD$12:$AD$511,Data!$X$12:$X$511,AV3,Data!$R$12:$R$511,"2017-074")</f>
        <v>0</v>
      </c>
      <c r="AW6" s="201">
        <f>SUMIF(Data!$X12:$X511,AW3,Data!$AD12:$AD511)-SUMIFS(Data!$AD$12:$AD$511,Data!$X$12:$X$511,AW3,Data!$R$12:$R$511,"2017-074")</f>
        <v>0</v>
      </c>
      <c r="AX6" s="201">
        <f>SUMIF(Data!$X12:$X511,AX3,Data!$AD12:$AD511)-SUMIFS(Data!$AD$12:$AD$511,Data!$X$12:$X$511,AX3,Data!$R$12:$R$511,"2017-074")</f>
        <v>0</v>
      </c>
      <c r="AY6" s="201">
        <f>SUMIF(Data!$X12:$X511,AY3,Data!$AD12:$AD511)-SUMIFS(Data!$AD$12:$AD$511,Data!$X$12:$X$511,AY3,Data!$R$12:$R$511,"2017-074")</f>
        <v>0</v>
      </c>
      <c r="AZ6" s="201">
        <f>SUMIF(Data!$X12:$X511,AZ3,Data!$AD12:$AD511)-SUMIFS(Data!$AD$12:$AD$511,Data!$X$12:$X$511,AZ3,Data!$R$12:$R$511,"2017-074")</f>
        <v>0</v>
      </c>
      <c r="BA6" s="201">
        <f>SUMIF(Data!$X12:$X511,BA3,Data!$AD12:$AD511)-SUMIFS(Data!$AD$12:$AD$511,Data!$X$12:$X$511,BA3,Data!$R$12:$R$511,"2017-074")</f>
        <v>0</v>
      </c>
      <c r="BB6" s="201">
        <f>SUMIF(Data!$X12:$X511,BB3,Data!$AD12:$AD511)-SUMIFS(Data!$AD$12:$AD$511,Data!$X$12:$X$511,BB3,Data!$R$12:$R$511,"2017-074")</f>
        <v>0</v>
      </c>
    </row>
    <row r="7" spans="1:54" s="138" customFormat="1" ht="15.6" x14ac:dyDescent="0.3">
      <c r="B7" s="139" t="s">
        <v>108</v>
      </c>
      <c r="C7" s="138">
        <f>'Weekly Data'!C5</f>
        <v>0</v>
      </c>
      <c r="D7" s="138">
        <f>'Weekly Data'!D5</f>
        <v>0</v>
      </c>
      <c r="E7" s="138">
        <f>'Weekly Data'!E5</f>
        <v>0</v>
      </c>
      <c r="F7" s="138">
        <f>'Weekly Data'!F5</f>
        <v>0</v>
      </c>
      <c r="G7" s="138">
        <f>'Weekly Data'!G5</f>
        <v>0</v>
      </c>
      <c r="H7" s="138">
        <f>'Weekly Data'!H5</f>
        <v>0</v>
      </c>
      <c r="I7" s="138">
        <f>'Weekly Data'!I5</f>
        <v>0</v>
      </c>
      <c r="J7" s="138">
        <f>'Weekly Data'!J5</f>
        <v>0</v>
      </c>
      <c r="K7" s="138">
        <f>'Weekly Data'!K5</f>
        <v>0</v>
      </c>
      <c r="L7" s="138">
        <f>'Weekly Data'!L5</f>
        <v>0</v>
      </c>
      <c r="M7" s="138">
        <f>'Weekly Data'!M5</f>
        <v>0</v>
      </c>
      <c r="N7" s="138">
        <f>'Weekly Data'!N5</f>
        <v>0</v>
      </c>
      <c r="O7" s="138">
        <f>'Weekly Data'!O5</f>
        <v>0</v>
      </c>
      <c r="P7" s="138">
        <f>'Weekly Data'!P5</f>
        <v>0</v>
      </c>
      <c r="Q7" s="138">
        <f>'Weekly Data'!Q5</f>
        <v>0</v>
      </c>
      <c r="R7" s="138">
        <f>'Weekly Data'!R5</f>
        <v>0</v>
      </c>
      <c r="S7" s="138">
        <f>'Weekly Data'!S5</f>
        <v>0</v>
      </c>
      <c r="T7" s="138">
        <f>'Weekly Data'!T5</f>
        <v>0</v>
      </c>
      <c r="U7" s="138">
        <f>'Weekly Data'!U5</f>
        <v>0</v>
      </c>
      <c r="V7" s="138">
        <f>'Weekly Data'!V5</f>
        <v>0</v>
      </c>
      <c r="W7" s="138">
        <f>'Weekly Data'!W5</f>
        <v>0</v>
      </c>
      <c r="X7" s="138">
        <f>'Weekly Data'!X5</f>
        <v>0</v>
      </c>
      <c r="Y7" s="138">
        <f>'Weekly Data'!Y5</f>
        <v>0</v>
      </c>
      <c r="Z7" s="138">
        <f>'Weekly Data'!Z5</f>
        <v>0</v>
      </c>
      <c r="AA7" s="138">
        <f>'Weekly Data'!AA5</f>
        <v>0</v>
      </c>
      <c r="AB7" s="138">
        <f>'Weekly Data'!AB5</f>
        <v>0</v>
      </c>
      <c r="AC7" s="138">
        <f>'Weekly Data'!AC5</f>
        <v>0</v>
      </c>
      <c r="AD7" s="138">
        <f>'Weekly Data'!AD5</f>
        <v>0</v>
      </c>
      <c r="AE7" s="138">
        <f>'Weekly Data'!AE5</f>
        <v>0</v>
      </c>
      <c r="AF7" s="138">
        <f>'Weekly Data'!AF5</f>
        <v>0</v>
      </c>
      <c r="AG7" s="138">
        <f>'Weekly Data'!AG5</f>
        <v>0</v>
      </c>
      <c r="AH7" s="138">
        <f>'Weekly Data'!AH5</f>
        <v>0</v>
      </c>
      <c r="AI7" s="138">
        <f>'Weekly Data'!AI5</f>
        <v>0</v>
      </c>
      <c r="AJ7" s="138">
        <f>'Weekly Data'!AJ5</f>
        <v>0</v>
      </c>
      <c r="AK7" s="138">
        <f>'Weekly Data'!AK5</f>
        <v>0</v>
      </c>
      <c r="AL7" s="138">
        <f>'Weekly Data'!AL5</f>
        <v>0</v>
      </c>
      <c r="AM7" s="138">
        <f>'Weekly Data'!AM5</f>
        <v>0</v>
      </c>
      <c r="AN7" s="138">
        <f>'Weekly Data'!AN5</f>
        <v>0</v>
      </c>
      <c r="AO7" s="138">
        <f>'Weekly Data'!AO5</f>
        <v>0</v>
      </c>
      <c r="AP7" s="138">
        <f>'Weekly Data'!AP5</f>
        <v>0</v>
      </c>
      <c r="AQ7" s="138">
        <f>'Weekly Data'!AQ5</f>
        <v>0</v>
      </c>
      <c r="AR7" s="138">
        <f>'Weekly Data'!AR5</f>
        <v>0</v>
      </c>
      <c r="AS7" s="138">
        <f>'Weekly Data'!AS5</f>
        <v>0</v>
      </c>
      <c r="AT7" s="138">
        <f>'Weekly Data'!AT5</f>
        <v>0</v>
      </c>
      <c r="AU7" s="138">
        <f>'Weekly Data'!AU5</f>
        <v>0</v>
      </c>
      <c r="AV7" s="138">
        <f>'Weekly Data'!AV5</f>
        <v>0</v>
      </c>
      <c r="AW7" s="138">
        <f>'Weekly Data'!AW5</f>
        <v>0</v>
      </c>
      <c r="AX7" s="138">
        <f>'Weekly Data'!AX5</f>
        <v>0</v>
      </c>
      <c r="AY7" s="138">
        <f>'Weekly Data'!AY5</f>
        <v>0</v>
      </c>
      <c r="AZ7" s="138">
        <f>'Weekly Data'!AZ5</f>
        <v>0</v>
      </c>
      <c r="BA7" s="138">
        <f>'Weekly Data'!BA5</f>
        <v>0</v>
      </c>
      <c r="BB7" s="138">
        <f>'Weekly Data'!BB5</f>
        <v>0</v>
      </c>
    </row>
    <row r="8" spans="1:54" s="140" customFormat="1" ht="15.6" x14ac:dyDescent="0.3">
      <c r="B8" s="139" t="s">
        <v>109</v>
      </c>
      <c r="C8" s="138">
        <f>'Weekly Data'!C6</f>
        <v>0</v>
      </c>
      <c r="D8" s="138">
        <f>'Weekly Data'!D6</f>
        <v>0</v>
      </c>
      <c r="E8" s="138">
        <f>'Weekly Data'!E6</f>
        <v>0</v>
      </c>
      <c r="F8" s="138">
        <f>'Weekly Data'!F6</f>
        <v>0</v>
      </c>
      <c r="G8" s="138">
        <f>'Weekly Data'!G6</f>
        <v>0</v>
      </c>
      <c r="H8" s="138">
        <f>'Weekly Data'!H6</f>
        <v>0</v>
      </c>
      <c r="I8" s="138">
        <f>'Weekly Data'!I6</f>
        <v>0</v>
      </c>
      <c r="J8" s="138">
        <f>'Weekly Data'!J6</f>
        <v>0</v>
      </c>
      <c r="K8" s="138">
        <f>'Weekly Data'!K6</f>
        <v>0</v>
      </c>
      <c r="L8" s="138">
        <f>'Weekly Data'!L6</f>
        <v>0</v>
      </c>
      <c r="M8" s="138">
        <f>'Weekly Data'!M6</f>
        <v>0</v>
      </c>
      <c r="N8" s="138">
        <f>'Weekly Data'!N6</f>
        <v>0</v>
      </c>
      <c r="O8" s="138">
        <f>'Weekly Data'!O6</f>
        <v>0</v>
      </c>
      <c r="P8" s="138">
        <f>'Weekly Data'!P6</f>
        <v>0</v>
      </c>
      <c r="Q8" s="138">
        <f>'Weekly Data'!Q6</f>
        <v>0</v>
      </c>
      <c r="R8" s="138">
        <f>'Weekly Data'!R6</f>
        <v>0</v>
      </c>
      <c r="S8" s="138">
        <f>'Weekly Data'!S6</f>
        <v>0</v>
      </c>
      <c r="T8" s="138">
        <f>'Weekly Data'!T6</f>
        <v>0</v>
      </c>
      <c r="U8" s="138">
        <f>'Weekly Data'!U6</f>
        <v>0</v>
      </c>
      <c r="V8" s="138">
        <f>'Weekly Data'!V6</f>
        <v>0</v>
      </c>
      <c r="W8" s="138">
        <f>'Weekly Data'!W6</f>
        <v>0</v>
      </c>
      <c r="X8" s="138">
        <f>'Weekly Data'!X6</f>
        <v>0</v>
      </c>
      <c r="Y8" s="138">
        <f>'Weekly Data'!Y6</f>
        <v>0</v>
      </c>
      <c r="Z8" s="138">
        <f>'Weekly Data'!Z6</f>
        <v>0</v>
      </c>
      <c r="AA8" s="138">
        <f>'Weekly Data'!AA6</f>
        <v>0</v>
      </c>
      <c r="AB8" s="138">
        <f>'Weekly Data'!AB6</f>
        <v>0</v>
      </c>
      <c r="AC8" s="138">
        <f>'Weekly Data'!AC6</f>
        <v>0</v>
      </c>
      <c r="AD8" s="138">
        <f>'Weekly Data'!AD6</f>
        <v>0</v>
      </c>
      <c r="AE8" s="138">
        <f>'Weekly Data'!AE6</f>
        <v>0</v>
      </c>
      <c r="AF8" s="138">
        <f>'Weekly Data'!AF6</f>
        <v>0</v>
      </c>
      <c r="AG8" s="138">
        <f>'Weekly Data'!AG6</f>
        <v>0</v>
      </c>
      <c r="AH8" s="138">
        <f>'Weekly Data'!AH6</f>
        <v>0</v>
      </c>
      <c r="AI8" s="138">
        <f>'Weekly Data'!AI6</f>
        <v>0</v>
      </c>
      <c r="AJ8" s="138">
        <f>'Weekly Data'!AJ6</f>
        <v>0</v>
      </c>
      <c r="AK8" s="138">
        <f>'Weekly Data'!AK6</f>
        <v>0</v>
      </c>
      <c r="AL8" s="138">
        <f>'Weekly Data'!AL6</f>
        <v>0</v>
      </c>
      <c r="AM8" s="138">
        <f>'Weekly Data'!AM6</f>
        <v>0</v>
      </c>
      <c r="AN8" s="138">
        <f>'Weekly Data'!AN6</f>
        <v>0</v>
      </c>
      <c r="AO8" s="138">
        <f>'Weekly Data'!AO6</f>
        <v>0</v>
      </c>
      <c r="AP8" s="138">
        <f>'Weekly Data'!AP6</f>
        <v>0</v>
      </c>
      <c r="AQ8" s="138">
        <f>'Weekly Data'!AQ6</f>
        <v>0</v>
      </c>
      <c r="AR8" s="138">
        <f>'Weekly Data'!AR6</f>
        <v>0</v>
      </c>
      <c r="AS8" s="138">
        <f>'Weekly Data'!AS6</f>
        <v>0</v>
      </c>
      <c r="AT8" s="138">
        <f>'Weekly Data'!AT6</f>
        <v>0</v>
      </c>
      <c r="AU8" s="138">
        <f>'Weekly Data'!AU6</f>
        <v>0</v>
      </c>
      <c r="AV8" s="138">
        <f>'Weekly Data'!AV6</f>
        <v>0</v>
      </c>
      <c r="AW8" s="138">
        <f>'Weekly Data'!AW6</f>
        <v>0</v>
      </c>
      <c r="AX8" s="138">
        <f>'Weekly Data'!AX6</f>
        <v>0</v>
      </c>
      <c r="AY8" s="138">
        <f>'Weekly Data'!AY6</f>
        <v>0</v>
      </c>
      <c r="AZ8" s="138">
        <f>'Weekly Data'!AZ6</f>
        <v>0</v>
      </c>
      <c r="BA8" s="138">
        <f>'Weekly Data'!BA6</f>
        <v>0</v>
      </c>
      <c r="BB8" s="138">
        <f>'Weekly Data'!BB6</f>
        <v>0</v>
      </c>
    </row>
    <row r="9" spans="1:54" s="141" customFormat="1" ht="15.6" x14ac:dyDescent="0.3">
      <c r="B9" s="142" t="s">
        <v>54</v>
      </c>
      <c r="C9" s="126">
        <f>C5-C7</f>
        <v>0</v>
      </c>
      <c r="D9" s="126">
        <f>D5-D7</f>
        <v>12384</v>
      </c>
      <c r="E9" s="126">
        <f t="shared" ref="E9:I9" si="0">E5-E7</f>
        <v>660</v>
      </c>
      <c r="F9" s="126">
        <f t="shared" si="0"/>
        <v>8736</v>
      </c>
      <c r="G9" s="126">
        <f t="shared" si="0"/>
        <v>5150</v>
      </c>
      <c r="H9" s="126">
        <f t="shared" si="0"/>
        <v>3180</v>
      </c>
      <c r="I9" s="126">
        <f t="shared" si="0"/>
        <v>77275</v>
      </c>
      <c r="J9" s="126">
        <f>J5-J7</f>
        <v>33077</v>
      </c>
      <c r="K9" s="126">
        <f>K5-K7</f>
        <v>8097</v>
      </c>
      <c r="L9" s="126">
        <f t="shared" ref="L9:AD9" si="1">L5-L7</f>
        <v>13676</v>
      </c>
      <c r="M9" s="126">
        <f t="shared" si="1"/>
        <v>2396</v>
      </c>
      <c r="N9" s="126">
        <f t="shared" si="1"/>
        <v>12223</v>
      </c>
      <c r="O9" s="126">
        <f t="shared" si="1"/>
        <v>1386</v>
      </c>
      <c r="P9" s="126">
        <f t="shared" si="1"/>
        <v>15131</v>
      </c>
      <c r="Q9" s="126">
        <f t="shared" si="1"/>
        <v>0</v>
      </c>
      <c r="R9" s="126">
        <f t="shared" si="1"/>
        <v>0</v>
      </c>
      <c r="S9" s="126">
        <f t="shared" si="1"/>
        <v>0</v>
      </c>
      <c r="T9" s="126">
        <f t="shared" si="1"/>
        <v>0</v>
      </c>
      <c r="U9" s="126">
        <f t="shared" si="1"/>
        <v>0</v>
      </c>
      <c r="V9" s="126">
        <f t="shared" si="1"/>
        <v>0</v>
      </c>
      <c r="W9" s="126">
        <f t="shared" si="1"/>
        <v>0</v>
      </c>
      <c r="X9" s="126">
        <f t="shared" si="1"/>
        <v>0</v>
      </c>
      <c r="Y9" s="126">
        <f t="shared" si="1"/>
        <v>0</v>
      </c>
      <c r="Z9" s="126">
        <f t="shared" si="1"/>
        <v>0</v>
      </c>
      <c r="AA9" s="126">
        <f t="shared" si="1"/>
        <v>0</v>
      </c>
      <c r="AB9" s="126">
        <f t="shared" si="1"/>
        <v>0</v>
      </c>
      <c r="AC9" s="126">
        <f t="shared" si="1"/>
        <v>0</v>
      </c>
      <c r="AD9" s="143">
        <f t="shared" si="1"/>
        <v>0</v>
      </c>
      <c r="AE9" s="126">
        <f t="shared" ref="AE9:AF9" si="2">AE5-AE7</f>
        <v>0</v>
      </c>
      <c r="AF9" s="126">
        <f t="shared" si="2"/>
        <v>0</v>
      </c>
      <c r="AG9" s="126">
        <f t="shared" ref="AG9:AH9" si="3">AG5-AG7</f>
        <v>0</v>
      </c>
      <c r="AH9" s="126">
        <f t="shared" si="3"/>
        <v>0</v>
      </c>
      <c r="AI9" s="126">
        <f t="shared" ref="AI9:AJ9" si="4">AI5-AI7</f>
        <v>0</v>
      </c>
      <c r="AJ9" s="126">
        <f t="shared" si="4"/>
        <v>0</v>
      </c>
      <c r="AK9" s="126">
        <f t="shared" ref="AK9:AL9" si="5">AK5-AK7</f>
        <v>0</v>
      </c>
      <c r="AL9" s="126">
        <f t="shared" si="5"/>
        <v>0</v>
      </c>
      <c r="AM9" s="126">
        <f t="shared" ref="AM9:AN9" si="6">AM5-AM7</f>
        <v>0</v>
      </c>
      <c r="AN9" s="126">
        <f t="shared" si="6"/>
        <v>0</v>
      </c>
      <c r="AO9" s="126">
        <f t="shared" ref="AO9:AP9" si="7">AO5-AO7</f>
        <v>0</v>
      </c>
      <c r="AP9" s="126">
        <f t="shared" si="7"/>
        <v>0</v>
      </c>
      <c r="AQ9" s="126">
        <f t="shared" ref="AQ9:AR9" si="8">AQ5-AQ7</f>
        <v>0</v>
      </c>
      <c r="AR9" s="126">
        <f t="shared" si="8"/>
        <v>0</v>
      </c>
      <c r="AS9" s="126">
        <f t="shared" ref="AS9:AT9" si="9">AS5-AS7</f>
        <v>0</v>
      </c>
      <c r="AT9" s="126">
        <f t="shared" si="9"/>
        <v>0</v>
      </c>
      <c r="AU9" s="126">
        <f t="shared" ref="AU9:AV9" si="10">AU5-AU7</f>
        <v>0</v>
      </c>
      <c r="AV9" s="126">
        <f t="shared" si="10"/>
        <v>0</v>
      </c>
    </row>
    <row r="10" spans="1:54" s="141" customFormat="1" ht="15.6" x14ac:dyDescent="0.3">
      <c r="B10" s="142" t="s">
        <v>51</v>
      </c>
      <c r="C10" s="126">
        <f>C4</f>
        <v>12719</v>
      </c>
      <c r="D10" s="126">
        <f t="shared" ref="D10:AL12" si="11">D4+C10</f>
        <v>56074</v>
      </c>
      <c r="E10" s="126">
        <f t="shared" si="11"/>
        <v>83195</v>
      </c>
      <c r="F10" s="126">
        <f t="shared" si="11"/>
        <v>83855</v>
      </c>
      <c r="G10" s="126">
        <f t="shared" si="11"/>
        <v>105351</v>
      </c>
      <c r="H10" s="126">
        <f t="shared" si="11"/>
        <v>120155</v>
      </c>
      <c r="I10" s="126">
        <f t="shared" si="11"/>
        <v>191612.4</v>
      </c>
      <c r="J10" s="126">
        <f t="shared" si="11"/>
        <v>193527.4</v>
      </c>
      <c r="K10" s="126">
        <f t="shared" si="11"/>
        <v>217292.4</v>
      </c>
      <c r="L10" s="126">
        <f t="shared" si="11"/>
        <v>222299.4</v>
      </c>
      <c r="M10" s="126">
        <f t="shared" si="11"/>
        <v>249035.4</v>
      </c>
      <c r="N10" s="126">
        <f t="shared" si="11"/>
        <v>249742.4</v>
      </c>
      <c r="O10" s="126">
        <f t="shared" si="11"/>
        <v>252922.4</v>
      </c>
      <c r="P10" s="126">
        <f t="shared" si="11"/>
        <v>271455.40000000002</v>
      </c>
      <c r="Q10" s="126">
        <f t="shared" si="11"/>
        <v>271455.40000000002</v>
      </c>
      <c r="R10" s="126">
        <f t="shared" si="11"/>
        <v>271455.40000000002</v>
      </c>
      <c r="S10" s="126">
        <f t="shared" si="11"/>
        <v>271455.40000000002</v>
      </c>
      <c r="T10" s="126">
        <f t="shared" si="11"/>
        <v>271455.40000000002</v>
      </c>
      <c r="U10" s="126">
        <f t="shared" si="11"/>
        <v>271455.40000000002</v>
      </c>
      <c r="V10" s="126">
        <f t="shared" si="11"/>
        <v>271455.40000000002</v>
      </c>
      <c r="W10" s="126">
        <f t="shared" si="11"/>
        <v>271455.40000000002</v>
      </c>
      <c r="X10" s="126">
        <f t="shared" si="11"/>
        <v>271455.40000000002</v>
      </c>
      <c r="Y10" s="126">
        <f t="shared" si="11"/>
        <v>271455.40000000002</v>
      </c>
      <c r="Z10" s="126">
        <f t="shared" si="11"/>
        <v>271455.40000000002</v>
      </c>
      <c r="AA10" s="126">
        <f t="shared" si="11"/>
        <v>271455.40000000002</v>
      </c>
      <c r="AB10" s="126">
        <f t="shared" si="11"/>
        <v>271455.40000000002</v>
      </c>
      <c r="AC10" s="126">
        <f t="shared" si="11"/>
        <v>271455.40000000002</v>
      </c>
      <c r="AD10" s="143">
        <f t="shared" si="11"/>
        <v>271455.40000000002</v>
      </c>
      <c r="AE10" s="126">
        <f t="shared" si="11"/>
        <v>271455.40000000002</v>
      </c>
      <c r="AF10" s="126">
        <f t="shared" si="11"/>
        <v>271455.40000000002</v>
      </c>
      <c r="AG10" s="126">
        <f t="shared" si="11"/>
        <v>271455.40000000002</v>
      </c>
      <c r="AH10" s="126">
        <f t="shared" si="11"/>
        <v>271455.40000000002</v>
      </c>
      <c r="AI10" s="126">
        <f t="shared" si="11"/>
        <v>271455.40000000002</v>
      </c>
      <c r="AJ10" s="126">
        <f t="shared" si="11"/>
        <v>271455.40000000002</v>
      </c>
      <c r="AK10" s="126">
        <f t="shared" si="11"/>
        <v>271455.40000000002</v>
      </c>
      <c r="AL10" s="126">
        <f t="shared" si="11"/>
        <v>271455.40000000002</v>
      </c>
      <c r="AM10" s="126">
        <f t="shared" ref="AM10:AM12" si="12">AM4+AL10</f>
        <v>271455.40000000002</v>
      </c>
      <c r="AN10" s="126">
        <f t="shared" ref="AN10:AT12" si="13">AN4+AM10</f>
        <v>271455.40000000002</v>
      </c>
      <c r="AO10" s="126">
        <f t="shared" si="13"/>
        <v>271455.40000000002</v>
      </c>
      <c r="AP10" s="126">
        <f t="shared" si="13"/>
        <v>271455.40000000002</v>
      </c>
      <c r="AQ10" s="126">
        <f t="shared" si="13"/>
        <v>271455.40000000002</v>
      </c>
      <c r="AR10" s="126">
        <f t="shared" si="13"/>
        <v>271455.40000000002</v>
      </c>
      <c r="AS10" s="126">
        <f t="shared" si="13"/>
        <v>271455.40000000002</v>
      </c>
      <c r="AT10" s="126">
        <f t="shared" si="13"/>
        <v>271455.40000000002</v>
      </c>
      <c r="AU10" s="126">
        <f t="shared" ref="AU10:AU12" si="14">AU4+AT10</f>
        <v>271455.40000000002</v>
      </c>
      <c r="AV10" s="126">
        <f t="shared" ref="AV10:AV12" si="15">AV4+AU10</f>
        <v>271455.40000000002</v>
      </c>
    </row>
    <row r="11" spans="1:54" s="141" customFormat="1" ht="15.6" x14ac:dyDescent="0.3">
      <c r="B11" s="142" t="s">
        <v>52</v>
      </c>
      <c r="C11" s="126">
        <f>C5</f>
        <v>0</v>
      </c>
      <c r="D11" s="126">
        <f t="shared" si="11"/>
        <v>12384</v>
      </c>
      <c r="E11" s="126">
        <f t="shared" si="11"/>
        <v>13044</v>
      </c>
      <c r="F11" s="126">
        <f t="shared" si="11"/>
        <v>21780</v>
      </c>
      <c r="G11" s="126">
        <f t="shared" si="11"/>
        <v>26930</v>
      </c>
      <c r="H11" s="126">
        <f t="shared" si="11"/>
        <v>30110</v>
      </c>
      <c r="I11" s="126">
        <f t="shared" si="11"/>
        <v>107385</v>
      </c>
      <c r="J11" s="126">
        <f>J5+I11</f>
        <v>140462</v>
      </c>
      <c r="K11" s="126">
        <f>K5+J11</f>
        <v>148559</v>
      </c>
      <c r="L11" s="126">
        <f t="shared" si="11"/>
        <v>162235</v>
      </c>
      <c r="M11" s="126">
        <f t="shared" si="11"/>
        <v>164631</v>
      </c>
      <c r="N11" s="126">
        <f t="shared" si="11"/>
        <v>176854</v>
      </c>
      <c r="O11" s="126">
        <f t="shared" si="11"/>
        <v>178240</v>
      </c>
      <c r="P11" s="126">
        <f t="shared" si="11"/>
        <v>193371</v>
      </c>
      <c r="Q11" s="126">
        <f t="shared" si="11"/>
        <v>193371</v>
      </c>
      <c r="R11" s="126">
        <f t="shared" si="11"/>
        <v>193371</v>
      </c>
      <c r="S11" s="126">
        <f t="shared" si="11"/>
        <v>193371</v>
      </c>
      <c r="T11" s="126">
        <f t="shared" si="11"/>
        <v>193371</v>
      </c>
      <c r="U11" s="126">
        <f t="shared" si="11"/>
        <v>193371</v>
      </c>
      <c r="V11" s="126">
        <f t="shared" si="11"/>
        <v>193371</v>
      </c>
      <c r="W11" s="126">
        <f t="shared" si="11"/>
        <v>193371</v>
      </c>
      <c r="X11" s="126">
        <f t="shared" si="11"/>
        <v>193371</v>
      </c>
      <c r="Y11" s="126">
        <f t="shared" si="11"/>
        <v>193371</v>
      </c>
      <c r="Z11" s="126">
        <f t="shared" si="11"/>
        <v>193371</v>
      </c>
      <c r="AA11" s="126">
        <f t="shared" si="11"/>
        <v>193371</v>
      </c>
      <c r="AB11" s="126">
        <f t="shared" si="11"/>
        <v>193371</v>
      </c>
      <c r="AC11" s="126">
        <f t="shared" si="11"/>
        <v>193371</v>
      </c>
      <c r="AD11" s="143">
        <f t="shared" si="11"/>
        <v>193371</v>
      </c>
      <c r="AE11" s="126">
        <f t="shared" si="11"/>
        <v>193371</v>
      </c>
      <c r="AF11" s="126">
        <f t="shared" si="11"/>
        <v>193371</v>
      </c>
      <c r="AG11" s="126">
        <f t="shared" si="11"/>
        <v>193371</v>
      </c>
      <c r="AH11" s="126">
        <f t="shared" si="11"/>
        <v>193371</v>
      </c>
      <c r="AI11" s="126">
        <f t="shared" si="11"/>
        <v>193371</v>
      </c>
      <c r="AJ11" s="126">
        <f t="shared" si="11"/>
        <v>193371</v>
      </c>
      <c r="AK11" s="126">
        <f t="shared" si="11"/>
        <v>193371</v>
      </c>
      <c r="AL11" s="126">
        <f t="shared" si="11"/>
        <v>193371</v>
      </c>
      <c r="AM11" s="126">
        <f t="shared" si="12"/>
        <v>193371</v>
      </c>
      <c r="AN11" s="126">
        <f t="shared" si="13"/>
        <v>193371</v>
      </c>
      <c r="AO11" s="126">
        <f t="shared" si="13"/>
        <v>193371</v>
      </c>
      <c r="AP11" s="126">
        <f t="shared" si="13"/>
        <v>193371</v>
      </c>
      <c r="AQ11" s="126">
        <f t="shared" si="13"/>
        <v>193371</v>
      </c>
      <c r="AR11" s="126">
        <f t="shared" si="13"/>
        <v>193371</v>
      </c>
      <c r="AS11" s="126">
        <f t="shared" si="13"/>
        <v>193371</v>
      </c>
      <c r="AT11" s="126">
        <f t="shared" si="13"/>
        <v>193371</v>
      </c>
      <c r="AU11" s="126">
        <f t="shared" si="14"/>
        <v>193371</v>
      </c>
      <c r="AV11" s="126">
        <f t="shared" si="15"/>
        <v>193371</v>
      </c>
    </row>
    <row r="12" spans="1:54" s="141" customFormat="1" ht="15.6" x14ac:dyDescent="0.3">
      <c r="B12" s="144" t="s">
        <v>36</v>
      </c>
      <c r="C12" s="126">
        <f>C6</f>
        <v>0</v>
      </c>
      <c r="D12" s="126">
        <f t="shared" si="11"/>
        <v>3180</v>
      </c>
      <c r="E12" s="126">
        <f t="shared" si="11"/>
        <v>8696</v>
      </c>
      <c r="F12" s="126">
        <f t="shared" si="11"/>
        <v>9486</v>
      </c>
      <c r="G12" s="126">
        <f t="shared" si="11"/>
        <v>10558.5</v>
      </c>
      <c r="H12" s="126">
        <f t="shared" si="11"/>
        <v>24263.5</v>
      </c>
      <c r="I12" s="126">
        <f t="shared" si="11"/>
        <v>29348.5</v>
      </c>
      <c r="J12" s="126">
        <f t="shared" si="11"/>
        <v>35695.5</v>
      </c>
      <c r="K12" s="126">
        <f t="shared" si="11"/>
        <v>38875.5</v>
      </c>
      <c r="L12" s="126">
        <f t="shared" si="11"/>
        <v>43559</v>
      </c>
      <c r="M12" s="126">
        <f t="shared" si="11"/>
        <v>48679</v>
      </c>
      <c r="N12" s="126">
        <f t="shared" si="11"/>
        <v>63068</v>
      </c>
      <c r="O12" s="126">
        <f t="shared" si="11"/>
        <v>87528</v>
      </c>
      <c r="P12" s="126">
        <f t="shared" si="11"/>
        <v>102837</v>
      </c>
      <c r="Q12" s="126">
        <f t="shared" si="11"/>
        <v>103222</v>
      </c>
      <c r="R12" s="126">
        <f t="shared" si="11"/>
        <v>103222</v>
      </c>
      <c r="S12" s="126">
        <f t="shared" si="11"/>
        <v>103222</v>
      </c>
      <c r="T12" s="126">
        <f t="shared" si="11"/>
        <v>103222</v>
      </c>
      <c r="U12" s="126">
        <f t="shared" si="11"/>
        <v>103222</v>
      </c>
      <c r="V12" s="126">
        <f t="shared" si="11"/>
        <v>103222</v>
      </c>
      <c r="W12" s="126">
        <f t="shared" si="11"/>
        <v>103222</v>
      </c>
      <c r="X12" s="126">
        <f t="shared" si="11"/>
        <v>103222</v>
      </c>
      <c r="Y12" s="126">
        <f t="shared" si="11"/>
        <v>103222</v>
      </c>
      <c r="Z12" s="126">
        <f t="shared" si="11"/>
        <v>103222</v>
      </c>
      <c r="AA12" s="126">
        <f t="shared" si="11"/>
        <v>103222</v>
      </c>
      <c r="AB12" s="126">
        <f t="shared" si="11"/>
        <v>103222</v>
      </c>
      <c r="AC12" s="126">
        <f t="shared" si="11"/>
        <v>103222</v>
      </c>
      <c r="AD12" s="143">
        <f t="shared" si="11"/>
        <v>103222</v>
      </c>
      <c r="AE12" s="126">
        <f t="shared" si="11"/>
        <v>103222</v>
      </c>
      <c r="AF12" s="126">
        <f t="shared" si="11"/>
        <v>103222</v>
      </c>
      <c r="AG12" s="126">
        <f t="shared" si="11"/>
        <v>103222</v>
      </c>
      <c r="AH12" s="126">
        <f t="shared" si="11"/>
        <v>103222</v>
      </c>
      <c r="AI12" s="126">
        <f t="shared" si="11"/>
        <v>103222</v>
      </c>
      <c r="AJ12" s="126">
        <f t="shared" si="11"/>
        <v>103222</v>
      </c>
      <c r="AK12" s="126">
        <f t="shared" si="11"/>
        <v>103222</v>
      </c>
      <c r="AL12" s="126">
        <f t="shared" si="11"/>
        <v>103222</v>
      </c>
      <c r="AM12" s="126">
        <f t="shared" si="12"/>
        <v>103222</v>
      </c>
      <c r="AN12" s="126">
        <f t="shared" si="13"/>
        <v>103222</v>
      </c>
      <c r="AO12" s="126">
        <f t="shared" si="13"/>
        <v>103222</v>
      </c>
      <c r="AP12" s="126">
        <f t="shared" si="13"/>
        <v>103222</v>
      </c>
      <c r="AQ12" s="126">
        <f t="shared" si="13"/>
        <v>103222</v>
      </c>
      <c r="AR12" s="126">
        <f t="shared" si="13"/>
        <v>103222</v>
      </c>
      <c r="AS12" s="126">
        <f t="shared" si="13"/>
        <v>103222</v>
      </c>
      <c r="AT12" s="126">
        <f t="shared" si="13"/>
        <v>103222</v>
      </c>
      <c r="AU12" s="126">
        <f t="shared" si="14"/>
        <v>103222</v>
      </c>
      <c r="AV12" s="126">
        <f t="shared" si="15"/>
        <v>103222</v>
      </c>
    </row>
    <row r="13" spans="1:54" s="141" customFormat="1" ht="15.6" x14ac:dyDescent="0.3">
      <c r="B13" s="142" t="s">
        <v>55</v>
      </c>
      <c r="C13" s="128">
        <f>6176.6+C5-C6</f>
        <v>6176.6</v>
      </c>
      <c r="D13" s="126">
        <f>C13+D5-D6</f>
        <v>15380.599999999999</v>
      </c>
      <c r="E13" s="126">
        <f>D13+E5-E6</f>
        <v>10524.599999999999</v>
      </c>
      <c r="F13" s="126">
        <f>E13+F5-F6</f>
        <v>18470.599999999999</v>
      </c>
      <c r="G13" s="126">
        <f t="shared" ref="G13:Z13" si="16">F13+G5-G6</f>
        <v>22548.1</v>
      </c>
      <c r="H13" s="126">
        <f t="shared" si="16"/>
        <v>12023.099999999999</v>
      </c>
      <c r="I13" s="126">
        <f t="shared" si="16"/>
        <v>84213.1</v>
      </c>
      <c r="J13" s="126">
        <f>I13+J5-J6</f>
        <v>110943.1</v>
      </c>
      <c r="K13" s="126">
        <f>J13+K5-K6</f>
        <v>115860.1</v>
      </c>
      <c r="L13" s="126">
        <f t="shared" si="16"/>
        <v>124852.6</v>
      </c>
      <c r="M13" s="126">
        <f t="shared" si="16"/>
        <v>122128.6</v>
      </c>
      <c r="N13" s="126">
        <f t="shared" si="16"/>
        <v>119962.6</v>
      </c>
      <c r="O13" s="126">
        <f t="shared" si="16"/>
        <v>96888.6</v>
      </c>
      <c r="P13" s="126">
        <f t="shared" si="16"/>
        <v>96710.6</v>
      </c>
      <c r="Q13" s="126">
        <f t="shared" si="16"/>
        <v>96325.6</v>
      </c>
      <c r="R13" s="126">
        <f t="shared" si="16"/>
        <v>96325.6</v>
      </c>
      <c r="S13" s="126">
        <f t="shared" si="16"/>
        <v>96325.6</v>
      </c>
      <c r="T13" s="126">
        <f t="shared" si="16"/>
        <v>96325.6</v>
      </c>
      <c r="U13" s="126">
        <f t="shared" si="16"/>
        <v>96325.6</v>
      </c>
      <c r="V13" s="126">
        <f t="shared" si="16"/>
        <v>96325.6</v>
      </c>
      <c r="W13" s="126">
        <f t="shared" si="16"/>
        <v>96325.6</v>
      </c>
      <c r="X13" s="126">
        <f t="shared" si="16"/>
        <v>96325.6</v>
      </c>
      <c r="Y13" s="126">
        <f t="shared" si="16"/>
        <v>96325.6</v>
      </c>
      <c r="Z13" s="126">
        <f t="shared" si="16"/>
        <v>96325.6</v>
      </c>
      <c r="AA13" s="126">
        <f>Z13+AA5-AA6</f>
        <v>96325.6</v>
      </c>
      <c r="AB13" s="126">
        <f t="shared" ref="AB13:BB13" si="17">AA13+AB5-AB6</f>
        <v>96325.6</v>
      </c>
      <c r="AC13" s="126">
        <f t="shared" si="17"/>
        <v>96325.6</v>
      </c>
      <c r="AD13" s="143">
        <f t="shared" si="17"/>
        <v>96325.6</v>
      </c>
      <c r="AE13" s="126">
        <f t="shared" si="17"/>
        <v>96325.6</v>
      </c>
      <c r="AF13" s="126">
        <f t="shared" si="17"/>
        <v>96325.6</v>
      </c>
      <c r="AG13" s="126">
        <f t="shared" si="17"/>
        <v>96325.6</v>
      </c>
      <c r="AH13" s="126">
        <f t="shared" si="17"/>
        <v>96325.6</v>
      </c>
      <c r="AI13" s="126">
        <f t="shared" si="17"/>
        <v>96325.6</v>
      </c>
      <c r="AJ13" s="126">
        <f t="shared" si="17"/>
        <v>96325.6</v>
      </c>
      <c r="AK13" s="126">
        <f t="shared" si="17"/>
        <v>96325.6</v>
      </c>
      <c r="AL13" s="126">
        <f t="shared" si="17"/>
        <v>96325.6</v>
      </c>
      <c r="AM13" s="126">
        <f t="shared" si="17"/>
        <v>96325.6</v>
      </c>
      <c r="AN13" s="126">
        <f t="shared" si="17"/>
        <v>96325.6</v>
      </c>
      <c r="AO13" s="126">
        <f t="shared" si="17"/>
        <v>96325.6</v>
      </c>
      <c r="AP13" s="126">
        <f t="shared" si="17"/>
        <v>96325.6</v>
      </c>
      <c r="AQ13" s="126">
        <f t="shared" si="17"/>
        <v>96325.6</v>
      </c>
      <c r="AR13" s="126">
        <f t="shared" si="17"/>
        <v>96325.6</v>
      </c>
      <c r="AS13" s="126">
        <f t="shared" si="17"/>
        <v>96325.6</v>
      </c>
      <c r="AT13" s="126">
        <f t="shared" si="17"/>
        <v>96325.6</v>
      </c>
      <c r="AU13" s="126">
        <f t="shared" si="17"/>
        <v>96325.6</v>
      </c>
      <c r="AV13" s="126">
        <f t="shared" si="17"/>
        <v>96325.6</v>
      </c>
      <c r="AW13" s="126">
        <f t="shared" si="17"/>
        <v>96325.6</v>
      </c>
      <c r="AX13" s="126">
        <f t="shared" si="17"/>
        <v>96325.6</v>
      </c>
      <c r="AY13" s="126">
        <f t="shared" si="17"/>
        <v>96325.6</v>
      </c>
      <c r="AZ13" s="126">
        <f t="shared" si="17"/>
        <v>96325.6</v>
      </c>
      <c r="BA13" s="126">
        <f t="shared" si="17"/>
        <v>96325.6</v>
      </c>
      <c r="BB13" s="126">
        <f t="shared" si="17"/>
        <v>96325.6</v>
      </c>
    </row>
    <row r="14" spans="1:54" s="147" customFormat="1" ht="15.6" x14ac:dyDescent="0.3">
      <c r="A14" s="122" t="s">
        <v>164</v>
      </c>
      <c r="B14" s="145"/>
      <c r="C14" s="136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46"/>
      <c r="AE14" s="132"/>
      <c r="AF14" s="226" t="str">
        <f>AF3</f>
        <v>S30</v>
      </c>
      <c r="AG14" s="226" t="str">
        <f t="shared" ref="AG14:BB14" si="18">AG3</f>
        <v>S31</v>
      </c>
      <c r="AH14" s="226" t="str">
        <f t="shared" si="18"/>
        <v>S32</v>
      </c>
      <c r="AI14" s="226" t="str">
        <f t="shared" si="18"/>
        <v>S33</v>
      </c>
      <c r="AJ14" s="226" t="str">
        <f t="shared" si="18"/>
        <v>S34</v>
      </c>
      <c r="AK14" s="226" t="str">
        <f t="shared" si="18"/>
        <v>S35</v>
      </c>
      <c r="AL14" s="226" t="str">
        <f t="shared" si="18"/>
        <v>S36</v>
      </c>
      <c r="AM14" s="226" t="str">
        <f t="shared" si="18"/>
        <v>S37</v>
      </c>
      <c r="AN14" s="226" t="str">
        <f t="shared" si="18"/>
        <v>S38</v>
      </c>
      <c r="AO14" s="226" t="str">
        <f t="shared" si="18"/>
        <v>S39</v>
      </c>
      <c r="AP14" s="226" t="str">
        <f t="shared" si="18"/>
        <v>S40</v>
      </c>
      <c r="AQ14" s="226" t="str">
        <f t="shared" si="18"/>
        <v>S41</v>
      </c>
      <c r="AR14" s="226" t="str">
        <f t="shared" si="18"/>
        <v>S42</v>
      </c>
      <c r="AS14" s="226" t="str">
        <f t="shared" si="18"/>
        <v>S43</v>
      </c>
      <c r="AT14" s="226" t="str">
        <f t="shared" si="18"/>
        <v>S44</v>
      </c>
      <c r="AU14" s="226" t="str">
        <f t="shared" si="18"/>
        <v>S45</v>
      </c>
      <c r="AV14" s="226" t="str">
        <f t="shared" si="18"/>
        <v>S46</v>
      </c>
      <c r="AW14" s="226" t="str">
        <f t="shared" si="18"/>
        <v>S47</v>
      </c>
      <c r="AX14" s="226" t="str">
        <f t="shared" si="18"/>
        <v>S48</v>
      </c>
      <c r="AY14" s="226" t="str">
        <f t="shared" si="18"/>
        <v>S49</v>
      </c>
      <c r="AZ14" s="226" t="str">
        <f t="shared" si="18"/>
        <v>S50</v>
      </c>
      <c r="BA14" s="226" t="str">
        <f t="shared" si="18"/>
        <v>S51</v>
      </c>
      <c r="BB14" s="226" t="str">
        <f t="shared" si="18"/>
        <v>S52</v>
      </c>
    </row>
    <row r="15" spans="1:54" s="150" customFormat="1" ht="15.6" x14ac:dyDescent="0.3">
      <c r="A15" s="882" t="s">
        <v>166</v>
      </c>
      <c r="B15" s="148" t="s">
        <v>159</v>
      </c>
      <c r="C15" s="149"/>
      <c r="AD15" s="267"/>
      <c r="AE15" s="268"/>
      <c r="AF15" s="269"/>
      <c r="AG15" s="269"/>
      <c r="AH15" s="269"/>
      <c r="AI15" s="269"/>
      <c r="AJ15" s="270"/>
      <c r="AK15" s="270"/>
      <c r="AL15" s="268"/>
      <c r="AM15" s="269"/>
      <c r="AN15" s="268"/>
      <c r="AO15" s="269"/>
      <c r="AP15" s="269"/>
      <c r="AQ15" s="268"/>
      <c r="AR15" s="269"/>
      <c r="AS15" s="269"/>
      <c r="AT15" s="269"/>
      <c r="AU15" s="269"/>
      <c r="AV15" s="269"/>
      <c r="AW15" s="269"/>
    </row>
    <row r="16" spans="1:54" s="153" customFormat="1" ht="15.6" x14ac:dyDescent="0.3">
      <c r="A16" s="883"/>
      <c r="B16" s="163" t="s">
        <v>155</v>
      </c>
      <c r="C16" s="164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271"/>
      <c r="AE16" s="272"/>
      <c r="AF16" s="180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1"/>
      <c r="AR16" s="180"/>
      <c r="AS16" s="180"/>
      <c r="AT16" s="180"/>
      <c r="AU16" s="180"/>
      <c r="AV16" s="180"/>
      <c r="AW16" s="180"/>
    </row>
    <row r="17" spans="1:49" s="152" customFormat="1" ht="15.6" x14ac:dyDescent="0.3">
      <c r="A17" s="881"/>
      <c r="B17" s="152" t="s">
        <v>163</v>
      </c>
      <c r="C17" s="151"/>
      <c r="AD17" s="273"/>
      <c r="AE17" s="274"/>
      <c r="AF17" s="275"/>
      <c r="AG17" s="275"/>
      <c r="AH17" s="276"/>
      <c r="AI17" s="276"/>
      <c r="AJ17" s="276"/>
      <c r="AK17" s="275"/>
      <c r="AL17" s="276"/>
      <c r="AM17" s="276"/>
      <c r="AN17" s="276"/>
      <c r="AO17" s="276"/>
      <c r="AP17" s="276"/>
      <c r="AQ17" s="275"/>
      <c r="AR17" s="276"/>
      <c r="AS17" s="276"/>
      <c r="AT17" s="276"/>
      <c r="AU17" s="276"/>
      <c r="AV17" s="276"/>
      <c r="AW17" s="276"/>
    </row>
    <row r="18" spans="1:49" s="155" customFormat="1" ht="15.6" x14ac:dyDescent="0.3">
      <c r="A18" s="879" t="s">
        <v>165</v>
      </c>
      <c r="B18" s="153" t="s">
        <v>156</v>
      </c>
      <c r="C18" s="154"/>
      <c r="AD18" s="271"/>
      <c r="AE18" s="180"/>
      <c r="AF18" s="180"/>
      <c r="AG18" s="181"/>
      <c r="AH18" s="194"/>
      <c r="AI18" s="269"/>
      <c r="AJ18" s="181"/>
      <c r="AK18" s="194"/>
      <c r="AL18" s="180"/>
      <c r="AM18" s="180"/>
      <c r="AN18" s="181"/>
      <c r="AO18" s="181"/>
      <c r="AP18" s="194"/>
      <c r="AQ18" s="194"/>
      <c r="AR18" s="194"/>
      <c r="AS18" s="181"/>
      <c r="AT18" s="180"/>
      <c r="AU18" s="180"/>
      <c r="AV18" s="277"/>
      <c r="AW18" s="277"/>
    </row>
    <row r="19" spans="1:49" s="155" customFormat="1" ht="15.6" x14ac:dyDescent="0.3">
      <c r="A19" s="880"/>
      <c r="B19" s="153" t="s">
        <v>157</v>
      </c>
      <c r="C19" s="154"/>
      <c r="AD19" s="271"/>
      <c r="AE19" s="180"/>
      <c r="AF19" s="181"/>
      <c r="AG19" s="194"/>
      <c r="AH19" s="181"/>
      <c r="AI19" s="270"/>
      <c r="AJ19" s="194"/>
      <c r="AK19" s="194"/>
      <c r="AL19" s="180"/>
      <c r="AM19" s="180"/>
      <c r="AN19" s="180"/>
      <c r="AO19" s="181"/>
      <c r="AP19" s="181"/>
      <c r="AQ19" s="194"/>
      <c r="AR19" s="181"/>
      <c r="AS19" s="180"/>
      <c r="AT19" s="181"/>
      <c r="AU19" s="194"/>
      <c r="AV19" s="277"/>
      <c r="AW19" s="277"/>
    </row>
    <row r="20" spans="1:49" s="157" customFormat="1" ht="15.6" x14ac:dyDescent="0.3">
      <c r="A20" s="881"/>
      <c r="B20" s="152" t="s">
        <v>158</v>
      </c>
      <c r="C20" s="156"/>
      <c r="AD20" s="278"/>
      <c r="AE20" s="279"/>
      <c r="AF20" s="195"/>
      <c r="AG20" s="202"/>
      <c r="AH20" s="195"/>
      <c r="AI20" s="276"/>
      <c r="AJ20" s="195"/>
      <c r="AK20" s="202"/>
      <c r="AL20" s="279"/>
      <c r="AM20" s="279"/>
      <c r="AN20" s="279"/>
      <c r="AO20" s="195"/>
      <c r="AP20" s="202"/>
      <c r="AQ20" s="195"/>
      <c r="AR20" s="202"/>
      <c r="AS20" s="195"/>
      <c r="AT20" s="195"/>
      <c r="AU20" s="202"/>
      <c r="AV20" s="280"/>
      <c r="AW20" s="280"/>
    </row>
    <row r="21" spans="1:49" s="99" customFormat="1" x14ac:dyDescent="0.3">
      <c r="B21" s="118"/>
      <c r="C21" s="119"/>
      <c r="AE21" s="120"/>
    </row>
    <row r="22" spans="1:49" s="99" customFormat="1" x14ac:dyDescent="0.3">
      <c r="A22" s="121" t="s">
        <v>160</v>
      </c>
      <c r="B22" s="266">
        <f>450000-A6</f>
        <v>346778</v>
      </c>
      <c r="C22" s="119"/>
      <c r="AE22" s="120"/>
    </row>
    <row r="23" spans="1:49" s="99" customFormat="1" x14ac:dyDescent="0.3">
      <c r="A23" s="159"/>
      <c r="B23" s="160"/>
      <c r="C23" s="119"/>
      <c r="AE23" s="120"/>
    </row>
    <row r="24" spans="1:49" s="99" customFormat="1" x14ac:dyDescent="0.3">
      <c r="A24" s="159"/>
      <c r="B24" s="160"/>
      <c r="C24" s="119"/>
      <c r="AE24" s="120"/>
    </row>
    <row r="25" spans="1:49" ht="15.6" x14ac:dyDescent="0.3">
      <c r="A25" s="158" t="s">
        <v>154</v>
      </c>
      <c r="AC25" s="15"/>
    </row>
    <row r="26" spans="1:49" s="141" customFormat="1" ht="15.6" x14ac:dyDescent="0.3">
      <c r="A26" s="168" t="s">
        <v>0</v>
      </c>
      <c r="B26" s="169" t="s">
        <v>3</v>
      </c>
      <c r="C26" s="170"/>
      <c r="D26" s="171" t="s">
        <v>24</v>
      </c>
      <c r="E26" s="168" t="s">
        <v>33</v>
      </c>
      <c r="F26" s="171" t="s">
        <v>17</v>
      </c>
      <c r="G26" s="172" t="s">
        <v>11</v>
      </c>
      <c r="H26" s="173" t="s">
        <v>111</v>
      </c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0"/>
      <c r="AC26" s="170"/>
    </row>
    <row r="27" spans="1:49" s="141" customFormat="1" ht="15.6" x14ac:dyDescent="0.3">
      <c r="A27" s="203"/>
      <c r="B27" s="5"/>
      <c r="C27" s="204"/>
      <c r="D27" s="11"/>
      <c r="E27" s="205"/>
      <c r="F27" s="206"/>
      <c r="G27" s="106"/>
      <c r="H27" s="12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204"/>
      <c r="AB27" s="204"/>
      <c r="AC27" s="204"/>
    </row>
    <row r="28" spans="1:49" s="141" customFormat="1" ht="15.6" x14ac:dyDescent="0.3">
      <c r="A28" s="203"/>
      <c r="B28" s="5"/>
      <c r="C28" s="207"/>
      <c r="D28" s="208"/>
      <c r="E28" s="106"/>
      <c r="F28" s="209"/>
      <c r="G28" s="106"/>
      <c r="H28" s="210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  <c r="AA28" s="207"/>
      <c r="AB28" s="207"/>
      <c r="AC28" s="207"/>
    </row>
    <row r="29" spans="1:49" s="141" customFormat="1" ht="15.6" x14ac:dyDescent="0.3">
      <c r="A29" s="34"/>
      <c r="B29" s="192"/>
      <c r="C29" s="216"/>
      <c r="D29" s="217"/>
      <c r="E29" s="218"/>
      <c r="F29" s="33"/>
      <c r="G29" s="34"/>
      <c r="H29" s="35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</row>
    <row r="30" spans="1:49" s="141" customFormat="1" ht="15.6" x14ac:dyDescent="0.3">
      <c r="A30" s="44"/>
      <c r="B30" s="192"/>
      <c r="C30" s="216"/>
      <c r="D30" s="217"/>
      <c r="E30" s="218"/>
      <c r="F30" s="43"/>
      <c r="G30" s="44"/>
      <c r="H30" s="45"/>
      <c r="I30" s="216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</row>
    <row r="31" spans="1:49" s="141" customFormat="1" ht="15.6" x14ac:dyDescent="0.3">
      <c r="A31" s="47"/>
      <c r="B31" s="192"/>
      <c r="C31" s="216"/>
      <c r="D31" s="217"/>
      <c r="E31" s="218"/>
      <c r="F31" s="46"/>
      <c r="G31" s="47"/>
      <c r="H31" s="48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</row>
    <row r="32" spans="1:49" s="141" customFormat="1" ht="15.6" x14ac:dyDescent="0.3">
      <c r="A32" s="192"/>
      <c r="B32" s="192"/>
      <c r="C32" s="216"/>
      <c r="D32" s="217"/>
      <c r="E32" s="218"/>
      <c r="F32" s="193"/>
      <c r="G32" s="99"/>
      <c r="H32" s="13"/>
      <c r="I32" s="216"/>
      <c r="J32" s="216"/>
      <c r="K32" s="216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  <c r="X32" s="216"/>
      <c r="Y32" s="216"/>
      <c r="Z32" s="216"/>
      <c r="AA32" s="216"/>
      <c r="AB32" s="216"/>
      <c r="AC32" s="216"/>
    </row>
    <row r="33" spans="1:29" s="141" customFormat="1" ht="15.6" x14ac:dyDescent="0.3">
      <c r="A33" s="40"/>
      <c r="B33" s="192"/>
      <c r="C33" s="216"/>
      <c r="D33" s="217"/>
      <c r="E33" s="218"/>
      <c r="F33" s="193"/>
      <c r="G33" s="114"/>
      <c r="H33" s="13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216"/>
      <c r="Y33" s="216"/>
      <c r="Z33" s="216"/>
      <c r="AA33" s="216"/>
      <c r="AB33" s="216"/>
      <c r="AC33" s="216"/>
    </row>
    <row r="34" spans="1:29" s="141" customFormat="1" ht="15.6" x14ac:dyDescent="0.3">
      <c r="A34" s="40"/>
      <c r="B34" s="192"/>
      <c r="C34" s="216"/>
      <c r="D34" s="217"/>
      <c r="E34" s="218"/>
      <c r="F34" s="193"/>
      <c r="G34" s="114"/>
      <c r="H34" s="13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16"/>
      <c r="X34" s="216"/>
      <c r="Y34" s="216"/>
      <c r="Z34" s="216"/>
      <c r="AA34" s="216"/>
      <c r="AB34" s="216"/>
      <c r="AC34" s="216"/>
    </row>
    <row r="35" spans="1:29" s="141" customFormat="1" ht="15.6" x14ac:dyDescent="0.3">
      <c r="A35" s="40"/>
      <c r="B35" s="192"/>
      <c r="C35" s="216"/>
      <c r="D35" s="217"/>
      <c r="E35" s="218"/>
      <c r="F35" s="64"/>
      <c r="G35" s="114"/>
      <c r="H35" s="100"/>
      <c r="I35" s="216"/>
      <c r="J35" s="216"/>
      <c r="K35" s="216"/>
      <c r="L35" s="216"/>
      <c r="M35" s="216"/>
      <c r="N35" s="216"/>
      <c r="O35" s="216"/>
      <c r="P35" s="216"/>
      <c r="Q35" s="216"/>
      <c r="R35" s="216"/>
      <c r="S35" s="216"/>
      <c r="T35" s="216"/>
      <c r="U35" s="216"/>
      <c r="V35" s="216"/>
      <c r="W35" s="216"/>
      <c r="X35" s="216"/>
      <c r="Y35" s="216"/>
      <c r="Z35" s="216"/>
      <c r="AA35" s="216"/>
      <c r="AB35" s="216"/>
      <c r="AC35" s="216"/>
    </row>
    <row r="36" spans="1:29" s="141" customFormat="1" ht="15.6" x14ac:dyDescent="0.3">
      <c r="A36" s="30"/>
      <c r="B36" s="192"/>
      <c r="C36" s="216"/>
      <c r="D36" s="217"/>
      <c r="E36" s="218"/>
      <c r="F36" s="53"/>
      <c r="G36" s="116"/>
      <c r="H36" s="54"/>
      <c r="I36" s="216"/>
      <c r="J36" s="216"/>
      <c r="K36" s="216"/>
      <c r="L36" s="216"/>
      <c r="M36" s="216"/>
      <c r="N36" s="216"/>
      <c r="O36" s="216"/>
      <c r="P36" s="216"/>
      <c r="Q36" s="216"/>
      <c r="R36" s="216"/>
      <c r="S36" s="216"/>
      <c r="T36" s="216"/>
      <c r="U36" s="216"/>
      <c r="V36" s="216"/>
      <c r="W36" s="216"/>
      <c r="X36" s="216"/>
      <c r="Y36" s="216"/>
      <c r="Z36" s="216"/>
      <c r="AA36" s="216"/>
      <c r="AB36" s="216"/>
      <c r="AC36" s="216"/>
    </row>
    <row r="37" spans="1:29" s="141" customFormat="1" ht="15.6" x14ac:dyDescent="0.3">
      <c r="A37" s="40"/>
      <c r="B37" s="192"/>
      <c r="C37" s="216"/>
      <c r="D37" s="217"/>
      <c r="E37" s="218"/>
      <c r="F37" s="193"/>
      <c r="G37" s="114"/>
      <c r="H37" s="13"/>
      <c r="I37" s="216"/>
      <c r="J37" s="216"/>
      <c r="K37" s="216"/>
      <c r="L37" s="216"/>
      <c r="M37" s="216"/>
      <c r="N37" s="216"/>
      <c r="O37" s="216"/>
      <c r="P37" s="216"/>
      <c r="Q37" s="216"/>
      <c r="R37" s="216"/>
      <c r="S37" s="216"/>
      <c r="T37" s="216"/>
      <c r="U37" s="216"/>
      <c r="V37" s="216"/>
      <c r="W37" s="216"/>
      <c r="X37" s="216"/>
      <c r="Y37" s="216"/>
      <c r="Z37" s="216"/>
      <c r="AA37" s="216"/>
      <c r="AB37" s="216"/>
      <c r="AC37" s="216"/>
    </row>
    <row r="38" spans="1:29" s="141" customFormat="1" ht="15.6" x14ac:dyDescent="0.3">
      <c r="A38" s="40"/>
      <c r="B38" s="192"/>
      <c r="C38" s="216"/>
      <c r="D38" s="217"/>
      <c r="E38" s="218"/>
      <c r="F38" s="193"/>
      <c r="G38" s="114"/>
      <c r="H38" s="13"/>
      <c r="I38" s="216"/>
      <c r="J38" s="216"/>
      <c r="K38" s="216"/>
      <c r="L38" s="216"/>
      <c r="M38" s="216"/>
      <c r="N38" s="216"/>
      <c r="O38" s="216"/>
      <c r="P38" s="216"/>
      <c r="Q38" s="216"/>
      <c r="R38" s="216"/>
      <c r="S38" s="216"/>
      <c r="T38" s="216"/>
      <c r="U38" s="216"/>
      <c r="V38" s="216"/>
      <c r="W38" s="216"/>
      <c r="X38" s="216"/>
      <c r="Y38" s="216"/>
      <c r="Z38" s="216"/>
      <c r="AA38" s="216"/>
      <c r="AB38" s="216"/>
      <c r="AC38" s="216"/>
    </row>
    <row r="39" spans="1:29" s="141" customFormat="1" ht="15.6" x14ac:dyDescent="0.3">
      <c r="A39" s="40"/>
      <c r="B39" s="192"/>
      <c r="C39" s="177"/>
      <c r="D39" s="174"/>
      <c r="E39" s="178"/>
      <c r="F39" s="64"/>
      <c r="G39" s="114"/>
      <c r="H39" s="13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</row>
    <row r="40" spans="1:29" s="141" customFormat="1" ht="15.6" x14ac:dyDescent="0.3">
      <c r="A40" s="40"/>
      <c r="B40" s="192"/>
      <c r="C40" s="177"/>
      <c r="D40" s="174"/>
      <c r="E40" s="178"/>
      <c r="F40" s="193"/>
      <c r="G40" s="114"/>
      <c r="H40" s="13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</row>
    <row r="41" spans="1:29" s="141" customFormat="1" ht="15.6" x14ac:dyDescent="0.3">
      <c r="A41" s="40"/>
      <c r="B41" s="192"/>
      <c r="C41" s="177"/>
      <c r="D41" s="174"/>
      <c r="E41" s="178"/>
      <c r="F41" s="193"/>
      <c r="G41" s="114"/>
      <c r="H41" s="13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</row>
    <row r="42" spans="1:29" s="141" customFormat="1" ht="15.6" x14ac:dyDescent="0.3">
      <c r="A42" s="40"/>
      <c r="B42" s="192"/>
      <c r="C42" s="177"/>
      <c r="D42" s="177"/>
      <c r="E42" s="178"/>
      <c r="F42" s="193"/>
      <c r="G42" s="192"/>
      <c r="H42" s="13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</row>
    <row r="43" spans="1:29" x14ac:dyDescent="0.3">
      <c r="A43" s="117"/>
      <c r="B43" s="117"/>
      <c r="C43" s="117"/>
      <c r="D43" s="117"/>
      <c r="E43" s="179"/>
      <c r="F43" s="175"/>
      <c r="G43" s="116"/>
      <c r="H43" s="176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</row>
    <row r="45" spans="1:29" x14ac:dyDescent="0.3">
      <c r="G45" s="66" t="s">
        <v>119</v>
      </c>
      <c r="H45" s="166">
        <f>SUM(H27:H43)</f>
        <v>0</v>
      </c>
    </row>
    <row r="48" spans="1:29" x14ac:dyDescent="0.3">
      <c r="B48" s="4" t="s">
        <v>299</v>
      </c>
    </row>
    <row r="49" spans="1:54" s="122" customFormat="1" ht="15.6" x14ac:dyDescent="0.3">
      <c r="A49" s="122" t="s">
        <v>23</v>
      </c>
      <c r="B49" s="167" t="s">
        <v>162</v>
      </c>
      <c r="C49" s="122" t="s">
        <v>56</v>
      </c>
      <c r="D49" s="122" t="s">
        <v>57</v>
      </c>
      <c r="E49" s="122" t="s">
        <v>58</v>
      </c>
      <c r="F49" s="123" t="s">
        <v>59</v>
      </c>
      <c r="G49" s="123" t="s">
        <v>60</v>
      </c>
      <c r="H49" s="123" t="s">
        <v>61</v>
      </c>
      <c r="I49" s="122" t="s">
        <v>62</v>
      </c>
      <c r="J49" s="123" t="s">
        <v>63</v>
      </c>
      <c r="K49" s="122" t="s">
        <v>64</v>
      </c>
      <c r="L49" s="123" t="s">
        <v>65</v>
      </c>
      <c r="M49" s="123" t="s">
        <v>66</v>
      </c>
      <c r="N49" s="123" t="s">
        <v>67</v>
      </c>
      <c r="O49" s="123" t="s">
        <v>68</v>
      </c>
      <c r="P49" s="123" t="s">
        <v>69</v>
      </c>
      <c r="Q49" s="123" t="s">
        <v>70</v>
      </c>
      <c r="R49" s="123" t="s">
        <v>71</v>
      </c>
      <c r="S49" s="124" t="s">
        <v>72</v>
      </c>
      <c r="T49" s="123" t="s">
        <v>73</v>
      </c>
      <c r="U49" s="123" t="s">
        <v>74</v>
      </c>
      <c r="V49" s="123" t="s">
        <v>75</v>
      </c>
      <c r="W49" s="123" t="s">
        <v>76</v>
      </c>
      <c r="X49" s="123" t="s">
        <v>77</v>
      </c>
      <c r="Y49" s="123" t="s">
        <v>78</v>
      </c>
      <c r="Z49" s="123" t="s">
        <v>79</v>
      </c>
      <c r="AA49" s="123" t="s">
        <v>80</v>
      </c>
      <c r="AB49" s="123" t="s">
        <v>81</v>
      </c>
      <c r="AC49" s="123" t="s">
        <v>82</v>
      </c>
      <c r="AD49" s="125" t="s">
        <v>83</v>
      </c>
      <c r="AE49" s="123" t="s">
        <v>84</v>
      </c>
      <c r="AF49" s="123" t="s">
        <v>85</v>
      </c>
      <c r="AG49" s="123" t="s">
        <v>86</v>
      </c>
      <c r="AH49" s="123" t="s">
        <v>87</v>
      </c>
      <c r="AI49" s="198" t="s">
        <v>88</v>
      </c>
      <c r="AJ49" s="123" t="s">
        <v>89</v>
      </c>
      <c r="AK49" s="123" t="s">
        <v>90</v>
      </c>
      <c r="AL49" s="123" t="s">
        <v>91</v>
      </c>
      <c r="AM49" s="123" t="s">
        <v>92</v>
      </c>
      <c r="AN49" s="123" t="s">
        <v>93</v>
      </c>
      <c r="AO49" s="123" t="s">
        <v>94</v>
      </c>
      <c r="AP49" s="123" t="s">
        <v>95</v>
      </c>
      <c r="AQ49" s="123" t="s">
        <v>96</v>
      </c>
      <c r="AR49" s="123" t="s">
        <v>97</v>
      </c>
      <c r="AS49" s="123" t="s">
        <v>98</v>
      </c>
      <c r="AT49" s="123" t="s">
        <v>99</v>
      </c>
      <c r="AU49" s="123" t="s">
        <v>100</v>
      </c>
      <c r="AV49" s="123" t="s">
        <v>101</v>
      </c>
      <c r="AW49" s="123" t="s">
        <v>102</v>
      </c>
      <c r="AX49" s="123" t="s">
        <v>103</v>
      </c>
      <c r="AY49" s="123" t="s">
        <v>104</v>
      </c>
      <c r="AZ49" s="123" t="s">
        <v>105</v>
      </c>
      <c r="BA49" s="123" t="s">
        <v>106</v>
      </c>
      <c r="BB49" s="123" t="s">
        <v>107</v>
      </c>
    </row>
    <row r="50" spans="1:54" s="115" customFormat="1" ht="15.6" x14ac:dyDescent="0.3">
      <c r="A50" s="126">
        <f>SUM(C50:BB50)</f>
        <v>9471379</v>
      </c>
      <c r="B50" s="161" t="s">
        <v>53</v>
      </c>
      <c r="C50" s="18">
        <v>287284</v>
      </c>
      <c r="D50" s="115">
        <v>777640</v>
      </c>
      <c r="E50" s="115">
        <v>1213378</v>
      </c>
      <c r="F50" s="115">
        <v>698312</v>
      </c>
      <c r="G50" s="115">
        <v>1776908</v>
      </c>
      <c r="H50" s="115">
        <v>1001876</v>
      </c>
      <c r="I50" s="115">
        <v>288332</v>
      </c>
      <c r="J50" s="115">
        <v>614417</v>
      </c>
      <c r="K50" s="115">
        <v>760267</v>
      </c>
      <c r="L50" s="115">
        <v>323789</v>
      </c>
      <c r="M50" s="115">
        <v>979795</v>
      </c>
      <c r="N50" s="115">
        <v>701882</v>
      </c>
      <c r="O50" s="115">
        <v>47499</v>
      </c>
      <c r="AE50" s="212"/>
      <c r="AH50" s="281"/>
      <c r="AK50" s="212"/>
      <c r="AM50" s="640"/>
      <c r="AN50" s="214"/>
      <c r="AO50" s="214"/>
      <c r="AP50" s="282"/>
      <c r="AQ50" s="214"/>
      <c r="AR50" s="214"/>
      <c r="AS50" s="214"/>
      <c r="AT50" s="214"/>
      <c r="AU50" s="214"/>
      <c r="AV50" s="214"/>
      <c r="AW50" s="281"/>
    </row>
    <row r="51" spans="1:54" s="283" customFormat="1" ht="15.6" x14ac:dyDescent="0.3">
      <c r="A51" s="132">
        <f>SUM(C51:CC51)</f>
        <v>996860</v>
      </c>
      <c r="B51" s="162" t="s">
        <v>49</v>
      </c>
      <c r="C51" s="31">
        <v>68929</v>
      </c>
      <c r="D51" s="283">
        <v>24573</v>
      </c>
      <c r="E51" s="283">
        <v>11899</v>
      </c>
      <c r="F51" s="283">
        <v>63152</v>
      </c>
      <c r="G51" s="283">
        <v>206178</v>
      </c>
      <c r="H51" s="283">
        <v>22931</v>
      </c>
      <c r="I51" s="283">
        <v>13438</v>
      </c>
      <c r="J51" s="283">
        <v>11152</v>
      </c>
      <c r="K51" s="283">
        <v>14606</v>
      </c>
      <c r="L51" s="283">
        <v>45030</v>
      </c>
      <c r="M51" s="283">
        <v>137720</v>
      </c>
      <c r="N51" s="283">
        <v>115591</v>
      </c>
      <c r="O51" s="283">
        <v>71293</v>
      </c>
      <c r="P51" s="657">
        <v>190368</v>
      </c>
      <c r="AE51" s="284"/>
      <c r="AH51" s="285"/>
      <c r="AK51" s="286"/>
      <c r="AL51" s="285"/>
      <c r="AM51" s="285"/>
      <c r="AN51" s="215"/>
      <c r="AO51" s="285"/>
      <c r="AP51" s="286"/>
      <c r="AQ51" s="285"/>
      <c r="AR51" s="285"/>
      <c r="AS51" s="285"/>
      <c r="AT51" s="285"/>
      <c r="AU51" s="285"/>
      <c r="AV51" s="285"/>
      <c r="AW51" s="285"/>
    </row>
    <row r="52" spans="1:54" ht="45.75" customHeight="1" x14ac:dyDescent="0.3">
      <c r="A52" s="588"/>
      <c r="B52" s="335"/>
      <c r="C52" s="441" t="s">
        <v>408</v>
      </c>
      <c r="D52" s="441" t="s">
        <v>399</v>
      </c>
      <c r="E52" s="330" t="s">
        <v>449</v>
      </c>
      <c r="F52" s="291" t="s">
        <v>415</v>
      </c>
      <c r="G52" s="291" t="s">
        <v>433</v>
      </c>
      <c r="H52" s="441" t="s">
        <v>439</v>
      </c>
      <c r="I52" s="441" t="s">
        <v>445</v>
      </c>
      <c r="J52" s="441" t="s">
        <v>452</v>
      </c>
      <c r="K52" s="441" t="s">
        <v>493</v>
      </c>
      <c r="L52" s="441" t="s">
        <v>455</v>
      </c>
      <c r="M52" s="441" t="s">
        <v>478</v>
      </c>
      <c r="N52" s="441" t="s">
        <v>485</v>
      </c>
      <c r="O52" s="441" t="s">
        <v>519</v>
      </c>
      <c r="P52" s="441" t="s">
        <v>502</v>
      </c>
      <c r="Q52" s="441"/>
      <c r="R52" s="441"/>
      <c r="S52" s="441"/>
      <c r="T52" s="292"/>
      <c r="U52" s="441"/>
      <c r="V52" s="441"/>
      <c r="W52" s="441"/>
      <c r="X52" s="441"/>
      <c r="Y52" s="441"/>
      <c r="Z52" s="441"/>
      <c r="AA52" s="442"/>
      <c r="AB52" s="442"/>
      <c r="AC52" s="442"/>
      <c r="AD52" s="638"/>
      <c r="AE52" s="442"/>
      <c r="AF52" s="442"/>
      <c r="AG52" s="442"/>
      <c r="AH52" s="441"/>
      <c r="AI52" s="441"/>
      <c r="AJ52" s="441"/>
      <c r="AK52" s="293"/>
      <c r="AL52" s="441"/>
      <c r="AM52" s="441"/>
      <c r="AN52" s="441"/>
      <c r="AO52" s="441"/>
      <c r="AP52" s="441"/>
      <c r="AQ52" s="294"/>
      <c r="AR52" s="294"/>
      <c r="AS52" s="294"/>
      <c r="AT52" s="294"/>
      <c r="AU52" s="294"/>
      <c r="AV52" s="294"/>
      <c r="AW52" s="294"/>
      <c r="AX52" s="294"/>
      <c r="AY52" s="294"/>
      <c r="AZ52" s="294"/>
      <c r="BA52" s="290"/>
      <c r="BB52" s="294"/>
    </row>
    <row r="53" spans="1:54" ht="31.5" customHeight="1" x14ac:dyDescent="0.3">
      <c r="A53" s="287"/>
      <c r="B53" s="288"/>
      <c r="C53" s="441" t="s">
        <v>396</v>
      </c>
      <c r="D53" s="441" t="s">
        <v>470</v>
      </c>
      <c r="E53" s="441" t="s">
        <v>409</v>
      </c>
      <c r="F53" s="291" t="s">
        <v>416</v>
      </c>
      <c r="G53" s="291" t="s">
        <v>434</v>
      </c>
      <c r="H53" s="441" t="s">
        <v>413</v>
      </c>
      <c r="I53" s="441" t="s">
        <v>440</v>
      </c>
      <c r="J53" s="441" t="s">
        <v>447</v>
      </c>
      <c r="K53" s="441" t="s">
        <v>460</v>
      </c>
      <c r="L53" s="441" t="s">
        <v>456</v>
      </c>
      <c r="M53" s="441" t="s">
        <v>486</v>
      </c>
      <c r="N53" s="441" t="s">
        <v>488</v>
      </c>
      <c r="O53" s="441" t="s">
        <v>520</v>
      </c>
      <c r="P53" s="441" t="s">
        <v>522</v>
      </c>
      <c r="Q53" s="441"/>
      <c r="R53" s="441"/>
      <c r="T53" s="292"/>
      <c r="U53" s="441"/>
      <c r="V53" s="441"/>
      <c r="W53" s="441"/>
      <c r="X53" s="441"/>
      <c r="Y53" s="441"/>
      <c r="Z53" s="441"/>
      <c r="AA53" s="442"/>
      <c r="AB53" s="442"/>
      <c r="AC53" s="442"/>
      <c r="AD53" s="638"/>
      <c r="AE53" s="442"/>
      <c r="AF53" s="442"/>
      <c r="AG53" s="442"/>
      <c r="AH53" s="441"/>
      <c r="AI53" s="441"/>
      <c r="AJ53" s="291"/>
      <c r="AK53" s="295"/>
      <c r="AL53" s="441"/>
      <c r="AM53" s="441"/>
      <c r="AN53" s="441"/>
      <c r="AO53" s="441"/>
      <c r="AP53" s="296"/>
      <c r="AQ53" s="294"/>
      <c r="AR53" s="294"/>
      <c r="AS53" s="294"/>
      <c r="AT53" s="294"/>
      <c r="AU53" s="294"/>
      <c r="AV53" s="294"/>
      <c r="AW53" s="294"/>
      <c r="AX53" s="294"/>
      <c r="AY53" s="294"/>
      <c r="AZ53" s="294"/>
      <c r="BA53" s="290"/>
      <c r="BB53" s="294"/>
    </row>
    <row r="54" spans="1:54" ht="31.8" x14ac:dyDescent="0.3">
      <c r="B54" s="234"/>
      <c r="C54" s="441"/>
      <c r="D54" s="441" t="s">
        <v>400</v>
      </c>
      <c r="E54" s="441" t="s">
        <v>410</v>
      </c>
      <c r="F54" s="291" t="s">
        <v>417</v>
      </c>
      <c r="G54" s="291" t="s">
        <v>418</v>
      </c>
      <c r="H54" s="441" t="s">
        <v>436</v>
      </c>
      <c r="I54" s="441" t="s">
        <v>441</v>
      </c>
      <c r="J54" s="441" t="s">
        <v>448</v>
      </c>
      <c r="K54" s="441" t="s">
        <v>476</v>
      </c>
      <c r="L54" s="441" t="s">
        <v>529</v>
      </c>
      <c r="M54" s="441" t="s">
        <v>481</v>
      </c>
      <c r="N54" s="441" t="s">
        <v>489</v>
      </c>
      <c r="O54" s="441" t="s">
        <v>503</v>
      </c>
      <c r="P54" s="441" t="s">
        <v>523</v>
      </c>
      <c r="Q54" s="441"/>
      <c r="R54" s="329"/>
      <c r="S54" s="292"/>
      <c r="T54" s="292"/>
      <c r="U54" s="292"/>
      <c r="V54" s="292"/>
      <c r="W54" s="292"/>
      <c r="X54" s="292"/>
      <c r="Y54" s="292"/>
      <c r="Z54" s="292"/>
      <c r="AA54" s="442"/>
      <c r="AB54" s="442"/>
      <c r="AC54" s="442"/>
      <c r="AD54" s="638"/>
      <c r="AE54" s="442"/>
      <c r="AF54" s="442"/>
      <c r="AG54" s="442"/>
      <c r="AH54" s="441"/>
      <c r="AI54" s="292"/>
      <c r="AJ54" s="441"/>
      <c r="AK54" s="441"/>
      <c r="AL54" s="441"/>
      <c r="AM54" s="441"/>
      <c r="AN54" s="441"/>
      <c r="AO54" s="441"/>
      <c r="AP54" s="441"/>
      <c r="AQ54" s="441"/>
      <c r="AR54" s="441"/>
      <c r="AS54" s="441"/>
      <c r="AT54" s="219"/>
      <c r="AU54" s="4"/>
      <c r="AV54" s="219"/>
      <c r="AW54" s="219"/>
      <c r="AX54" s="219"/>
      <c r="AY54" s="219"/>
      <c r="AZ54" s="219"/>
      <c r="BA54" s="219"/>
      <c r="BB54" s="219"/>
    </row>
    <row r="55" spans="1:54" ht="41.4" customHeight="1" x14ac:dyDescent="0.3">
      <c r="C55" s="441"/>
      <c r="D55" s="441" t="s">
        <v>401</v>
      </c>
      <c r="E55" s="441" t="s">
        <v>411</v>
      </c>
      <c r="F55" s="441" t="s">
        <v>414</v>
      </c>
      <c r="G55" s="441" t="s">
        <v>435</v>
      </c>
      <c r="H55" s="441" t="s">
        <v>437</v>
      </c>
      <c r="I55" s="441"/>
      <c r="J55" s="441" t="s">
        <v>413</v>
      </c>
      <c r="K55" s="442" t="s">
        <v>450</v>
      </c>
      <c r="L55" s="442" t="s">
        <v>457</v>
      </c>
      <c r="M55" s="442" t="s">
        <v>472</v>
      </c>
      <c r="N55" s="442" t="s">
        <v>490</v>
      </c>
      <c r="O55" s="441" t="s">
        <v>496</v>
      </c>
      <c r="P55" s="441" t="s">
        <v>524</v>
      </c>
      <c r="Q55" s="292"/>
      <c r="R55" s="327"/>
      <c r="S55" s="327"/>
      <c r="T55" s="292"/>
      <c r="U55" s="292"/>
      <c r="V55" s="292"/>
      <c r="W55" s="292"/>
      <c r="X55" s="329"/>
      <c r="Y55" s="329"/>
      <c r="Z55" s="292"/>
      <c r="AA55" s="442"/>
      <c r="AB55" s="442"/>
      <c r="AC55" s="441"/>
      <c r="AD55" s="638"/>
      <c r="AE55" s="442"/>
      <c r="AF55" s="442"/>
      <c r="AG55" s="442"/>
      <c r="AH55" s="292"/>
      <c r="AI55" s="292"/>
      <c r="AJ55" s="441"/>
      <c r="AK55" s="441"/>
      <c r="AL55" s="441"/>
      <c r="AM55" s="441"/>
      <c r="AN55" s="441"/>
      <c r="AO55" s="441"/>
      <c r="AP55" s="441"/>
      <c r="AQ55" s="441"/>
      <c r="AR55" s="441"/>
      <c r="AS55" s="292"/>
      <c r="AT55" s="219"/>
      <c r="AU55" s="4"/>
      <c r="AV55" s="219"/>
      <c r="AW55" s="219"/>
      <c r="AX55" s="219"/>
      <c r="AY55" s="219"/>
      <c r="AZ55" s="219"/>
      <c r="BA55" s="219"/>
      <c r="BB55" s="219"/>
    </row>
    <row r="56" spans="1:54" ht="41.4" customHeight="1" x14ac:dyDescent="0.3">
      <c r="C56" s="441"/>
      <c r="D56" s="441" t="s">
        <v>402</v>
      </c>
      <c r="E56" s="441" t="s">
        <v>412</v>
      </c>
      <c r="F56" s="441" t="s">
        <v>426</v>
      </c>
      <c r="G56" s="441"/>
      <c r="H56" s="441" t="s">
        <v>438</v>
      </c>
      <c r="I56" s="441"/>
      <c r="J56" s="441" t="s">
        <v>464</v>
      </c>
      <c r="K56" s="442" t="s">
        <v>477</v>
      </c>
      <c r="L56" s="442" t="s">
        <v>458</v>
      </c>
      <c r="M56" s="442" t="s">
        <v>468</v>
      </c>
      <c r="N56" s="442" t="s">
        <v>495</v>
      </c>
      <c r="O56" s="441" t="s">
        <v>499</v>
      </c>
      <c r="P56" s="441" t="s">
        <v>525</v>
      </c>
      <c r="Q56" s="292"/>
      <c r="R56" s="327"/>
      <c r="S56" s="292"/>
      <c r="T56" s="292"/>
      <c r="U56" s="292"/>
      <c r="V56" s="292"/>
      <c r="W56" s="327"/>
      <c r="X56" s="292"/>
      <c r="Y56" s="292"/>
      <c r="Z56" s="329"/>
      <c r="AA56" s="442"/>
      <c r="AB56" s="442"/>
      <c r="AC56" s="441"/>
      <c r="AD56" s="638"/>
      <c r="AE56" s="442"/>
      <c r="AF56" s="442"/>
      <c r="AG56" s="442"/>
      <c r="AH56" s="292"/>
      <c r="AI56" s="292"/>
      <c r="AJ56" s="441"/>
      <c r="AK56" s="441"/>
      <c r="AL56" s="441"/>
      <c r="AM56" s="441"/>
      <c r="AN56" s="441"/>
      <c r="AO56" s="441"/>
      <c r="AP56" s="292"/>
      <c r="AQ56" s="441"/>
      <c r="AR56" s="441"/>
      <c r="AS56" s="292"/>
      <c r="AT56" s="219"/>
      <c r="AU56" s="4"/>
      <c r="AV56" s="219"/>
      <c r="AW56" s="219"/>
      <c r="AX56" s="219"/>
      <c r="AY56" s="219"/>
      <c r="AZ56" s="219"/>
      <c r="BA56" s="219"/>
      <c r="BB56" s="219"/>
    </row>
    <row r="57" spans="1:54" ht="31.5" customHeight="1" x14ac:dyDescent="0.3">
      <c r="C57" s="441"/>
      <c r="D57" s="441" t="s">
        <v>403</v>
      </c>
      <c r="E57" s="441" t="s">
        <v>431</v>
      </c>
      <c r="F57" s="442" t="s">
        <v>427</v>
      </c>
      <c r="G57" s="441"/>
      <c r="H57" s="441" t="s">
        <v>442</v>
      </c>
      <c r="I57" s="441"/>
      <c r="J57" s="441" t="s">
        <v>453</v>
      </c>
      <c r="K57" s="442" t="s">
        <v>461</v>
      </c>
      <c r="L57" s="442" t="s">
        <v>413</v>
      </c>
      <c r="M57" s="331" t="s">
        <v>473</v>
      </c>
      <c r="N57" s="442" t="s">
        <v>469</v>
      </c>
      <c r="O57" s="441" t="s">
        <v>521</v>
      </c>
      <c r="P57" s="327" t="s">
        <v>526</v>
      </c>
      <c r="Q57" s="292"/>
      <c r="R57" s="292"/>
      <c r="S57" s="292"/>
      <c r="T57" s="292"/>
      <c r="U57" s="327"/>
      <c r="V57" s="292"/>
      <c r="W57" s="292"/>
      <c r="X57" s="329"/>
      <c r="Y57" s="327"/>
      <c r="Z57" s="329"/>
      <c r="AA57" s="442"/>
      <c r="AB57" s="329"/>
      <c r="AD57" s="330"/>
      <c r="AE57" s="329"/>
      <c r="AF57" s="292"/>
      <c r="AG57" s="442"/>
      <c r="AH57" s="292"/>
      <c r="AI57" s="292"/>
      <c r="AJ57" s="292"/>
      <c r="AK57" s="292"/>
      <c r="AL57" s="442"/>
      <c r="AM57" s="441"/>
      <c r="AN57" s="441"/>
      <c r="AO57" s="441"/>
      <c r="AP57" s="292"/>
      <c r="AQ57" s="441"/>
      <c r="AR57" s="441"/>
      <c r="AS57" s="292"/>
      <c r="AT57" s="219"/>
      <c r="AU57" s="4"/>
      <c r="AV57" s="219"/>
      <c r="AW57" s="219"/>
      <c r="AX57" s="219"/>
      <c r="AY57" s="219"/>
      <c r="AZ57" s="219"/>
      <c r="BA57" s="219"/>
      <c r="BB57" s="219"/>
    </row>
    <row r="58" spans="1:54" ht="31.5" customHeight="1" x14ac:dyDescent="0.3">
      <c r="C58" s="292"/>
      <c r="D58" s="292" t="s">
        <v>471</v>
      </c>
      <c r="E58" s="441" t="s">
        <v>419</v>
      </c>
      <c r="F58" s="442" t="s">
        <v>428</v>
      </c>
      <c r="G58" s="437"/>
      <c r="H58" s="441" t="s">
        <v>443</v>
      </c>
      <c r="I58" s="292"/>
      <c r="J58" s="441" t="s">
        <v>454</v>
      </c>
      <c r="K58" s="442" t="s">
        <v>494</v>
      </c>
      <c r="L58" s="442" t="s">
        <v>465</v>
      </c>
      <c r="M58" s="442" t="s">
        <v>479</v>
      </c>
      <c r="N58" s="442" t="s">
        <v>492</v>
      </c>
      <c r="O58" s="441" t="s">
        <v>500</v>
      </c>
      <c r="P58" s="327" t="s">
        <v>527</v>
      </c>
      <c r="Q58" s="292"/>
      <c r="R58" s="292"/>
      <c r="S58" s="292"/>
      <c r="T58" s="292"/>
      <c r="U58" s="292"/>
      <c r="V58" s="292"/>
      <c r="W58" s="292"/>
      <c r="X58" s="327"/>
      <c r="Y58" s="292"/>
      <c r="Z58" s="327"/>
      <c r="AA58" s="442"/>
      <c r="AB58" s="327"/>
      <c r="AC58" s="292"/>
      <c r="AD58" s="330"/>
      <c r="AE58" s="327"/>
      <c r="AF58" s="292"/>
      <c r="AG58" s="442"/>
      <c r="AH58" s="327"/>
      <c r="AI58" s="292"/>
      <c r="AJ58" s="292"/>
      <c r="AK58" s="292"/>
      <c r="AL58" s="292"/>
      <c r="AM58" s="441"/>
      <c r="AN58" s="441"/>
      <c r="AO58" s="441"/>
      <c r="AP58" s="292"/>
      <c r="AQ58" s="441"/>
      <c r="AR58" s="441"/>
      <c r="AS58" s="292"/>
      <c r="AT58" s="219"/>
      <c r="AU58" s="4"/>
      <c r="AV58" s="219"/>
      <c r="AW58" s="219"/>
      <c r="AX58" s="219"/>
      <c r="AY58" s="219"/>
      <c r="AZ58" s="219"/>
      <c r="BA58" s="219"/>
      <c r="BB58" s="219"/>
    </row>
    <row r="59" spans="1:54" ht="21.6" customHeight="1" x14ac:dyDescent="0.3">
      <c r="E59" s="441" t="s">
        <v>413</v>
      </c>
      <c r="F59" s="442" t="s">
        <v>432</v>
      </c>
      <c r="G59" s="437"/>
      <c r="H59" s="441"/>
      <c r="I59" s="292"/>
      <c r="J59" s="441" t="s">
        <v>454</v>
      </c>
      <c r="K59" s="442"/>
      <c r="L59" s="442" t="s">
        <v>466</v>
      </c>
      <c r="M59" s="442" t="s">
        <v>451</v>
      </c>
      <c r="N59" s="442" t="s">
        <v>492</v>
      </c>
      <c r="O59" s="441" t="s">
        <v>491</v>
      </c>
      <c r="P59" s="292" t="s">
        <v>528</v>
      </c>
      <c r="Q59" s="292"/>
      <c r="R59" s="292"/>
      <c r="S59" s="292"/>
      <c r="T59" s="292"/>
      <c r="U59" s="292"/>
      <c r="V59" s="292"/>
      <c r="W59" s="327"/>
      <c r="X59" s="292"/>
      <c r="Y59" s="292"/>
      <c r="Z59" s="329"/>
      <c r="AA59" s="442"/>
      <c r="AB59" s="292"/>
      <c r="AC59" s="292"/>
      <c r="AD59" s="292"/>
      <c r="AE59" s="292"/>
      <c r="AF59" s="292"/>
      <c r="AG59" s="292"/>
      <c r="AH59" s="292"/>
      <c r="AI59" s="292"/>
      <c r="AJ59" s="292"/>
      <c r="AK59" s="292"/>
      <c r="AL59" s="292"/>
      <c r="AM59" s="441"/>
      <c r="AN59" s="292"/>
      <c r="AO59" s="441"/>
      <c r="AP59" s="292"/>
      <c r="AQ59" s="292"/>
      <c r="AR59" s="292"/>
      <c r="AS59" s="292"/>
      <c r="AT59" s="219"/>
      <c r="AU59" s="4"/>
      <c r="AV59" s="219"/>
      <c r="AW59" s="219"/>
      <c r="AX59" s="219"/>
      <c r="AY59" s="219"/>
      <c r="AZ59" s="219"/>
      <c r="BA59" s="219"/>
      <c r="BB59" s="219"/>
    </row>
    <row r="60" spans="1:54" ht="31.8" x14ac:dyDescent="0.3">
      <c r="E60" s="441" t="s">
        <v>462</v>
      </c>
      <c r="F60" s="442"/>
      <c r="H60" s="441"/>
      <c r="I60" s="292"/>
      <c r="J60" s="441"/>
      <c r="K60" s="442"/>
      <c r="L60" s="243" t="s">
        <v>459</v>
      </c>
      <c r="M60" s="442" t="s">
        <v>474</v>
      </c>
      <c r="N60" s="442"/>
      <c r="O60" s="441" t="s">
        <v>501</v>
      </c>
      <c r="P60" s="292"/>
      <c r="Q60" s="292"/>
      <c r="R60" s="292"/>
      <c r="S60" s="292"/>
      <c r="T60" s="292"/>
      <c r="U60" s="292"/>
      <c r="V60" s="292"/>
      <c r="W60" s="292"/>
      <c r="X60" s="292"/>
      <c r="Y60" s="292"/>
      <c r="Z60" s="292"/>
      <c r="AA60" s="442"/>
      <c r="AB60" s="292"/>
      <c r="AC60" s="327"/>
      <c r="AD60" s="292"/>
      <c r="AE60" s="292"/>
      <c r="AF60" s="292"/>
      <c r="AG60" s="292"/>
      <c r="AH60" s="292"/>
      <c r="AI60" s="292"/>
      <c r="AJ60" s="292"/>
      <c r="AK60" s="292"/>
      <c r="AL60" s="292"/>
      <c r="AM60" s="441"/>
      <c r="AN60" s="292"/>
      <c r="AO60" s="441"/>
      <c r="AP60" s="292"/>
      <c r="AQ60" s="292"/>
      <c r="AR60" s="292"/>
      <c r="AS60" s="292"/>
      <c r="AT60" s="219"/>
      <c r="AU60" s="4"/>
      <c r="AV60" s="219"/>
      <c r="AW60" s="219"/>
      <c r="AX60" s="219"/>
      <c r="AY60" s="219"/>
      <c r="AZ60" s="219"/>
      <c r="BA60" s="219"/>
      <c r="BB60" s="219"/>
    </row>
    <row r="61" spans="1:54" ht="31.5" customHeight="1" x14ac:dyDescent="0.3">
      <c r="F61" s="442"/>
      <c r="H61" s="441"/>
      <c r="I61" s="292"/>
      <c r="J61" s="441"/>
      <c r="K61" s="442"/>
      <c r="L61" s="442" t="s">
        <v>467</v>
      </c>
      <c r="M61" s="442" t="s">
        <v>475</v>
      </c>
      <c r="N61" s="442"/>
      <c r="O61" s="441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I61" s="292"/>
      <c r="AJ61" s="292"/>
      <c r="AK61" s="292"/>
      <c r="AL61" s="292"/>
      <c r="AM61" s="327"/>
      <c r="AN61" s="292"/>
      <c r="AO61" s="292"/>
      <c r="AP61" s="292"/>
      <c r="AQ61" s="292"/>
      <c r="AR61" s="292"/>
      <c r="AS61" s="292"/>
      <c r="AT61" s="219"/>
      <c r="AU61" s="4"/>
      <c r="AV61" s="219"/>
      <c r="AW61" s="219"/>
      <c r="AX61" s="219"/>
      <c r="AY61" s="219"/>
      <c r="AZ61" s="219"/>
      <c r="BA61" s="219"/>
      <c r="BB61" s="219"/>
    </row>
    <row r="62" spans="1:54" ht="21.6" customHeight="1" x14ac:dyDescent="0.3">
      <c r="F62" s="442"/>
      <c r="G62" s="213"/>
      <c r="I62" s="292"/>
      <c r="J62" s="441"/>
      <c r="K62" s="292"/>
      <c r="L62" s="199"/>
      <c r="M62" s="292" t="s">
        <v>480</v>
      </c>
      <c r="N62" s="292"/>
      <c r="O62" s="441"/>
      <c r="P62" s="292"/>
      <c r="Q62" s="292"/>
      <c r="R62" s="292"/>
      <c r="S62" s="292"/>
      <c r="T62" s="292"/>
      <c r="U62" s="292"/>
      <c r="V62" s="292"/>
      <c r="W62" s="292"/>
      <c r="X62" s="292"/>
      <c r="Y62" s="292"/>
      <c r="Z62" s="292"/>
      <c r="AA62" s="292"/>
      <c r="AB62" s="292"/>
      <c r="AC62" s="292"/>
      <c r="AD62" s="292"/>
      <c r="AE62" s="292"/>
      <c r="AF62" s="292"/>
      <c r="AG62" s="292"/>
      <c r="AI62" s="292"/>
      <c r="AJ62" s="292"/>
      <c r="AK62" s="292"/>
      <c r="AL62" s="292"/>
      <c r="AM62" s="292"/>
      <c r="AN62" s="292"/>
      <c r="AO62" s="292"/>
      <c r="AP62" s="292"/>
      <c r="AQ62" s="292"/>
      <c r="AR62" s="292"/>
      <c r="AS62" s="292"/>
      <c r="AT62" s="219"/>
      <c r="AU62" s="4"/>
      <c r="AV62" s="219"/>
      <c r="AW62" s="219"/>
      <c r="AX62" s="219"/>
      <c r="AY62" s="219"/>
      <c r="AZ62" s="219"/>
      <c r="BA62" s="219"/>
      <c r="BB62" s="219"/>
    </row>
    <row r="63" spans="1:54" ht="31.5" customHeight="1" x14ac:dyDescent="0.3">
      <c r="A63" s="884" t="s">
        <v>331</v>
      </c>
      <c r="B63" s="884"/>
      <c r="C63" s="884"/>
      <c r="D63" s="884"/>
      <c r="E63" s="884"/>
      <c r="H63" s="292"/>
      <c r="I63" s="292"/>
      <c r="J63" s="437"/>
      <c r="M63" s="292" t="s">
        <v>487</v>
      </c>
      <c r="N63" s="292"/>
      <c r="O63" s="292"/>
      <c r="P63" s="292"/>
      <c r="Q63" s="292"/>
      <c r="R63" s="292"/>
      <c r="S63" s="292"/>
      <c r="T63" s="292"/>
      <c r="U63" s="292"/>
      <c r="V63" s="292"/>
      <c r="W63" s="292"/>
      <c r="X63" s="292"/>
      <c r="Y63" s="292"/>
      <c r="Z63" s="292"/>
      <c r="AA63" s="292"/>
      <c r="AB63" s="292"/>
      <c r="AD63" s="327"/>
      <c r="AE63" s="292"/>
      <c r="AF63" s="292"/>
      <c r="AG63" s="292"/>
      <c r="AI63" s="292"/>
      <c r="AJ63" s="292"/>
      <c r="AK63" s="292"/>
      <c r="AL63" s="292"/>
      <c r="AM63" s="327"/>
      <c r="AN63" s="292"/>
      <c r="AO63" s="292"/>
      <c r="AP63" s="292"/>
      <c r="AQ63" s="292"/>
      <c r="AR63" s="292"/>
      <c r="AS63" s="292"/>
      <c r="AT63" s="219"/>
      <c r="AV63" s="219"/>
      <c r="AW63" s="219"/>
      <c r="AX63" s="219"/>
      <c r="AY63" s="219"/>
      <c r="AZ63" s="219"/>
      <c r="BA63" s="219"/>
      <c r="BB63" s="219"/>
    </row>
    <row r="64" spans="1:54" x14ac:dyDescent="0.3">
      <c r="A64" s="648" t="s">
        <v>420</v>
      </c>
      <c r="B64" s="649" t="s">
        <v>421</v>
      </c>
      <c r="C64" s="439"/>
      <c r="F64" s="437"/>
      <c r="J64" s="437"/>
      <c r="K64" s="649"/>
      <c r="M64" s="292"/>
      <c r="N64" s="292"/>
      <c r="O64" s="292"/>
      <c r="P64" s="292"/>
      <c r="Q64" s="292"/>
      <c r="R64" s="292"/>
      <c r="S64" s="292"/>
      <c r="T64" s="292"/>
      <c r="U64" s="292"/>
      <c r="V64" s="292"/>
      <c r="W64" s="292"/>
      <c r="X64" s="292"/>
      <c r="Y64" s="292"/>
      <c r="Z64" s="292"/>
      <c r="AA64" s="292"/>
      <c r="AB64" s="292"/>
      <c r="AD64" s="292"/>
      <c r="AE64" s="292"/>
      <c r="AF64" s="292"/>
      <c r="AG64" s="292"/>
      <c r="AI64" s="292"/>
      <c r="AJ64" s="292"/>
      <c r="AK64" s="292"/>
      <c r="AL64" s="292"/>
      <c r="AM64" s="292"/>
      <c r="AN64" s="292"/>
      <c r="AO64" s="292"/>
      <c r="AP64" s="292"/>
      <c r="AQ64" s="292"/>
      <c r="AR64" s="292"/>
      <c r="AS64" s="292"/>
      <c r="AT64" s="219"/>
      <c r="AV64" s="219"/>
      <c r="AW64" s="219"/>
      <c r="AX64" s="219"/>
      <c r="AY64" s="219"/>
      <c r="AZ64" s="219"/>
      <c r="BA64" s="219"/>
      <c r="BB64" s="219"/>
    </row>
    <row r="65" spans="1:54" x14ac:dyDescent="0.3">
      <c r="A65" s="648" t="s">
        <v>406</v>
      </c>
      <c r="B65" s="439" t="s">
        <v>39</v>
      </c>
      <c r="C65" s="439" t="s">
        <v>40</v>
      </c>
      <c r="E65" s="649"/>
      <c r="F65" s="649"/>
      <c r="G65" s="649"/>
      <c r="H65" s="649"/>
      <c r="I65" s="649"/>
      <c r="J65" s="649"/>
      <c r="K65" s="649"/>
      <c r="L65" s="648"/>
      <c r="M65" s="650"/>
      <c r="N65" s="650"/>
      <c r="O65" s="650"/>
      <c r="P65" s="650"/>
      <c r="Q65" s="650"/>
      <c r="R65" s="650"/>
      <c r="S65" s="650"/>
      <c r="T65" s="650"/>
      <c r="U65" s="650"/>
      <c r="V65" s="650"/>
      <c r="W65" s="650"/>
      <c r="X65" s="650"/>
      <c r="Y65" s="650"/>
      <c r="Z65" s="650"/>
      <c r="AA65" s="650"/>
      <c r="AB65" s="650"/>
      <c r="AC65" s="651"/>
      <c r="AD65" s="650"/>
      <c r="AE65" s="650"/>
      <c r="AF65" s="650"/>
      <c r="AG65" s="650"/>
      <c r="AH65" s="648"/>
      <c r="AI65" s="650"/>
      <c r="AJ65" s="650"/>
      <c r="AK65" s="650"/>
      <c r="AL65" s="650"/>
      <c r="AM65" s="650"/>
      <c r="AN65" s="650"/>
      <c r="AO65" s="650"/>
      <c r="AP65" s="650"/>
      <c r="AQ65" s="650"/>
      <c r="AR65" s="650"/>
      <c r="AS65" s="650"/>
      <c r="AT65" s="652"/>
      <c r="AU65" s="648"/>
      <c r="AV65" s="652"/>
      <c r="AW65" s="652"/>
      <c r="AX65" s="652"/>
      <c r="AY65" s="652"/>
      <c r="AZ65" s="652"/>
      <c r="BA65" s="652"/>
      <c r="BB65" s="652"/>
    </row>
    <row r="66" spans="1:54" s="213" customFormat="1" x14ac:dyDescent="0.3">
      <c r="A66" s="484" t="s">
        <v>407</v>
      </c>
      <c r="B66" s="439">
        <v>6841.6500000000005</v>
      </c>
      <c r="C66" s="439">
        <v>5701.8000000000011</v>
      </c>
      <c r="D66"/>
      <c r="E66" s="439"/>
      <c r="F66" s="439"/>
      <c r="G66" s="439"/>
      <c r="H66" s="439"/>
      <c r="I66" s="439"/>
      <c r="J66" s="439"/>
      <c r="K66" s="439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/>
      <c r="AD66" s="327"/>
      <c r="AE66" s="327"/>
      <c r="AF66" s="327"/>
      <c r="AG66" s="327"/>
      <c r="AH66"/>
      <c r="AI66" s="327"/>
      <c r="AJ66" s="327"/>
      <c r="AK66" s="327"/>
      <c r="AL66" s="327"/>
      <c r="AM66" s="327"/>
      <c r="AN66" s="327"/>
      <c r="AO66" s="327"/>
      <c r="AP66" s="327"/>
      <c r="AQ66" s="327"/>
      <c r="AR66" s="327"/>
      <c r="AS66" s="327"/>
      <c r="AT66" s="328"/>
      <c r="AV66" s="328"/>
      <c r="AW66" s="328"/>
      <c r="AX66" s="328"/>
      <c r="AY66" s="328"/>
      <c r="AZ66" s="328"/>
      <c r="BA66" s="328"/>
      <c r="BB66" s="328"/>
    </row>
    <row r="67" spans="1:54" x14ac:dyDescent="0.3">
      <c r="A67" s="484" t="s">
        <v>422</v>
      </c>
      <c r="B67" s="439">
        <v>7725</v>
      </c>
      <c r="C67" s="439">
        <v>3190</v>
      </c>
      <c r="E67" s="439"/>
      <c r="F67" s="439"/>
      <c r="G67" s="439"/>
      <c r="H67" s="439"/>
      <c r="I67" s="439"/>
      <c r="J67" s="439"/>
      <c r="K67" s="439"/>
      <c r="M67" s="292"/>
      <c r="N67" s="292"/>
      <c r="O67" s="292"/>
      <c r="P67" s="292"/>
      <c r="Q67" s="292"/>
      <c r="R67" s="292"/>
      <c r="S67" s="292"/>
      <c r="T67" s="292"/>
      <c r="U67" s="292"/>
      <c r="V67" s="292"/>
      <c r="W67" s="292"/>
      <c r="X67" s="292"/>
      <c r="Y67" s="292"/>
      <c r="Z67" s="292"/>
      <c r="AA67" s="292"/>
      <c r="AB67" s="292"/>
      <c r="AD67" s="292"/>
      <c r="AE67" s="292"/>
      <c r="AF67" s="292"/>
      <c r="AG67" s="292"/>
      <c r="AI67" s="292"/>
      <c r="AJ67" s="292"/>
      <c r="AK67" s="292"/>
      <c r="AL67" s="292"/>
      <c r="AM67" s="292"/>
      <c r="AN67" s="292"/>
      <c r="AO67" s="292"/>
      <c r="AP67" s="292"/>
      <c r="AQ67" s="292"/>
      <c r="AR67" s="292"/>
      <c r="AS67" s="292"/>
      <c r="AT67" s="219"/>
      <c r="AV67" s="219"/>
      <c r="AW67" s="219"/>
      <c r="AX67" s="219"/>
      <c r="AY67" s="219"/>
      <c r="AZ67" s="219"/>
      <c r="BA67" s="219"/>
      <c r="BB67" s="219"/>
    </row>
    <row r="68" spans="1:54" x14ac:dyDescent="0.3">
      <c r="A68" s="484" t="s">
        <v>423</v>
      </c>
      <c r="B68" s="439">
        <v>7080</v>
      </c>
      <c r="C68" s="439">
        <v>20947.600000000002</v>
      </c>
      <c r="E68" s="439"/>
      <c r="F68" s="439"/>
      <c r="G68" s="439"/>
      <c r="H68" s="439"/>
      <c r="I68" s="439"/>
      <c r="J68" s="439"/>
      <c r="K68" s="439"/>
      <c r="M68" s="292"/>
      <c r="N68" s="292"/>
      <c r="O68" s="292"/>
      <c r="P68" s="292"/>
      <c r="Q68" s="292"/>
      <c r="R68" s="292"/>
      <c r="S68" s="292"/>
      <c r="T68" s="292"/>
      <c r="U68" s="292"/>
      <c r="V68" s="292"/>
      <c r="W68" s="292"/>
      <c r="X68" s="292"/>
      <c r="Y68" s="292"/>
      <c r="Z68" s="292"/>
      <c r="AA68" s="292"/>
      <c r="AB68" s="292"/>
      <c r="AD68" s="292"/>
      <c r="AE68" s="292"/>
      <c r="AF68" s="292"/>
      <c r="AG68" s="292"/>
      <c r="AI68" s="292"/>
      <c r="AJ68" s="292"/>
      <c r="AK68" s="292"/>
      <c r="AL68" s="292"/>
      <c r="AM68" s="292"/>
      <c r="AN68" s="292"/>
      <c r="AO68" s="292"/>
      <c r="AP68" s="292"/>
      <c r="AQ68" s="292"/>
      <c r="AR68" s="292"/>
      <c r="AS68" s="292"/>
      <c r="AT68" s="219"/>
    </row>
    <row r="69" spans="1:54" x14ac:dyDescent="0.3">
      <c r="A69" s="484" t="s">
        <v>424</v>
      </c>
      <c r="B69" s="439">
        <v>10972</v>
      </c>
      <c r="C69" s="439">
        <v>4179</v>
      </c>
      <c r="E69" s="439"/>
      <c r="F69" s="439"/>
      <c r="G69" s="439"/>
      <c r="H69" s="439"/>
      <c r="I69" s="439"/>
      <c r="J69" s="439"/>
      <c r="K69" s="439"/>
      <c r="AT69" s="219"/>
    </row>
    <row r="70" spans="1:54" x14ac:dyDescent="0.3">
      <c r="A70" s="484" t="s">
        <v>482</v>
      </c>
      <c r="B70" s="439">
        <v>437</v>
      </c>
      <c r="C70" s="439">
        <v>8941.5499999999993</v>
      </c>
      <c r="E70" s="439"/>
      <c r="F70" s="439"/>
      <c r="G70" s="439"/>
      <c r="H70" s="439"/>
      <c r="I70" s="439"/>
      <c r="J70" s="439"/>
      <c r="K70" s="439"/>
      <c r="AT70" s="219"/>
    </row>
    <row r="71" spans="1:54" x14ac:dyDescent="0.3">
      <c r="A71" s="484" t="s">
        <v>425</v>
      </c>
      <c r="B71" s="439"/>
      <c r="C71" s="439">
        <v>62251</v>
      </c>
      <c r="E71" s="439"/>
      <c r="F71" s="439"/>
      <c r="G71" s="439"/>
      <c r="H71" s="439"/>
      <c r="I71" s="439"/>
      <c r="J71" s="439"/>
      <c r="K71" s="439"/>
      <c r="AT71" s="219"/>
    </row>
    <row r="72" spans="1:54" x14ac:dyDescent="0.3">
      <c r="A72" s="484" t="s">
        <v>483</v>
      </c>
      <c r="B72" s="439">
        <v>18241</v>
      </c>
      <c r="C72" s="439"/>
      <c r="E72" s="439"/>
      <c r="F72" s="439"/>
      <c r="G72" s="439"/>
      <c r="H72" s="439"/>
      <c r="I72" s="439"/>
      <c r="J72" s="439"/>
      <c r="K72" s="439"/>
      <c r="AT72" s="219"/>
    </row>
    <row r="73" spans="1:54" x14ac:dyDescent="0.3">
      <c r="A73" s="484" t="s">
        <v>649</v>
      </c>
      <c r="B73" s="439">
        <v>0</v>
      </c>
      <c r="C73" s="439">
        <v>32943</v>
      </c>
      <c r="E73" s="439"/>
      <c r="F73" s="439"/>
      <c r="G73" s="439"/>
      <c r="H73" s="439"/>
      <c r="I73" s="439"/>
      <c r="J73" s="439"/>
      <c r="K73" s="439"/>
      <c r="AT73" s="219"/>
    </row>
    <row r="74" spans="1:54" x14ac:dyDescent="0.3">
      <c r="A74" s="484" t="s">
        <v>650</v>
      </c>
      <c r="B74" s="439">
        <v>642</v>
      </c>
      <c r="C74" s="439">
        <v>51600</v>
      </c>
      <c r="E74" s="439"/>
      <c r="F74" s="439"/>
      <c r="G74" s="439"/>
      <c r="H74" s="439"/>
      <c r="I74" s="439"/>
      <c r="J74" s="439"/>
      <c r="K74" s="439"/>
      <c r="AT74" s="219"/>
    </row>
    <row r="75" spans="1:54" x14ac:dyDescent="0.3">
      <c r="A75" s="484" t="s">
        <v>651</v>
      </c>
      <c r="B75" s="439"/>
      <c r="C75" s="439">
        <v>9211.68</v>
      </c>
      <c r="E75" s="439"/>
      <c r="F75" s="439"/>
      <c r="G75" s="439"/>
      <c r="H75" s="439"/>
      <c r="I75" s="439"/>
      <c r="J75" s="439"/>
      <c r="K75" s="439"/>
    </row>
    <row r="76" spans="1:54" x14ac:dyDescent="0.3">
      <c r="A76" s="484"/>
      <c r="B76" s="439"/>
      <c r="C76" s="439"/>
      <c r="D76" s="439"/>
      <c r="E76" s="439"/>
      <c r="F76" s="439"/>
      <c r="G76" s="439"/>
      <c r="H76" s="439"/>
      <c r="I76" s="439"/>
      <c r="J76" s="439"/>
    </row>
    <row r="101" spans="3:34" x14ac:dyDescent="0.3">
      <c r="E101" s="105" t="s">
        <v>261</v>
      </c>
    </row>
    <row r="102" spans="3:34" x14ac:dyDescent="0.3">
      <c r="C102" s="14"/>
      <c r="D102" s="14">
        <v>2020</v>
      </c>
      <c r="E102" s="73">
        <f>D103/12</f>
        <v>287641.58333333331</v>
      </c>
    </row>
    <row r="103" spans="3:34" x14ac:dyDescent="0.3">
      <c r="C103" t="s">
        <v>259</v>
      </c>
      <c r="D103" s="18">
        <f>[2]ASI!$O$21</f>
        <v>3451699</v>
      </c>
      <c r="E103" s="74">
        <f>D104/12</f>
        <v>108551.33333333333</v>
      </c>
    </row>
    <row r="104" spans="3:34" x14ac:dyDescent="0.3">
      <c r="C104" s="14" t="s">
        <v>260</v>
      </c>
      <c r="D104" s="31">
        <f>[2]AB!$O$21</f>
        <v>1302616</v>
      </c>
      <c r="E104" s="73">
        <f>D105/12</f>
        <v>396192.91666666669</v>
      </c>
    </row>
    <row r="105" spans="3:34" x14ac:dyDescent="0.3">
      <c r="C105" t="s">
        <v>23</v>
      </c>
      <c r="D105" s="18">
        <f>D103+D104</f>
        <v>4754315</v>
      </c>
      <c r="G105" s="258" t="s">
        <v>40</v>
      </c>
    </row>
    <row r="106" spans="3:34" x14ac:dyDescent="0.3">
      <c r="G106" s="115">
        <f>SUM(P51:S51)</f>
        <v>190368</v>
      </c>
      <c r="AH106" s="258"/>
    </row>
    <row r="107" spans="3:34" x14ac:dyDescent="0.3">
      <c r="G107" s="115">
        <f>SUM(P66:S66)</f>
        <v>0</v>
      </c>
    </row>
    <row r="108" spans="3:34" x14ac:dyDescent="0.3">
      <c r="E108" t="s">
        <v>38</v>
      </c>
      <c r="G108" s="73">
        <f t="shared" ref="F108:O112" si="19">$E$104</f>
        <v>396192.91666666669</v>
      </c>
      <c r="K108" s="258" t="s">
        <v>44</v>
      </c>
    </row>
    <row r="109" spans="3:34" x14ac:dyDescent="0.3">
      <c r="D109" t="s">
        <v>37</v>
      </c>
      <c r="E109" s="115">
        <f>SUM(H51:K51)</f>
        <v>62127</v>
      </c>
      <c r="F109" s="258" t="s">
        <v>39</v>
      </c>
      <c r="H109" s="258" t="s">
        <v>41</v>
      </c>
      <c r="I109" s="258" t="s">
        <v>42</v>
      </c>
      <c r="J109" s="258" t="s">
        <v>43</v>
      </c>
      <c r="K109" s="115">
        <f>SUM(AH51:AK51)</f>
        <v>0</v>
      </c>
      <c r="L109" s="258" t="s">
        <v>45</v>
      </c>
      <c r="M109" s="258" t="s">
        <v>46</v>
      </c>
      <c r="N109" s="258" t="s">
        <v>47</v>
      </c>
      <c r="O109" s="258" t="s">
        <v>48</v>
      </c>
    </row>
    <row r="110" spans="3:34" x14ac:dyDescent="0.3">
      <c r="C110" s="260" t="s">
        <v>258</v>
      </c>
      <c r="D110" s="73">
        <f>SUM(C51:G51)</f>
        <v>374731</v>
      </c>
      <c r="E110" s="115">
        <f>SUM(H66:K66)</f>
        <v>0</v>
      </c>
      <c r="F110" s="115">
        <f>SUM(L51:O51)</f>
        <v>369634</v>
      </c>
      <c r="G110" s="258"/>
      <c r="H110" s="115">
        <f>SUM(T51:X51)</f>
        <v>0</v>
      </c>
      <c r="I110" s="115">
        <f>SUM(Y51:AB51)</f>
        <v>0</v>
      </c>
      <c r="J110" s="115">
        <f>SUM(AC51:AG51)</f>
        <v>0</v>
      </c>
      <c r="K110" s="115">
        <f>SUM(AH66:AK66)</f>
        <v>0</v>
      </c>
    </row>
    <row r="111" spans="3:34" x14ac:dyDescent="0.3">
      <c r="C111" s="350" t="s">
        <v>252</v>
      </c>
      <c r="D111" s="73">
        <f>SUM(C66:G66)</f>
        <v>5701.8000000000011</v>
      </c>
      <c r="E111" s="73">
        <f>$E$104</f>
        <v>396192.91666666669</v>
      </c>
      <c r="F111" s="115">
        <f>SUM(L66:O66)</f>
        <v>0</v>
      </c>
      <c r="G111" s="115">
        <f>G106+F115</f>
        <v>996860</v>
      </c>
      <c r="H111" s="115">
        <f>SUM(T66:X66)</f>
        <v>0</v>
      </c>
      <c r="I111" s="115">
        <f>SUM(Y66:AB66)</f>
        <v>0</v>
      </c>
      <c r="J111" s="115">
        <f>SUM(AC66:AG66)</f>
        <v>0</v>
      </c>
      <c r="K111" s="73">
        <f t="shared" si="19"/>
        <v>396192.91666666669</v>
      </c>
    </row>
    <row r="112" spans="3:34" x14ac:dyDescent="0.3">
      <c r="C112" t="s">
        <v>262</v>
      </c>
      <c r="D112" s="73">
        <f>$E$104</f>
        <v>396192.91666666669</v>
      </c>
      <c r="F112" s="73">
        <f t="shared" si="19"/>
        <v>396192.91666666669</v>
      </c>
      <c r="G112" s="115">
        <f>G107+F116</f>
        <v>5701.8000000000011</v>
      </c>
      <c r="H112" s="73">
        <f t="shared" si="19"/>
        <v>396192.91666666669</v>
      </c>
      <c r="I112" s="73">
        <f t="shared" si="19"/>
        <v>396192.91666666669</v>
      </c>
      <c r="J112" s="73">
        <f t="shared" si="19"/>
        <v>396192.91666666669</v>
      </c>
      <c r="L112" s="73">
        <f t="shared" si="19"/>
        <v>396192.91666666669</v>
      </c>
      <c r="M112" s="73">
        <f t="shared" si="19"/>
        <v>396192.91666666669</v>
      </c>
      <c r="N112" s="73">
        <f t="shared" si="19"/>
        <v>396192.91666666669</v>
      </c>
      <c r="O112" s="73">
        <f t="shared" si="19"/>
        <v>396192.91666666669</v>
      </c>
    </row>
    <row r="113" spans="1:34" x14ac:dyDescent="0.3">
      <c r="E113" s="258"/>
      <c r="G113" s="115">
        <f>G108+F117</f>
        <v>1584771.6666666667</v>
      </c>
      <c r="K113" s="258"/>
      <c r="AC113" s="258"/>
    </row>
    <row r="114" spans="1:34" s="258" customFormat="1" x14ac:dyDescent="0.3">
      <c r="B114" s="260"/>
      <c r="C114" s="9" t="s">
        <v>264</v>
      </c>
      <c r="E114" s="115">
        <f>E109+D115</f>
        <v>436858</v>
      </c>
      <c r="G114"/>
      <c r="K114" s="115">
        <f>K109+J115</f>
        <v>996860</v>
      </c>
      <c r="L114" s="18">
        <f>[3]ASie!$O$40+[3]ABal!$O$40</f>
        <v>482000</v>
      </c>
      <c r="M114" s="18">
        <f>[3]ASie!$S$40+[3]ABal!$S$40</f>
        <v>714000</v>
      </c>
      <c r="N114" s="18">
        <f>[3]ASie!$W$40+[3]ABal!$W$40</f>
        <v>754000</v>
      </c>
      <c r="O114" s="18"/>
      <c r="AC114"/>
      <c r="AH114"/>
    </row>
    <row r="115" spans="1:34" x14ac:dyDescent="0.3">
      <c r="C115" s="9" t="s">
        <v>265</v>
      </c>
      <c r="D115" s="73">
        <f>D110</f>
        <v>374731</v>
      </c>
      <c r="E115" s="115">
        <f>E110+D116</f>
        <v>5701.8000000000011</v>
      </c>
      <c r="F115" s="115">
        <f>F110+E114</f>
        <v>806492</v>
      </c>
      <c r="H115" s="115">
        <f>H110+G111</f>
        <v>996860</v>
      </c>
      <c r="I115" s="115">
        <f t="shared" ref="I115:J115" si="20">I110+H115</f>
        <v>996860</v>
      </c>
      <c r="J115" s="115">
        <f t="shared" si="20"/>
        <v>996860</v>
      </c>
      <c r="K115" s="115">
        <f>K110+J116</f>
        <v>5701.8000000000011</v>
      </c>
      <c r="L115" s="115">
        <f>L110+K114+L114</f>
        <v>1478860</v>
      </c>
      <c r="M115" s="115">
        <f t="shared" ref="M115:O115" si="21">M110+L115+M114</f>
        <v>2192860</v>
      </c>
      <c r="N115" s="115">
        <f t="shared" si="21"/>
        <v>2946860</v>
      </c>
      <c r="O115" s="115">
        <f t="shared" si="21"/>
        <v>2946860</v>
      </c>
    </row>
    <row r="116" spans="1:34" x14ac:dyDescent="0.3">
      <c r="C116" s="9" t="s">
        <v>263</v>
      </c>
      <c r="D116" s="73">
        <f t="shared" ref="D116:D117" si="22">D111</f>
        <v>5701.8000000000011</v>
      </c>
      <c r="E116" s="115">
        <f>E111+D117</f>
        <v>792385.83333333337</v>
      </c>
      <c r="F116" s="115">
        <f>F111+E115</f>
        <v>5701.8000000000011</v>
      </c>
      <c r="H116" s="115">
        <f>H111+G112</f>
        <v>5701.8000000000011</v>
      </c>
      <c r="I116" s="115">
        <f t="shared" ref="I116:O116" si="23">I111+H116</f>
        <v>5701.8000000000011</v>
      </c>
      <c r="J116" s="115">
        <f t="shared" si="23"/>
        <v>5701.8000000000011</v>
      </c>
      <c r="K116" s="115">
        <f>K111+J117</f>
        <v>3169543.333333333</v>
      </c>
      <c r="L116" s="115">
        <f>L111+K115</f>
        <v>5701.8000000000011</v>
      </c>
      <c r="M116" s="115">
        <f t="shared" si="23"/>
        <v>5701.8000000000011</v>
      </c>
      <c r="N116" s="115">
        <f t="shared" si="23"/>
        <v>5701.8000000000011</v>
      </c>
      <c r="O116" s="115">
        <f t="shared" si="23"/>
        <v>5701.8000000000011</v>
      </c>
    </row>
    <row r="117" spans="1:34" x14ac:dyDescent="0.3">
      <c r="C117" s="9" t="s">
        <v>266</v>
      </c>
      <c r="D117" s="73">
        <f t="shared" si="22"/>
        <v>396192.91666666669</v>
      </c>
      <c r="F117" s="115">
        <f>F112+E116</f>
        <v>1188578.75</v>
      </c>
      <c r="H117" s="115">
        <f>H112+G113</f>
        <v>1980964.5833333335</v>
      </c>
      <c r="I117" s="115">
        <f t="shared" ref="I117:O117" si="24">I112+H117</f>
        <v>2377157.5</v>
      </c>
      <c r="J117" s="115">
        <f t="shared" si="24"/>
        <v>2773350.4166666665</v>
      </c>
      <c r="L117" s="115">
        <f>L112+K116</f>
        <v>3565736.2499999995</v>
      </c>
      <c r="M117" s="115">
        <f t="shared" si="24"/>
        <v>3961929.166666666</v>
      </c>
      <c r="N117" s="115">
        <f t="shared" si="24"/>
        <v>4358122.083333333</v>
      </c>
      <c r="O117" s="115">
        <f t="shared" si="24"/>
        <v>4754315</v>
      </c>
    </row>
    <row r="121" spans="1:34" x14ac:dyDescent="0.3">
      <c r="A121" s="355" t="s">
        <v>268</v>
      </c>
      <c r="B121" s="356" t="s">
        <v>267</v>
      </c>
      <c r="C121" s="355" t="s">
        <v>289</v>
      </c>
      <c r="E121" t="s">
        <v>294</v>
      </c>
    </row>
    <row r="122" spans="1:34" x14ac:dyDescent="0.3">
      <c r="A122" s="55" t="s">
        <v>269</v>
      </c>
      <c r="B122" s="260" t="s">
        <v>270</v>
      </c>
      <c r="C122" s="352">
        <v>805418</v>
      </c>
      <c r="E122" t="s">
        <v>171</v>
      </c>
      <c r="F122" s="360">
        <f>C122+C123</f>
        <v>823623</v>
      </c>
    </row>
    <row r="123" spans="1:34" x14ac:dyDescent="0.3">
      <c r="A123" s="55" t="s">
        <v>271</v>
      </c>
      <c r="B123" s="260" t="s">
        <v>272</v>
      </c>
      <c r="C123" s="352">
        <v>18205</v>
      </c>
      <c r="E123" t="s">
        <v>173</v>
      </c>
      <c r="F123" s="360">
        <f>C132</f>
        <v>3602505</v>
      </c>
      <c r="AH123" s="258"/>
    </row>
    <row r="124" spans="1:34" x14ac:dyDescent="0.3">
      <c r="A124" s="354" t="s">
        <v>273</v>
      </c>
      <c r="B124" s="351" t="s">
        <v>274</v>
      </c>
      <c r="C124" s="353">
        <v>190261</v>
      </c>
      <c r="E124" t="s">
        <v>297</v>
      </c>
      <c r="F124" s="360">
        <f>C133</f>
        <v>64424</v>
      </c>
    </row>
    <row r="125" spans="1:34" x14ac:dyDescent="0.3">
      <c r="A125" s="20"/>
      <c r="B125" s="351" t="s">
        <v>275</v>
      </c>
      <c r="C125" s="353">
        <v>199752</v>
      </c>
      <c r="E125" t="s">
        <v>283</v>
      </c>
      <c r="F125" s="360">
        <f>C136</f>
        <v>705800</v>
      </c>
      <c r="AH125" s="258"/>
    </row>
    <row r="126" spans="1:34" x14ac:dyDescent="0.3">
      <c r="A126" s="20"/>
      <c r="B126" s="351" t="s">
        <v>276</v>
      </c>
      <c r="C126" s="353">
        <v>1441235</v>
      </c>
      <c r="E126" t="s">
        <v>296</v>
      </c>
      <c r="F126" s="360">
        <f>C140</f>
        <v>60838</v>
      </c>
    </row>
    <row r="127" spans="1:34" x14ac:dyDescent="0.3">
      <c r="A127" s="20"/>
      <c r="B127" s="351" t="s">
        <v>298</v>
      </c>
      <c r="C127" s="353">
        <v>1216830</v>
      </c>
      <c r="E127" t="s">
        <v>295</v>
      </c>
      <c r="F127" s="360">
        <f>C141</f>
        <v>319161</v>
      </c>
      <c r="G127" s="258"/>
    </row>
    <row r="128" spans="1:34" x14ac:dyDescent="0.3">
      <c r="A128" s="20"/>
      <c r="B128" s="351" t="s">
        <v>277</v>
      </c>
      <c r="C128" s="353">
        <v>466</v>
      </c>
      <c r="F128" s="360">
        <f>C144</f>
        <v>550320</v>
      </c>
    </row>
    <row r="129" spans="1:34" x14ac:dyDescent="0.3">
      <c r="A129" s="20"/>
      <c r="B129" s="351" t="s">
        <v>278</v>
      </c>
      <c r="C129" s="353">
        <v>158077</v>
      </c>
      <c r="G129" s="258"/>
    </row>
    <row r="130" spans="1:34" x14ac:dyDescent="0.3">
      <c r="A130" s="20"/>
      <c r="B130" s="351" t="s">
        <v>279</v>
      </c>
      <c r="C130" s="353">
        <v>344920</v>
      </c>
      <c r="E130" s="258"/>
      <c r="K130" s="258"/>
      <c r="AC130" s="258"/>
      <c r="AH130" s="258"/>
    </row>
    <row r="131" spans="1:34" s="258" customFormat="1" x14ac:dyDescent="0.3">
      <c r="A131" s="20"/>
      <c r="B131" s="351" t="s">
        <v>173</v>
      </c>
      <c r="C131" s="353">
        <v>50962</v>
      </c>
      <c r="E131"/>
      <c r="G131"/>
      <c r="K131"/>
      <c r="AC131"/>
    </row>
    <row r="132" spans="1:34" x14ac:dyDescent="0.3">
      <c r="A132" s="357" t="s">
        <v>273</v>
      </c>
      <c r="B132" s="289" t="s">
        <v>254</v>
      </c>
      <c r="C132" s="358">
        <v>3602505</v>
      </c>
      <c r="E132" s="258"/>
      <c r="K132" s="258"/>
      <c r="AC132" s="258"/>
      <c r="AH132" s="258"/>
    </row>
    <row r="133" spans="1:34" s="258" customFormat="1" x14ac:dyDescent="0.3">
      <c r="A133" s="357" t="s">
        <v>290</v>
      </c>
      <c r="B133" s="289" t="s">
        <v>173</v>
      </c>
      <c r="C133" s="352">
        <v>64424</v>
      </c>
      <c r="E133"/>
      <c r="G133"/>
      <c r="K133"/>
      <c r="AC133"/>
      <c r="AH133"/>
    </row>
    <row r="134" spans="1:34" x14ac:dyDescent="0.3">
      <c r="A134" s="354" t="s">
        <v>280</v>
      </c>
      <c r="B134" s="351" t="s">
        <v>281</v>
      </c>
      <c r="C134" s="353">
        <v>284988</v>
      </c>
      <c r="G134" s="258"/>
    </row>
    <row r="135" spans="1:34" x14ac:dyDescent="0.3">
      <c r="A135" s="20"/>
      <c r="B135" s="351" t="s">
        <v>282</v>
      </c>
      <c r="C135" s="353">
        <v>420812</v>
      </c>
      <c r="G135" s="258"/>
    </row>
    <row r="136" spans="1:34" x14ac:dyDescent="0.3">
      <c r="A136" s="55" t="s">
        <v>280</v>
      </c>
      <c r="C136" s="358">
        <v>705800</v>
      </c>
      <c r="G136" s="258"/>
    </row>
    <row r="137" spans="1:34" x14ac:dyDescent="0.3">
      <c r="A137" s="354" t="s">
        <v>283</v>
      </c>
      <c r="B137" s="65" t="s">
        <v>291</v>
      </c>
      <c r="C137" s="353">
        <v>5635</v>
      </c>
      <c r="E137" s="258"/>
      <c r="K137" s="258"/>
      <c r="AC137" s="258"/>
    </row>
    <row r="138" spans="1:34" s="258" customFormat="1" x14ac:dyDescent="0.3">
      <c r="A138" s="20"/>
      <c r="B138" s="65" t="s">
        <v>292</v>
      </c>
      <c r="C138" s="353">
        <v>3486</v>
      </c>
      <c r="G138"/>
      <c r="AH138"/>
    </row>
    <row r="139" spans="1:34" s="258" customFormat="1" x14ac:dyDescent="0.3">
      <c r="A139" s="20"/>
      <c r="B139" s="65" t="s">
        <v>293</v>
      </c>
      <c r="C139" s="353">
        <v>51717</v>
      </c>
      <c r="G139"/>
      <c r="AH139"/>
    </row>
    <row r="140" spans="1:34" s="258" customFormat="1" x14ac:dyDescent="0.3">
      <c r="A140" s="55" t="s">
        <v>283</v>
      </c>
      <c r="B140" s="260" t="s">
        <v>254</v>
      </c>
      <c r="C140" s="352">
        <v>60838</v>
      </c>
      <c r="E140"/>
      <c r="G140"/>
      <c r="K140"/>
      <c r="AC140"/>
      <c r="AH140"/>
    </row>
    <row r="141" spans="1:34" x14ac:dyDescent="0.3">
      <c r="A141" s="55" t="s">
        <v>284</v>
      </c>
      <c r="B141" s="4" t="s">
        <v>285</v>
      </c>
      <c r="C141" s="358">
        <v>319161</v>
      </c>
    </row>
    <row r="142" spans="1:34" x14ac:dyDescent="0.3">
      <c r="A142" s="354" t="s">
        <v>286</v>
      </c>
      <c r="B142" s="351" t="s">
        <v>287</v>
      </c>
      <c r="C142" s="353">
        <v>282642</v>
      </c>
    </row>
    <row r="143" spans="1:34" x14ac:dyDescent="0.3">
      <c r="A143" s="20"/>
      <c r="B143" s="351" t="s">
        <v>288</v>
      </c>
      <c r="C143" s="353">
        <v>267677</v>
      </c>
    </row>
    <row r="144" spans="1:34" x14ac:dyDescent="0.3">
      <c r="A144" s="169" t="s">
        <v>286</v>
      </c>
      <c r="B144" s="179" t="s">
        <v>254</v>
      </c>
      <c r="C144" s="359">
        <v>550320</v>
      </c>
    </row>
    <row r="145" spans="1:3" x14ac:dyDescent="0.3">
      <c r="A145" s="55" t="s">
        <v>257</v>
      </c>
      <c r="C145" s="352">
        <v>6126675</v>
      </c>
    </row>
  </sheetData>
  <mergeCells count="3">
    <mergeCell ref="A18:A20"/>
    <mergeCell ref="A15:A17"/>
    <mergeCell ref="A63:E63"/>
  </mergeCells>
  <conditionalFormatting sqref="C3:BB3">
    <cfRule type="expression" dxfId="386" priority="255">
      <formula>VALUE(RIGHT(C$3,2))=VALUE(WEEKNUM(TODAY(),21))</formula>
    </cfRule>
  </conditionalFormatting>
  <conditionalFormatting sqref="F27:F28 A43 F43">
    <cfRule type="expression" dxfId="385" priority="210">
      <formula>AND(YEAR(#REF!)=YEAR(TODAY()),MONTH(#REF!)=MONTH(245))</formula>
    </cfRule>
  </conditionalFormatting>
  <conditionalFormatting sqref="F27:F28 A43 F43">
    <cfRule type="expression" dxfId="384" priority="207">
      <formula>AND(YEAR(#REF!)=YEAR(TODAY()),MONTH(#REF!)=MONTH(336))</formula>
    </cfRule>
  </conditionalFormatting>
  <conditionalFormatting sqref="F27:F28 A43 F43">
    <cfRule type="expression" dxfId="383" priority="208">
      <formula>AND(YEAR(#REF!)=YEAR(TODAY()),MONTH(#REF!)=MONTH(306))</formula>
    </cfRule>
    <cfRule type="expression" dxfId="382" priority="209">
      <formula>AND(YEAR(#REF!)=YEAR(TODAY()),MONTH(#REF!)=MONTH(275))</formula>
    </cfRule>
    <cfRule type="expression" dxfId="381" priority="211">
      <formula>AND(YEAR(#REF!)=YEAR(TODAY()),MONTH(#REF!)=MONTH(214))</formula>
    </cfRule>
    <cfRule type="expression" dxfId="380" priority="212">
      <formula>AND(YEAR(#REF!)=YEAR(TODAY()),MONTH(#REF!)=MONTH(183))</formula>
    </cfRule>
    <cfRule type="expression" dxfId="379" priority="213">
      <formula>AND(YEAR(#REF!)=YEAR(TODAY()),MONTH(#REF!)=MONTH(180))</formula>
    </cfRule>
    <cfRule type="expression" dxfId="378" priority="214">
      <formula>AND(YEAR(#REF!)=YEAR(TODAY()),MONTH(#REF!)=MONTH(98))</formula>
    </cfRule>
    <cfRule type="expression" dxfId="377" priority="215">
      <formula>AND(YEAR(#REF!)=YEAR(TODAY()),MONTH(#REF!)=MONTH(150))</formula>
    </cfRule>
    <cfRule type="expression" dxfId="376" priority="216">
      <formula>AND(YEAR(#REF!)=YEAR(TODAY()),MONTH(#REF!)=MONTH(25))</formula>
    </cfRule>
    <cfRule type="expression" dxfId="375" priority="217">
      <formula>AND(YEAR(#REF!)=YEAR(TODAY()),MONTH(#REF!)=MONTH(43145))</formula>
    </cfRule>
    <cfRule type="expression" dxfId="374" priority="218">
      <formula>AND(YEAR(#REF!)=YEAR(TODAY()),MONTH(#REF!)=MONTH(43185))</formula>
    </cfRule>
  </conditionalFormatting>
  <conditionalFormatting sqref="G43">
    <cfRule type="expression" dxfId="373" priority="198">
      <formula>AND(YEAR(#REF!)=YEAR(TODAY()),MONTH(#REF!)=MONTH(245))</formula>
    </cfRule>
  </conditionalFormatting>
  <conditionalFormatting sqref="G43">
    <cfRule type="expression" dxfId="372" priority="195">
      <formula>AND(YEAR(#REF!)=YEAR(TODAY()),MONTH(#REF!)=MONTH(336))</formula>
    </cfRule>
  </conditionalFormatting>
  <conditionalFormatting sqref="G43">
    <cfRule type="expression" dxfId="371" priority="196">
      <formula>AND(YEAR(#REF!)=YEAR(TODAY()),MONTH(#REF!)=MONTH(306))</formula>
    </cfRule>
    <cfRule type="expression" dxfId="370" priority="197">
      <formula>AND(YEAR(#REF!)=YEAR(TODAY()),MONTH(#REF!)=MONTH(275))</formula>
    </cfRule>
    <cfRule type="expression" dxfId="369" priority="199">
      <formula>AND(YEAR(#REF!)=YEAR(TODAY()),MONTH(#REF!)=MONTH(214))</formula>
    </cfRule>
    <cfRule type="expression" dxfId="368" priority="200">
      <formula>AND(YEAR(#REF!)=YEAR(TODAY()),MONTH(#REF!)=MONTH(183))</formula>
    </cfRule>
    <cfRule type="expression" dxfId="367" priority="201">
      <formula>AND(YEAR(#REF!)=YEAR(TODAY()),MONTH(#REF!)=MONTH(180))</formula>
    </cfRule>
    <cfRule type="expression" dxfId="366" priority="202">
      <formula>AND(YEAR(#REF!)=YEAR(TODAY()),MONTH(#REF!)=MONTH(98))</formula>
    </cfRule>
    <cfRule type="expression" dxfId="365" priority="203">
      <formula>AND(YEAR(#REF!)=YEAR(TODAY()),MONTH(#REF!)=MONTH(150))</formula>
    </cfRule>
    <cfRule type="expression" dxfId="364" priority="204">
      <formula>AND(YEAR(#REF!)=YEAR(TODAY()),MONTH(#REF!)=MONTH(25))</formula>
    </cfRule>
    <cfRule type="expression" dxfId="363" priority="205">
      <formula>AND(YEAR(#REF!)=YEAR(TODAY()),MONTH(#REF!)=MONTH(43145))</formula>
    </cfRule>
    <cfRule type="expression" dxfId="362" priority="206">
      <formula>AND(YEAR(#REF!)=YEAR(TODAY()),MONTH(#REF!)=MONTH(43185))</formula>
    </cfRule>
  </conditionalFormatting>
  <conditionalFormatting sqref="H43">
    <cfRule type="expression" dxfId="361" priority="186">
      <formula>AND(YEAR(#REF!)=YEAR(TODAY()),MONTH(#REF!)=MONTH(245))</formula>
    </cfRule>
  </conditionalFormatting>
  <conditionalFormatting sqref="H43">
    <cfRule type="expression" dxfId="360" priority="183">
      <formula>AND(YEAR(#REF!)=YEAR(TODAY()),MONTH(#REF!)=MONTH(336))</formula>
    </cfRule>
  </conditionalFormatting>
  <conditionalFormatting sqref="H43">
    <cfRule type="expression" dxfId="359" priority="184">
      <formula>AND(YEAR(#REF!)=YEAR(TODAY()),MONTH(#REF!)=MONTH(306))</formula>
    </cfRule>
    <cfRule type="expression" dxfId="358" priority="185">
      <formula>AND(YEAR(#REF!)=YEAR(TODAY()),MONTH(#REF!)=MONTH(275))</formula>
    </cfRule>
    <cfRule type="expression" dxfId="357" priority="187">
      <formula>AND(YEAR(#REF!)=YEAR(TODAY()),MONTH(#REF!)=MONTH(214))</formula>
    </cfRule>
    <cfRule type="expression" dxfId="356" priority="188">
      <formula>AND(YEAR(#REF!)=YEAR(TODAY()),MONTH(#REF!)=MONTH(183))</formula>
    </cfRule>
    <cfRule type="expression" dxfId="355" priority="189">
      <formula>AND(YEAR(#REF!)=YEAR(TODAY()),MONTH(#REF!)=MONTH(180))</formula>
    </cfRule>
    <cfRule type="expression" dxfId="354" priority="190">
      <formula>AND(YEAR(#REF!)=YEAR(TODAY()),MONTH(#REF!)=MONTH(98))</formula>
    </cfRule>
    <cfRule type="expression" dxfId="353" priority="191">
      <formula>AND(YEAR(#REF!)=YEAR(TODAY()),MONTH(#REF!)=MONTH(150))</formula>
    </cfRule>
    <cfRule type="expression" dxfId="352" priority="192">
      <formula>AND(YEAR(#REF!)=YEAR(TODAY()),MONTH(#REF!)=MONTH(25))</formula>
    </cfRule>
    <cfRule type="expression" dxfId="351" priority="193">
      <formula>AND(YEAR(#REF!)=YEAR(TODAY()),MONTH(#REF!)=MONTH(43145))</formula>
    </cfRule>
    <cfRule type="expression" dxfId="350" priority="194">
      <formula>AND(YEAR(#REF!)=YEAR(TODAY()),MONTH(#REF!)=MONTH(43185))</formula>
    </cfRule>
  </conditionalFormatting>
  <conditionalFormatting sqref="E42:E43">
    <cfRule type="expression" dxfId="349" priority="173">
      <formula>AND(YEAR(#REF!)=YEAR(TODAY()),MONTH(#REF!)=MONTH(245))</formula>
    </cfRule>
  </conditionalFormatting>
  <conditionalFormatting sqref="E42:E43">
    <cfRule type="expression" dxfId="348" priority="170">
      <formula>AND(YEAR(#REF!)=YEAR(TODAY()),MONTH(#REF!)=MONTH(336))</formula>
    </cfRule>
  </conditionalFormatting>
  <conditionalFormatting sqref="E42:E43">
    <cfRule type="expression" dxfId="347" priority="171">
      <formula>AND(YEAR(#REF!)=YEAR(TODAY()),MONTH(#REF!)=MONTH(306))</formula>
    </cfRule>
    <cfRule type="expression" dxfId="346" priority="172">
      <formula>AND(YEAR(#REF!)=YEAR(TODAY()),MONTH(#REF!)=MONTH(275))</formula>
    </cfRule>
    <cfRule type="expression" dxfId="345" priority="174">
      <formula>AND(YEAR(#REF!)=YEAR(TODAY()),MONTH(#REF!)=MONTH(214))</formula>
    </cfRule>
    <cfRule type="expression" dxfId="344" priority="175">
      <formula>AND(YEAR(#REF!)=YEAR(TODAY()),MONTH(#REF!)=MONTH(183))</formula>
    </cfRule>
    <cfRule type="expression" dxfId="343" priority="176">
      <formula>AND(YEAR(#REF!)=YEAR(TODAY()),MONTH(#REF!)=MONTH(180))</formula>
    </cfRule>
    <cfRule type="expression" dxfId="342" priority="177">
      <formula>AND(YEAR(#REF!)=YEAR(TODAY()),MONTH(#REF!)=MONTH(98))</formula>
    </cfRule>
    <cfRule type="expression" dxfId="341" priority="178">
      <formula>AND(YEAR(#REF!)=YEAR(TODAY()),MONTH(#REF!)=MONTH(150))</formula>
    </cfRule>
    <cfRule type="expression" dxfId="340" priority="179">
      <formula>AND(YEAR(#REF!)=YEAR(TODAY()),MONTH(#REF!)=MONTH(25))</formula>
    </cfRule>
    <cfRule type="expression" dxfId="339" priority="180">
      <formula>AND(YEAR(#REF!)=YEAR(TODAY()),MONTH(#REF!)=MONTH(43145))</formula>
    </cfRule>
    <cfRule type="expression" dxfId="338" priority="181">
      <formula>AND(YEAR(#REF!)=YEAR(TODAY()),MONTH(#REF!)=MONTH(43185))</formula>
    </cfRule>
  </conditionalFormatting>
  <conditionalFormatting sqref="E27:E28 E39:E41 A27:A42">
    <cfRule type="expression" dxfId="337" priority="134">
      <formula>AND(YEAR(#REF!)=YEAR(TODAY()),MONTH(#REF!)=MONTH(336))</formula>
    </cfRule>
    <cfRule type="expression" dxfId="336" priority="135">
      <formula>AND(YEAR(#REF!)=YEAR(TODAY()),MONTH(#REF!)=MONTH(306))</formula>
    </cfRule>
    <cfRule type="expression" dxfId="335" priority="136">
      <formula>AND(YEAR(#REF!)=YEAR(TODAY()),MONTH(#REF!)=MONTH(275))</formula>
    </cfRule>
    <cfRule type="expression" dxfId="334" priority="137">
      <formula>AND(YEAR(#REF!)=YEAR(TODAY()),MONTH(#REF!)=MONTH(245))</formula>
    </cfRule>
    <cfRule type="expression" dxfId="333" priority="138">
      <formula>AND(YEAR(#REF!)=YEAR(TODAY()),MONTH(#REF!)=MONTH(214))</formula>
    </cfRule>
    <cfRule type="expression" dxfId="332" priority="139">
      <formula>AND(YEAR(#REF!)=YEAR(TODAY()),MONTH(#REF!)=MONTH(183))</formula>
    </cfRule>
    <cfRule type="expression" dxfId="331" priority="140">
      <formula>AND(YEAR(#REF!)=YEAR(TODAY()),MONTH(#REF!)=MONTH(180))</formula>
    </cfRule>
    <cfRule type="expression" dxfId="330" priority="141">
      <formula>AND(YEAR(#REF!)=YEAR(TODAY()),MONTH(#REF!)=MONTH(98))</formula>
    </cfRule>
    <cfRule type="expression" dxfId="329" priority="142">
      <formula>AND(YEAR(#REF!)=YEAR(TODAY()),MONTH(#REF!)=MONTH(150))</formula>
    </cfRule>
    <cfRule type="expression" dxfId="328" priority="143">
      <formula>AND(YEAR(#REF!)=YEAR(TODAY()),MONTH(#REF!)=MONTH(25))</formula>
    </cfRule>
    <cfRule type="expression" dxfId="327" priority="144">
      <formula>AND(YEAR(#REF!)=YEAR(TODAY()),MONTH(#REF!)=MONTH(43145))</formula>
    </cfRule>
    <cfRule type="expression" dxfId="326" priority="145">
      <formula>AND(YEAR(#REF!)=YEAR(TODAY()),MONTH(#REF!)=MONTH(43185))</formula>
    </cfRule>
  </conditionalFormatting>
  <conditionalFormatting sqref="G27:G28">
    <cfRule type="expression" dxfId="325" priority="122">
      <formula>AND(YEAR(#REF!)=YEAR(TODAY()),MONTH(#REF!)=MONTH(336))</formula>
    </cfRule>
    <cfRule type="expression" dxfId="324" priority="123">
      <formula>AND(YEAR(#REF!)=YEAR(TODAY()),MONTH(#REF!)=MONTH(306))</formula>
    </cfRule>
    <cfRule type="expression" dxfId="323" priority="124">
      <formula>AND(YEAR(#REF!)=YEAR(TODAY()),MONTH(#REF!)=MONTH(275))</formula>
    </cfRule>
    <cfRule type="expression" dxfId="322" priority="125">
      <formula>AND(YEAR(#REF!)=YEAR(TODAY()),MONTH(#REF!)=MONTH(245))</formula>
    </cfRule>
    <cfRule type="expression" dxfId="321" priority="126">
      <formula>AND(YEAR(#REF!)=YEAR(TODAY()),MONTH(#REF!)=MONTH(214))</formula>
    </cfRule>
    <cfRule type="expression" dxfId="320" priority="127">
      <formula>AND(YEAR(#REF!)=YEAR(TODAY()),MONTH(#REF!)=MONTH(183))</formula>
    </cfRule>
    <cfRule type="expression" dxfId="319" priority="128">
      <formula>AND(YEAR(#REF!)=YEAR(TODAY()),MONTH(#REF!)=MONTH(180))</formula>
    </cfRule>
    <cfRule type="expression" dxfId="318" priority="129">
      <formula>AND(YEAR(#REF!)=YEAR(TODAY()),MONTH(#REF!)=MONTH(98))</formula>
    </cfRule>
    <cfRule type="expression" dxfId="317" priority="130">
      <formula>AND(YEAR(#REF!)=YEAR(TODAY()),MONTH(#REF!)=MONTH(150))</formula>
    </cfRule>
    <cfRule type="expression" dxfId="316" priority="131">
      <formula>AND(YEAR(#REF!)=YEAR(TODAY()),MONTH(#REF!)=MONTH(25))</formula>
    </cfRule>
    <cfRule type="expression" dxfId="315" priority="132">
      <formula>AND(YEAR(#REF!)=YEAR(TODAY()),MONTH(#REF!)=MONTH(43145))</formula>
    </cfRule>
    <cfRule type="expression" dxfId="314" priority="133">
      <formula>AND(YEAR(#REF!)=YEAR(TODAY()),MONTH(#REF!)=MONTH(43185))</formula>
    </cfRule>
  </conditionalFormatting>
  <conditionalFormatting sqref="H27:H28">
    <cfRule type="expression" dxfId="313" priority="110">
      <formula>AND(YEAR(#REF!)=YEAR(TODAY()),MONTH(#REF!)=MONTH(336))</formula>
    </cfRule>
    <cfRule type="expression" dxfId="312" priority="111">
      <formula>AND(YEAR(#REF!)=YEAR(TODAY()),MONTH(#REF!)=MONTH(306))</formula>
    </cfRule>
    <cfRule type="expression" dxfId="311" priority="112">
      <formula>AND(YEAR(#REF!)=YEAR(TODAY()),MONTH(#REF!)=MONTH(275))</formula>
    </cfRule>
    <cfRule type="expression" dxfId="310" priority="113">
      <formula>AND(YEAR(#REF!)=YEAR(TODAY()),MONTH(#REF!)=MONTH(245))</formula>
    </cfRule>
    <cfRule type="expression" dxfId="309" priority="114">
      <formula>AND(YEAR(#REF!)=YEAR(TODAY()),MONTH(#REF!)=MONTH(214))</formula>
    </cfRule>
    <cfRule type="expression" dxfId="308" priority="115">
      <formula>AND(YEAR(#REF!)=YEAR(TODAY()),MONTH(#REF!)=MONTH(183))</formula>
    </cfRule>
    <cfRule type="expression" dxfId="307" priority="116">
      <formula>AND(YEAR(#REF!)=YEAR(TODAY()),MONTH(#REF!)=MONTH(180))</formula>
    </cfRule>
    <cfRule type="expression" dxfId="306" priority="117">
      <formula>AND(YEAR(#REF!)=YEAR(TODAY()),MONTH(#REF!)=MONTH(98))</formula>
    </cfRule>
    <cfRule type="expression" dxfId="305" priority="118">
      <formula>AND(YEAR(#REF!)=YEAR(TODAY()),MONTH(#REF!)=MONTH(150))</formula>
    </cfRule>
    <cfRule type="expression" dxfId="304" priority="119">
      <formula>AND(YEAR(#REF!)=YEAR(TODAY()),MONTH(#REF!)=MONTH(25))</formula>
    </cfRule>
    <cfRule type="expression" dxfId="303" priority="120">
      <formula>AND(YEAR(#REF!)=YEAR(TODAY()),MONTH(#REF!)=MONTH(43145))</formula>
    </cfRule>
    <cfRule type="expression" dxfId="302" priority="121">
      <formula>AND(YEAR(#REF!)=YEAR(TODAY()),MONTH(#REF!)=MONTH(43185))</formula>
    </cfRule>
  </conditionalFormatting>
  <conditionalFormatting sqref="E29:E38">
    <cfRule type="expression" dxfId="301" priority="74">
      <formula>AND(YEAR(#REF!)=YEAR(TODAY()),MONTH(#REF!)=MONTH(336))</formula>
    </cfRule>
    <cfRule type="expression" dxfId="300" priority="75">
      <formula>AND(YEAR(#REF!)=YEAR(TODAY()),MONTH(#REF!)=MONTH(306))</formula>
    </cfRule>
    <cfRule type="expression" dxfId="299" priority="76">
      <formula>AND(YEAR(#REF!)=YEAR(TODAY()),MONTH(#REF!)=MONTH(275))</formula>
    </cfRule>
    <cfRule type="expression" dxfId="298" priority="77">
      <formula>AND(YEAR(#REF!)=YEAR(TODAY()),MONTH(#REF!)=MONTH(245))</formula>
    </cfRule>
    <cfRule type="expression" dxfId="297" priority="78">
      <formula>AND(YEAR(#REF!)=YEAR(TODAY()),MONTH(#REF!)=MONTH(214))</formula>
    </cfRule>
    <cfRule type="expression" dxfId="296" priority="79">
      <formula>AND(YEAR(#REF!)=YEAR(TODAY()),MONTH(#REF!)=MONTH(183))</formula>
    </cfRule>
    <cfRule type="expression" dxfId="295" priority="80">
      <formula>AND(YEAR(#REF!)=YEAR(TODAY()),MONTH(#REF!)=MONTH(180))</formula>
    </cfRule>
    <cfRule type="expression" dxfId="294" priority="81">
      <formula>AND(YEAR(#REF!)=YEAR(TODAY()),MONTH(#REF!)=MONTH(98))</formula>
    </cfRule>
    <cfRule type="expression" dxfId="293" priority="82">
      <formula>AND(YEAR(#REF!)=YEAR(TODAY()),MONTH(#REF!)=MONTH(150))</formula>
    </cfRule>
    <cfRule type="expression" dxfId="292" priority="83">
      <formula>AND(YEAR(#REF!)=YEAR(TODAY()),MONTH(#REF!)=MONTH(25))</formula>
    </cfRule>
    <cfRule type="expression" dxfId="291" priority="84">
      <formula>AND(YEAR(#REF!)=YEAR(TODAY()),MONTH(#REF!)=MONTH(43145))</formula>
    </cfRule>
    <cfRule type="expression" dxfId="290" priority="85">
      <formula>AND(YEAR(#REF!)=YEAR(TODAY()),MONTH(#REF!)=MONTH(43185))</formula>
    </cfRule>
  </conditionalFormatting>
  <conditionalFormatting sqref="G29:G42">
    <cfRule type="expression" dxfId="289" priority="14">
      <formula>AND(YEAR(#REF!)=YEAR(TODAY()),MONTH(#REF!)=MONTH(336))</formula>
    </cfRule>
    <cfRule type="expression" dxfId="288" priority="15">
      <formula>AND(YEAR(#REF!)=YEAR(TODAY()),MONTH(#REF!)=MONTH(306))</formula>
    </cfRule>
    <cfRule type="expression" dxfId="287" priority="16">
      <formula>AND(YEAR(#REF!)=YEAR(TODAY()),MONTH(#REF!)=MONTH(275))</formula>
    </cfRule>
    <cfRule type="expression" dxfId="286" priority="17">
      <formula>AND(YEAR(#REF!)=YEAR(TODAY()),MONTH(#REF!)=MONTH(245))</formula>
    </cfRule>
    <cfRule type="expression" dxfId="285" priority="18">
      <formula>AND(YEAR(#REF!)=YEAR(TODAY()),MONTH(#REF!)=MONTH(214))</formula>
    </cfRule>
    <cfRule type="expression" dxfId="284" priority="19">
      <formula>AND(YEAR(#REF!)=YEAR(TODAY()),MONTH(#REF!)=MONTH(183))</formula>
    </cfRule>
    <cfRule type="expression" dxfId="283" priority="20">
      <formula>AND(YEAR(#REF!)=YEAR(TODAY()),MONTH(#REF!)=MONTH(180))</formula>
    </cfRule>
    <cfRule type="expression" dxfId="282" priority="21">
      <formula>AND(YEAR(#REF!)=YEAR(TODAY()),MONTH(#REF!)=MONTH(98))</formula>
    </cfRule>
    <cfRule type="expression" dxfId="281" priority="22">
      <formula>AND(YEAR(#REF!)=YEAR(TODAY()),MONTH(#REF!)=MONTH(150))</formula>
    </cfRule>
    <cfRule type="expression" dxfId="280" priority="23">
      <formula>AND(YEAR(#REF!)=YEAR(TODAY()),MONTH(#REF!)=MONTH(25))</formula>
    </cfRule>
    <cfRule type="expression" dxfId="279" priority="24">
      <formula>AND(YEAR(#REF!)=YEAR(TODAY()),MONTH(#REF!)=MONTH(43145))</formula>
    </cfRule>
    <cfRule type="expression" dxfId="278" priority="25">
      <formula>AND(YEAR(#REF!)=YEAR(TODAY()),MONTH(#REF!)=MONTH(43185))</formula>
    </cfRule>
  </conditionalFormatting>
  <conditionalFormatting sqref="H29:H42">
    <cfRule type="expression" dxfId="277" priority="2">
      <formula>AND(YEAR(#REF!)=YEAR(TODAY()),MONTH(#REF!)=MONTH(336))</formula>
    </cfRule>
    <cfRule type="expression" dxfId="276" priority="3">
      <formula>AND(YEAR(#REF!)=YEAR(TODAY()),MONTH(#REF!)=MONTH(306))</formula>
    </cfRule>
    <cfRule type="expression" dxfId="275" priority="4">
      <formula>AND(YEAR(#REF!)=YEAR(TODAY()),MONTH(#REF!)=MONTH(275))</formula>
    </cfRule>
    <cfRule type="expression" dxfId="274" priority="5">
      <formula>AND(YEAR(#REF!)=YEAR(TODAY()),MONTH(#REF!)=MONTH(245))</formula>
    </cfRule>
    <cfRule type="expression" dxfId="273" priority="6">
      <formula>AND(YEAR(#REF!)=YEAR(TODAY()),MONTH(#REF!)=MONTH(214))</formula>
    </cfRule>
    <cfRule type="expression" dxfId="272" priority="7">
      <formula>AND(YEAR(#REF!)=YEAR(TODAY()),MONTH(#REF!)=MONTH(183))</formula>
    </cfRule>
    <cfRule type="expression" dxfId="271" priority="8">
      <formula>AND(YEAR(#REF!)=YEAR(TODAY()),MONTH(#REF!)=MONTH(180))</formula>
    </cfRule>
    <cfRule type="expression" dxfId="270" priority="9">
      <formula>AND(YEAR(#REF!)=YEAR(TODAY()),MONTH(#REF!)=MONTH(98))</formula>
    </cfRule>
    <cfRule type="expression" dxfId="269" priority="10">
      <formula>AND(YEAR(#REF!)=YEAR(TODAY()),MONTH(#REF!)=MONTH(150))</formula>
    </cfRule>
    <cfRule type="expression" dxfId="268" priority="11">
      <formula>AND(YEAR(#REF!)=YEAR(TODAY()),MONTH(#REF!)=MONTH(25))</formula>
    </cfRule>
    <cfRule type="expression" dxfId="267" priority="12">
      <formula>AND(YEAR(#REF!)=YEAR(TODAY()),MONTH(#REF!)=MONTH(43145))</formula>
    </cfRule>
    <cfRule type="expression" dxfId="266" priority="13">
      <formula>AND(YEAR(#REF!)=YEAR(TODAY()),MONTH(#REF!)=MONTH(43185))</formula>
    </cfRule>
  </conditionalFormatting>
  <conditionalFormatting sqref="C49:BB49">
    <cfRule type="expression" dxfId="265" priority="1">
      <formula>VALUE(RIGHT(C$3,2))=VALUE(WEEKNUM(TODAY(),21))</formula>
    </cfRule>
  </conditionalFormatting>
  <pageMargins left="0.25" right="0.25" top="0.75" bottom="0.75" header="0.3" footer="0.3"/>
  <pageSetup paperSize="8" scale="30" fitToWidth="0" orientation="landscape" r:id="rId2"/>
  <drawing r:id="rId3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 filterMode="1">
    <pageSetUpPr fitToPage="1"/>
  </sheetPr>
  <dimension ref="A1:O561"/>
  <sheetViews>
    <sheetView zoomScale="70" zoomScaleNormal="70" workbookViewId="0">
      <pane ySplit="3" topLeftCell="A4" activePane="bottomLeft" state="frozenSplit"/>
      <selection activeCell="C1" sqref="C1:F1"/>
      <selection pane="bottomLeft" activeCell="K3" sqref="J3:K3"/>
    </sheetView>
  </sheetViews>
  <sheetFormatPr baseColWidth="10" defaultColWidth="8.88671875" defaultRowHeight="14.4" x14ac:dyDescent="0.3"/>
  <cols>
    <col min="1" max="1" width="35.109375" bestFit="1" customWidth="1"/>
    <col min="2" max="2" width="10.88671875" style="258" bestFit="1" customWidth="1"/>
    <col min="3" max="3" width="8.44140625" bestFit="1" customWidth="1"/>
    <col min="4" max="4" width="15" bestFit="1" customWidth="1"/>
    <col min="5" max="5" width="13" bestFit="1" customWidth="1"/>
    <col min="6" max="6" width="13" style="18" customWidth="1"/>
    <col min="7" max="7" width="15.109375" style="323" bestFit="1" customWidth="1"/>
    <col min="8" max="8" width="1.5546875" customWidth="1"/>
    <col min="9" max="9" width="8.44140625" bestFit="1" customWidth="1"/>
    <col min="10" max="10" width="12.88671875" bestFit="1" customWidth="1"/>
    <col min="11" max="11" width="12.88671875" style="314" bestFit="1" customWidth="1"/>
    <col min="12" max="12" width="9.88671875" style="319" bestFit="1" customWidth="1"/>
    <col min="13" max="13" width="65.109375" style="319" bestFit="1" customWidth="1"/>
    <col min="14" max="14" width="19.109375" bestFit="1" customWidth="1"/>
  </cols>
  <sheetData>
    <row r="1" spans="1:14" s="258" customFormat="1" x14ac:dyDescent="0.3">
      <c r="F1" s="18">
        <f>SUBTOTAL(9,F4:F600)</f>
        <v>133022.15</v>
      </c>
      <c r="G1" s="323"/>
      <c r="K1" s="314"/>
      <c r="L1" s="319"/>
      <c r="M1" s="319"/>
    </row>
    <row r="2" spans="1:14" s="258" customFormat="1" x14ac:dyDescent="0.3">
      <c r="A2" s="312"/>
      <c r="B2" s="312"/>
      <c r="C2" s="885" t="s">
        <v>15</v>
      </c>
      <c r="D2" s="886"/>
      <c r="E2" s="886"/>
      <c r="F2" s="886"/>
      <c r="G2" s="886"/>
      <c r="H2" s="259"/>
      <c r="I2" s="887" t="s">
        <v>249</v>
      </c>
      <c r="J2" s="886"/>
      <c r="K2" s="886"/>
      <c r="L2" s="316" t="s">
        <v>144</v>
      </c>
      <c r="M2" s="320"/>
      <c r="N2" s="320"/>
    </row>
    <row r="3" spans="1:14" s="223" customFormat="1" ht="28.8" x14ac:dyDescent="0.3">
      <c r="A3" s="220" t="s">
        <v>0</v>
      </c>
      <c r="B3" s="220" t="s">
        <v>2</v>
      </c>
      <c r="C3" s="224" t="s">
        <v>33</v>
      </c>
      <c r="D3" s="225" t="s">
        <v>16</v>
      </c>
      <c r="E3" s="224" t="s">
        <v>13</v>
      </c>
      <c r="F3" s="325" t="s">
        <v>112</v>
      </c>
      <c r="G3" s="321" t="s">
        <v>248</v>
      </c>
      <c r="H3" s="221"/>
      <c r="I3" s="222" t="s">
        <v>33</v>
      </c>
      <c r="J3" s="238" t="s">
        <v>175</v>
      </c>
      <c r="K3" s="315" t="s">
        <v>176</v>
      </c>
      <c r="L3" s="317" t="s">
        <v>143</v>
      </c>
      <c r="M3" s="317" t="s">
        <v>3</v>
      </c>
      <c r="N3" s="317" t="s">
        <v>2</v>
      </c>
    </row>
    <row r="4" spans="1:14" s="258" customFormat="1" ht="15" customHeight="1" x14ac:dyDescent="0.3">
      <c r="A4" s="203" t="str">
        <f>IF(AND(Data!R3&lt;&gt;"",Data!L3="Accepté"),Data!G3,"")</f>
        <v>HYDRO SYSTEMS KG</v>
      </c>
      <c r="B4" s="203" t="str">
        <f>IF(AND(Data!R3&lt;&gt;"",Data!L3="Accepté"),Data!L3,"")</f>
        <v>Accepté</v>
      </c>
      <c r="C4" s="262" t="str">
        <f t="shared" ref="C4" si="0">IF(D4&lt;&gt;"","S"&amp;TEXT(WEEKNUM(D4),"00"),"")</f>
        <v>S07</v>
      </c>
      <c r="D4" s="263">
        <f>IF(AND(Data!Q3&lt;&gt;"",Data!L3="Accepté"),Data!Q3,"")</f>
        <v>44239</v>
      </c>
      <c r="E4" s="237" t="str">
        <f>IF(AND(Data!R3&lt;&gt;"",Data!L3="Accepté"),Data!R3,"")</f>
        <v>2021-012</v>
      </c>
      <c r="F4" s="326">
        <f>IF(AND(Data!R3&lt;&gt;"",Data!L3="Accepté"),Data!S3,"")</f>
        <v>0</v>
      </c>
      <c r="G4" s="322" t="str">
        <f>IF(Data!R3='Delivery Plan'!E4,Data!U3,"")</f>
        <v/>
      </c>
      <c r="H4" s="259"/>
      <c r="I4" s="262" t="str">
        <f t="shared" ref="I4" si="1">IF(J4&lt;&gt;"","S"&amp;TEXT(WEEKNUM(J4),"00"),"")</f>
        <v/>
      </c>
      <c r="J4" s="263" t="str">
        <f>IF(AND(E4=Data!R3,Data!AA3&lt;&gt;""),Data!AA3,"")</f>
        <v/>
      </c>
      <c r="K4" s="313" t="str">
        <f>IF(AND(E4=Data!R3,Data!AE3&lt;&gt;""),Data!AE3,"")</f>
        <v/>
      </c>
      <c r="L4" s="318">
        <f>IF(E4=Data!R3,Data!AI3,"")</f>
        <v>1</v>
      </c>
      <c r="M4" s="318" t="str">
        <f>IF(E4=Data!R3,Data!AJ3,"")</f>
        <v>Services pour clients HYKG</v>
      </c>
      <c r="N4" s="437" t="str">
        <f>IF(AND(Data!R3&lt;&gt;"",Data!L3="Accepté"),Data!K3,"")</f>
        <v>ENGINEERING IC</v>
      </c>
    </row>
    <row r="5" spans="1:14" s="258" customFormat="1" ht="15" hidden="1" customHeight="1" x14ac:dyDescent="0.3">
      <c r="A5" s="393" t="str">
        <f>IF(AND(Data!R4&lt;&gt;"",Data!L4="Accepté"),Data!G4,"")</f>
        <v/>
      </c>
      <c r="B5" s="393" t="str">
        <f>IF(AND(Data!R4&lt;&gt;"",Data!L4="Accepté"),Data!L4,"")</f>
        <v/>
      </c>
      <c r="C5" s="391" t="str">
        <f t="shared" ref="C5:C68" si="2">IF(D5&lt;&gt;"","S"&amp;TEXT(WEEKNUM(D5),"00"),"")</f>
        <v/>
      </c>
      <c r="D5" s="392" t="str">
        <f>IF(AND(Data!Q4&lt;&gt;"",Data!L4="Accepté"),Data!Q4,"")</f>
        <v/>
      </c>
      <c r="E5" s="237" t="str">
        <f>IF(AND(Data!R4&lt;&gt;"",Data!L4="Accepté"),Data!R4,"")</f>
        <v/>
      </c>
      <c r="F5" s="326" t="str">
        <f>IF(AND(Data!R4&lt;&gt;"",Data!L4="Accepté"),Data!S4,"")</f>
        <v/>
      </c>
      <c r="G5" s="322">
        <f>IF(Data!R4='Delivery Plan'!E5,Data!U4,"")</f>
        <v>0</v>
      </c>
      <c r="H5" s="396"/>
      <c r="I5" s="391" t="str">
        <f t="shared" ref="I5:I68" si="3">IF(J5&lt;&gt;"","S"&amp;TEXT(WEEKNUM(J5),"00"),"")</f>
        <v/>
      </c>
      <c r="J5" s="392" t="str">
        <f>IF(AND(E5=Data!R4,Data!AA4&lt;&gt;""),Data!AA4,"")</f>
        <v/>
      </c>
      <c r="K5" s="313" t="str">
        <f>IF(AND(E5=Data!R4,Data!AE4&lt;&gt;""),Data!AE4,"")</f>
        <v/>
      </c>
      <c r="L5" s="318">
        <f>IF(E5=Data!R4,Data!AI4,"")</f>
        <v>2</v>
      </c>
      <c r="M5" s="318" t="str">
        <f>IF(E5=Data!R4,Data!AJ4,"")</f>
        <v>Roulettes</v>
      </c>
      <c r="N5" s="437" t="str">
        <f>IF(AND(Data!R4&lt;&gt;"",Data!L4="Accepté"),Data!K4,"")</f>
        <v/>
      </c>
    </row>
    <row r="6" spans="1:14" s="258" customFormat="1" ht="15" hidden="1" customHeight="1" x14ac:dyDescent="0.3">
      <c r="A6" s="393" t="str">
        <f>IF(AND(Data!R5&lt;&gt;"",Data!L5="Accepté"),Data!G5,"")</f>
        <v>HYDRO SYSTEMS KG</v>
      </c>
      <c r="B6" s="393" t="str">
        <f>IF(AND(Data!R5&lt;&gt;"",Data!L5="Accepté"),Data!L5,"")</f>
        <v>Accepté</v>
      </c>
      <c r="C6" s="391" t="str">
        <f t="shared" si="2"/>
        <v>S06</v>
      </c>
      <c r="D6" s="392">
        <f>IF(AND(Data!Q5&lt;&gt;"",Data!L5="Accepté"),Data!Q5,"")</f>
        <v>44231</v>
      </c>
      <c r="E6" s="237" t="str">
        <f>IF(AND(Data!R5&lt;&gt;"",Data!L5="Accepté"),Data!R5,"")</f>
        <v>2021-016</v>
      </c>
      <c r="F6" s="326">
        <f>IF(AND(Data!R5&lt;&gt;"",Data!L5="Accepté"),Data!S5,"")</f>
        <v>6900</v>
      </c>
      <c r="G6" s="322">
        <f>IF(Data!R5='Delivery Plan'!E6,Data!U5,"")</f>
        <v>0</v>
      </c>
      <c r="H6" s="259"/>
      <c r="I6" s="391" t="str">
        <f t="shared" si="3"/>
        <v>S53</v>
      </c>
      <c r="J6" s="392">
        <f>IF(AND(E6=Data!R5,Data!AA5&lt;&gt;""),Data!AA5,"")</f>
        <v>44561</v>
      </c>
      <c r="K6" s="313">
        <f>IF(AND(E6=Data!R5,Data!AE5&lt;&gt;""),Data!AE5,"")</f>
        <v>44561</v>
      </c>
      <c r="L6" s="318">
        <f>IF(E6=Data!R5,Data!AI5,"")</f>
        <v>1</v>
      </c>
      <c r="M6" s="318" t="str">
        <f>IF(E6=Data!R5,Data!AJ5,"")</f>
        <v>Modification de 4 Cobra</v>
      </c>
      <c r="N6" s="437" t="str">
        <f>IF(AND(Data!R5&lt;&gt;"",Data!L5="Accepté"),Data!K5,"")</f>
        <v>SERVICE OTHER AIA</v>
      </c>
    </row>
    <row r="7" spans="1:14" s="258" customFormat="1" ht="15" hidden="1" customHeight="1" x14ac:dyDescent="0.3">
      <c r="A7" s="393" t="str">
        <f>IF(AND(Data!R6&lt;&gt;"",Data!L6="Accepté"),Data!G6,"")</f>
        <v/>
      </c>
      <c r="B7" s="393" t="str">
        <f>IF(AND(Data!R6&lt;&gt;"",Data!L6="Accepté"),Data!L6,"")</f>
        <v/>
      </c>
      <c r="C7" s="391" t="str">
        <f t="shared" si="2"/>
        <v/>
      </c>
      <c r="D7" s="392" t="str">
        <f>IF(AND(Data!Q6&lt;&gt;"",Data!L6="Accepté"),Data!Q6,"")</f>
        <v/>
      </c>
      <c r="E7" s="237" t="str">
        <f>IF(AND(Data!R6&lt;&gt;"",Data!L6="Accepté"),Data!R6,"")</f>
        <v/>
      </c>
      <c r="F7" s="326" t="str">
        <f>IF(AND(Data!R6&lt;&gt;"",Data!L6="Accepté"),Data!S6,"")</f>
        <v/>
      </c>
      <c r="G7" s="322">
        <f>IF(Data!R6='Delivery Plan'!E7,Data!U6,"")</f>
        <v>0</v>
      </c>
      <c r="H7" s="259"/>
      <c r="I7" s="391" t="str">
        <f t="shared" si="3"/>
        <v/>
      </c>
      <c r="J7" s="392" t="str">
        <f>IF(AND(E7=Data!R6,Data!AA6&lt;&gt;""),Data!AA6,"")</f>
        <v/>
      </c>
      <c r="K7" s="313" t="str">
        <f>IF(AND(E7=Data!R6,Data!AE6&lt;&gt;""),Data!AE6,"")</f>
        <v/>
      </c>
      <c r="L7" s="318">
        <f>IF(E7=Data!R6,Data!AI6,"")</f>
        <v>1</v>
      </c>
      <c r="M7" s="318" t="str">
        <f>IF(E7=Data!R6,Data!AJ6,"")</f>
        <v>Essais en charge liste de crics et vérins sur site Dinard</v>
      </c>
      <c r="N7" s="437" t="str">
        <f>IF(AND(Data!R6&lt;&gt;"",Data!L6="Accepté"),Data!K6,"")</f>
        <v/>
      </c>
    </row>
    <row r="8" spans="1:14" s="258" customFormat="1" ht="15" customHeight="1" x14ac:dyDescent="0.3">
      <c r="A8" s="393" t="str">
        <f>IF(AND(Data!R7&lt;&gt;"",Data!L7="Accepté"),Data!G7,"")</f>
        <v>KAWNEER</v>
      </c>
      <c r="B8" s="393" t="str">
        <f>IF(AND(Data!R7&lt;&gt;"",Data!L7="Accepté"),Data!L7,"")</f>
        <v>Accepté</v>
      </c>
      <c r="C8" s="391" t="str">
        <f t="shared" si="2"/>
        <v>S11</v>
      </c>
      <c r="D8" s="392">
        <f>IF(AND(Data!Q7&lt;&gt;"",Data!L7="Accepté"),Data!Q7,"")</f>
        <v>44267</v>
      </c>
      <c r="E8" s="237" t="str">
        <f>IF(AND(Data!R7&lt;&gt;"",Data!L7="Accepté"),Data!R7,"")</f>
        <v>2021-023</v>
      </c>
      <c r="F8" s="326">
        <f>IF(AND(Data!R7&lt;&gt;"",Data!L7="Accepté"),Data!S7,"")</f>
        <v>1035.6500000000001</v>
      </c>
      <c r="G8" s="322">
        <f>IF(Data!R7='Delivery Plan'!E8,Data!U7,"")</f>
        <v>0</v>
      </c>
      <c r="H8" s="259"/>
      <c r="I8" s="391" t="str">
        <f t="shared" si="3"/>
        <v/>
      </c>
      <c r="J8" s="392" t="str">
        <f>IF(AND(E8=Data!R7,Data!AA7&lt;&gt;""),Data!AA7,"")</f>
        <v/>
      </c>
      <c r="K8" s="313">
        <f>IF(AND(E8=Data!R7,Data!AE7&lt;&gt;""),Data!AE7,"")</f>
        <v>44926</v>
      </c>
      <c r="L8" s="318">
        <f>IF(E8=Data!R7,Data!AI7,"")</f>
        <v>1</v>
      </c>
      <c r="M8" s="318" t="str">
        <f>IF(E8=Data!R7,Data!AJ7,"")</f>
        <v>Réparation sur outil n°107</v>
      </c>
      <c r="N8" s="437" t="str">
        <f>IF(AND(Data!R7&lt;&gt;"",Data!L7="Accepté"),Data!K7,"")</f>
        <v>SERVICE OTHER AIA</v>
      </c>
    </row>
    <row r="9" spans="1:14" s="258" customFormat="1" ht="15" hidden="1" customHeight="1" x14ac:dyDescent="0.3">
      <c r="A9" s="393" t="str">
        <f>IF(AND(Data!R8&lt;&gt;"",Data!L8="Accepté"),Data!G8,"")</f>
        <v/>
      </c>
      <c r="B9" s="393" t="str">
        <f>IF(AND(Data!R8&lt;&gt;"",Data!L8="Accepté"),Data!L8,"")</f>
        <v/>
      </c>
      <c r="C9" s="391" t="str">
        <f t="shared" si="2"/>
        <v/>
      </c>
      <c r="D9" s="392" t="str">
        <f>IF(AND(Data!Q8&lt;&gt;"",Data!L8="Accepté"),Data!Q8,"")</f>
        <v/>
      </c>
      <c r="E9" s="237" t="str">
        <f>IF(AND(Data!R8&lt;&gt;"",Data!L8="Accepté"),Data!R8,"")</f>
        <v/>
      </c>
      <c r="F9" s="326" t="str">
        <f>IF(AND(Data!R8&lt;&gt;"",Data!L8="Accepté"),Data!S8,"")</f>
        <v/>
      </c>
      <c r="G9" s="322">
        <f>IF(Data!R8='Delivery Plan'!E9,Data!U8,"")</f>
        <v>0</v>
      </c>
      <c r="H9" s="259"/>
      <c r="I9" s="391" t="str">
        <f t="shared" si="3"/>
        <v/>
      </c>
      <c r="J9" s="392" t="str">
        <f>IF(AND(E9=Data!R8,Data!AA8&lt;&gt;""),Data!AA8,"")</f>
        <v/>
      </c>
      <c r="K9" s="313" t="str">
        <f>IF(AND(E9=Data!R8,Data!AE8&lt;&gt;""),Data!AE8,"")</f>
        <v/>
      </c>
      <c r="L9" s="318">
        <f>IF(E9=Data!R8,Data!AI8,"")</f>
        <v>1</v>
      </c>
      <c r="M9" s="318" t="str">
        <f>IF(E9=Data!R8,Data!AJ8,"")</f>
        <v>Conception et fabrication plateformes NH90 Caïman</v>
      </c>
      <c r="N9" s="437" t="str">
        <f>IF(AND(Data!R8&lt;&gt;"",Data!L8="Accepté"),Data!K8,"")</f>
        <v/>
      </c>
    </row>
    <row r="10" spans="1:14" s="258" customFormat="1" ht="15" hidden="1" customHeight="1" x14ac:dyDescent="0.3">
      <c r="A10" s="393" t="str">
        <f>IF(AND(Data!R9&lt;&gt;"",Data!L9="Accepté"),Data!G9,"")</f>
        <v/>
      </c>
      <c r="B10" s="393" t="str">
        <f>IF(AND(Data!R9&lt;&gt;"",Data!L9="Accepté"),Data!L9,"")</f>
        <v/>
      </c>
      <c r="C10" s="391" t="str">
        <f t="shared" si="2"/>
        <v/>
      </c>
      <c r="D10" s="392" t="str">
        <f>IF(AND(Data!Q9&lt;&gt;"",Data!L9="Accepté"),Data!Q9,"")</f>
        <v/>
      </c>
      <c r="E10" s="237" t="str">
        <f>IF(AND(Data!R9&lt;&gt;"",Data!L9="Accepté"),Data!R9,"")</f>
        <v/>
      </c>
      <c r="F10" s="326" t="str">
        <f>IF(AND(Data!R9&lt;&gt;"",Data!L9="Accepté"),Data!S9,"")</f>
        <v/>
      </c>
      <c r="G10" s="322">
        <f>IF(Data!R9='Delivery Plan'!E10,Data!U9,"")</f>
        <v>0</v>
      </c>
      <c r="H10" s="259"/>
      <c r="I10" s="391" t="str">
        <f t="shared" si="3"/>
        <v/>
      </c>
      <c r="J10" s="392" t="str">
        <f>IF(AND(E10=Data!R9,Data!AA9&lt;&gt;""),Data!AA9,"")</f>
        <v/>
      </c>
      <c r="K10" s="313" t="str">
        <f>IF(AND(E10=Data!R9,Data!AE9&lt;&gt;""),Data!AE9,"")</f>
        <v/>
      </c>
      <c r="L10" s="318">
        <f>IF(E10=Data!R9,Data!AI9,"")</f>
        <v>1</v>
      </c>
      <c r="M10" s="318" t="str">
        <f>IF(E10=Data!R9,Data!AJ9,"")</f>
        <v>Entretien préventif et curatif des moyens de levage - Candidature</v>
      </c>
      <c r="N10" s="437" t="str">
        <f>IF(AND(Data!R9&lt;&gt;"",Data!L9="Accepté"),Data!K9,"")</f>
        <v/>
      </c>
    </row>
    <row r="11" spans="1:14" s="258" customFormat="1" ht="15" hidden="1" customHeight="1" x14ac:dyDescent="0.3">
      <c r="A11" s="393" t="str">
        <f>IF(AND(Data!R10&lt;&gt;"",Data!L10="Accepté"),Data!G10,"")</f>
        <v>BASE AERIENNE ROMORANTIN</v>
      </c>
      <c r="B11" s="393" t="str">
        <f>IF(AND(Data!R10&lt;&gt;"",Data!L10="Accepté"),Data!L10,"")</f>
        <v>Accepté</v>
      </c>
      <c r="C11" s="391" t="str">
        <f t="shared" si="2"/>
        <v>S38</v>
      </c>
      <c r="D11" s="392">
        <f>IF(AND(Data!Q10&lt;&gt;"",Data!L10="Accepté"),Data!Q10,"")</f>
        <v>44453</v>
      </c>
      <c r="E11" s="237" t="str">
        <f>IF(AND(Data!R10&lt;&gt;"",Data!L10="Accepté"),Data!R10,"")</f>
        <v>2021-080</v>
      </c>
      <c r="F11" s="326">
        <f>IF(AND(Data!R10&lt;&gt;"",Data!L10="Accepté"),Data!S10,"")</f>
        <v>3236</v>
      </c>
      <c r="G11" s="322">
        <f>IF(Data!R10='Delivery Plan'!E11,Data!U10,"")</f>
        <v>0</v>
      </c>
      <c r="H11" s="259"/>
      <c r="I11" s="391" t="str">
        <f t="shared" si="3"/>
        <v>S10</v>
      </c>
      <c r="J11" s="392">
        <f>IF(AND(E11=Data!R10,Data!AA10&lt;&gt;""),Data!AA10,"")</f>
        <v>44620</v>
      </c>
      <c r="K11" s="313">
        <f>IF(AND(E11=Data!R10,Data!AE10&lt;&gt;""),Data!AE10,"")</f>
        <v>44592</v>
      </c>
      <c r="L11" s="318">
        <f>IF(E11=Data!R10,Data!AI10,"")</f>
        <v>1</v>
      </c>
      <c r="M11" s="318" t="str">
        <f>IF(E11=Data!R10,Data!AJ10,"")</f>
        <v>Devis lot spares</v>
      </c>
      <c r="N11" s="437" t="str">
        <f>IF(AND(Data!R10&lt;&gt;"",Data!L10="Accepté"),Data!K10,"")</f>
        <v>TRADING OTHER AIA</v>
      </c>
    </row>
    <row r="12" spans="1:14" s="258" customFormat="1" ht="15" hidden="1" customHeight="1" x14ac:dyDescent="0.3">
      <c r="A12" s="393" t="str">
        <f>IF(AND(Data!R11&lt;&gt;"",Data!L11="Accepté"),Data!G11,"")</f>
        <v>HYDRO SYSTEMS KG</v>
      </c>
      <c r="B12" s="393" t="str">
        <f>IF(AND(Data!R11&lt;&gt;"",Data!L11="Accepté"),Data!L11,"")</f>
        <v>Accepté</v>
      </c>
      <c r="C12" s="391" t="str">
        <f t="shared" si="2"/>
        <v>S16</v>
      </c>
      <c r="D12" s="392">
        <f>IF(AND(Data!Q11&lt;&gt;"",Data!L11="Accepté"),Data!Q11,"")</f>
        <v>44300</v>
      </c>
      <c r="E12" s="237" t="str">
        <f>IF(AND(Data!R11&lt;&gt;"",Data!L11="Accepté"),Data!R11,"")</f>
        <v>2021-030</v>
      </c>
      <c r="F12" s="326">
        <f>IF(AND(Data!R11&lt;&gt;"",Data!L11="Accepté"),Data!S11,"")</f>
        <v>1200</v>
      </c>
      <c r="G12" s="322">
        <f>IF(Data!R11='Delivery Plan'!E12,Data!U11,"")</f>
        <v>0</v>
      </c>
      <c r="H12" s="259"/>
      <c r="I12" s="391" t="str">
        <f t="shared" si="3"/>
        <v>S19</v>
      </c>
      <c r="J12" s="392">
        <f>IF(AND(E12=Data!R11,Data!AA11&lt;&gt;""),Data!AA11,"")</f>
        <v>44319</v>
      </c>
      <c r="K12" s="313" t="str">
        <f>IF(AND(E12=Data!R11,Data!AE11&lt;&gt;""),Data!AE11,"")</f>
        <v/>
      </c>
      <c r="L12" s="318">
        <f>IF(E12=Data!R11,Data!AI11,"")</f>
        <v>1</v>
      </c>
      <c r="M12" s="318" t="str">
        <f>IF(E12=Data!R11,Data!AJ11,"")</f>
        <v>Modification Safety kit</v>
      </c>
      <c r="N12" s="437" t="str">
        <f>IF(AND(Data!R11&lt;&gt;"",Data!L11="Accepté"),Data!K11,"")</f>
        <v>SERVICE OTHER AIA</v>
      </c>
    </row>
    <row r="13" spans="1:14" s="258" customFormat="1" ht="15" hidden="1" customHeight="1" x14ac:dyDescent="0.3">
      <c r="A13" s="393" t="str">
        <f>IF(AND(Data!R12&lt;&gt;"",Data!L12="Accepté"),Data!G12,"")</f>
        <v>ROLLS ROYCE</v>
      </c>
      <c r="B13" s="393" t="str">
        <f>IF(AND(Data!R12&lt;&gt;"",Data!L12="Accepté"),Data!L12,"")</f>
        <v>Accepté</v>
      </c>
      <c r="C13" s="391" t="str">
        <f t="shared" si="2"/>
        <v>S25</v>
      </c>
      <c r="D13" s="392">
        <f>IF(AND(Data!Q12&lt;&gt;"",Data!L12="Accepté"),Data!Q12,"")</f>
        <v>44365</v>
      </c>
      <c r="E13" s="237" t="str">
        <f>IF(AND(Data!R12&lt;&gt;"",Data!L12="Accepté"),Data!R12,"")</f>
        <v>2021-051</v>
      </c>
      <c r="F13" s="326">
        <f>IF(AND(Data!R12&lt;&gt;"",Data!L12="Accepté"),Data!S12,"")</f>
        <v>1945</v>
      </c>
      <c r="G13" s="322">
        <f>IF(Data!R12='Delivery Plan'!E13,Data!U12,"")</f>
        <v>0</v>
      </c>
      <c r="H13" s="259"/>
      <c r="I13" s="391" t="str">
        <f t="shared" si="3"/>
        <v>S06</v>
      </c>
      <c r="J13" s="392">
        <f>IF(AND(E13=Data!R12,Data!AA12&lt;&gt;""),Data!AA12,"")</f>
        <v>44595</v>
      </c>
      <c r="K13" s="313">
        <f>IF(AND(E13=Data!R12,Data!AE12&lt;&gt;""),Data!AE12,"")</f>
        <v>44620</v>
      </c>
      <c r="L13" s="318">
        <f>IF(E13=Data!R12,Data!AI12,"")</f>
        <v>1</v>
      </c>
      <c r="M13" s="318" t="str">
        <f>IF(E13=Data!R12,Data!AJ12,"")</f>
        <v>Réparation RRT068182</v>
      </c>
      <c r="N13" s="437" t="str">
        <f>IF(AND(Data!R12&lt;&gt;"",Data!L12="Accepté"),Data!K12,"")</f>
        <v>SERVICE OTHER AIA</v>
      </c>
    </row>
    <row r="14" spans="1:14" s="258" customFormat="1" ht="15" hidden="1" customHeight="1" x14ac:dyDescent="0.3">
      <c r="A14" s="393" t="str">
        <f>IF(AND(Data!R13&lt;&gt;"",Data!L13="Accepté"),Data!G13,"")</f>
        <v/>
      </c>
      <c r="B14" s="393" t="str">
        <f>IF(AND(Data!R13&lt;&gt;"",Data!L13="Accepté"),Data!L13,"")</f>
        <v/>
      </c>
      <c r="C14" s="391" t="str">
        <f t="shared" si="2"/>
        <v/>
      </c>
      <c r="D14" s="392" t="str">
        <f>IF(AND(Data!Q13&lt;&gt;"",Data!L13="Accepté"),Data!Q13,"")</f>
        <v/>
      </c>
      <c r="E14" s="237" t="str">
        <f>IF(AND(Data!R13&lt;&gt;"",Data!L13="Accepté"),Data!R13,"")</f>
        <v/>
      </c>
      <c r="F14" s="326" t="str">
        <f>IF(AND(Data!R13&lt;&gt;"",Data!L13="Accepté"),Data!S13,"")</f>
        <v/>
      </c>
      <c r="G14" s="322">
        <f>IF(Data!R13='Delivery Plan'!E14,Data!U13,"")</f>
        <v>0</v>
      </c>
      <c r="H14" s="259"/>
      <c r="I14" s="391" t="str">
        <f t="shared" si="3"/>
        <v/>
      </c>
      <c r="J14" s="392" t="str">
        <f>IF(AND(E14=Data!R13,Data!AA13&lt;&gt;""),Data!AA13,"")</f>
        <v/>
      </c>
      <c r="K14" s="313" t="str">
        <f>IF(AND(E14=Data!R13,Data!AE13&lt;&gt;""),Data!AE13,"")</f>
        <v/>
      </c>
      <c r="L14" s="318">
        <f>IF(E14=Data!R13,Data!AI13,"")</f>
        <v>8</v>
      </c>
      <c r="M14" s="318" t="str">
        <f>IF(E14=Data!R13,Data!AJ13,"")</f>
        <v>Crics C130 - RC3515B5A0A03</v>
      </c>
      <c r="N14" s="437" t="str">
        <f>IF(AND(Data!R13&lt;&gt;"",Data!L13="Accepté"),Data!K13,"")</f>
        <v/>
      </c>
    </row>
    <row r="15" spans="1:14" s="258" customFormat="1" ht="15" customHeight="1" x14ac:dyDescent="0.3">
      <c r="A15" s="393" t="str">
        <f>IF(AND(Data!R14&lt;&gt;"",Data!L14="Accepté"),Data!G14,"")</f>
        <v>KAWNEER</v>
      </c>
      <c r="B15" s="393" t="str">
        <f>IF(AND(Data!R14&lt;&gt;"",Data!L14="Accepté"),Data!L14,"")</f>
        <v>Accepté</v>
      </c>
      <c r="C15" s="391" t="str">
        <f t="shared" si="2"/>
        <v>S41</v>
      </c>
      <c r="D15" s="392">
        <f>IF(AND(Data!Q14&lt;&gt;"",Data!L14="Accepté"),Data!Q14,"")</f>
        <v>44473</v>
      </c>
      <c r="E15" s="237" t="str">
        <f>IF(AND(Data!R14&lt;&gt;"",Data!L14="Accepté"),Data!R14,"")</f>
        <v>2021-061</v>
      </c>
      <c r="F15" s="326">
        <f>IF(AND(Data!R14&lt;&gt;"",Data!L14="Accepté"),Data!S14,"")</f>
        <v>492</v>
      </c>
      <c r="G15" s="322">
        <f>IF(Data!R14='Delivery Plan'!E15,Data!U14,"")</f>
        <v>0</v>
      </c>
      <c r="H15" s="259"/>
      <c r="I15" s="391" t="str">
        <f t="shared" si="3"/>
        <v/>
      </c>
      <c r="J15" s="392" t="str">
        <f>IF(AND(E15=Data!R14,Data!AA14&lt;&gt;""),Data!AA14,"")</f>
        <v/>
      </c>
      <c r="K15" s="313">
        <f>IF(AND(E15=Data!R14,Data!AE14&lt;&gt;""),Data!AE14,"")</f>
        <v>44926</v>
      </c>
      <c r="L15" s="318">
        <f>IF(E15=Data!R14,Data!AI14,"")</f>
        <v>1</v>
      </c>
      <c r="M15" s="318" t="str">
        <f>IF(E15=Data!R14,Data!AJ14,"")</f>
        <v>Réparation sur outil n°106</v>
      </c>
      <c r="N15" s="437" t="str">
        <f>IF(AND(Data!R14&lt;&gt;"",Data!L14="Accepté"),Data!K14,"")</f>
        <v>SERVICE OTHER AIA</v>
      </c>
    </row>
    <row r="16" spans="1:14" s="258" customFormat="1" ht="15" customHeight="1" x14ac:dyDescent="0.3">
      <c r="A16" s="393" t="str">
        <f>IF(AND(Data!R15&lt;&gt;"",Data!L15="Accepté"),Data!G15,"")</f>
        <v>KAWNEER</v>
      </c>
      <c r="B16" s="393" t="str">
        <f>IF(AND(Data!R15&lt;&gt;"",Data!L15="Accepté"),Data!L15,"")</f>
        <v>Accepté</v>
      </c>
      <c r="C16" s="391" t="str">
        <f t="shared" si="2"/>
        <v>S41</v>
      </c>
      <c r="D16" s="392">
        <f>IF(AND(Data!Q15&lt;&gt;"",Data!L15="Accepté"),Data!Q15,"")</f>
        <v>44473</v>
      </c>
      <c r="E16" s="237" t="str">
        <f>IF(AND(Data!R15&lt;&gt;"",Data!L15="Accepté"),Data!R15,"")</f>
        <v>2021-065</v>
      </c>
      <c r="F16" s="326">
        <f>IF(AND(Data!R15&lt;&gt;"",Data!L15="Accepté"),Data!S15,"")</f>
        <v>361</v>
      </c>
      <c r="G16" s="322">
        <f>IF(Data!R15='Delivery Plan'!E16,Data!U15,"")</f>
        <v>0</v>
      </c>
      <c r="H16" s="259"/>
      <c r="I16" s="391" t="str">
        <f t="shared" si="3"/>
        <v/>
      </c>
      <c r="J16" s="392" t="str">
        <f>IF(AND(E16=Data!R15,Data!AA15&lt;&gt;""),Data!AA15,"")</f>
        <v/>
      </c>
      <c r="K16" s="313">
        <f>IF(AND(E16=Data!R15,Data!AE15&lt;&gt;""),Data!AE15,"")</f>
        <v>44926</v>
      </c>
      <c r="L16" s="318">
        <f>IF(E16=Data!R15,Data!AI15,"")</f>
        <v>1</v>
      </c>
      <c r="M16" s="318" t="str">
        <f>IF(E16=Data!R15,Data!AJ15,"")</f>
        <v>Réparation sur outil n°125</v>
      </c>
      <c r="N16" s="437" t="str">
        <f>IF(AND(Data!R15&lt;&gt;"",Data!L15="Accepté"),Data!K15,"")</f>
        <v>SERVICE OTHER AIA</v>
      </c>
    </row>
    <row r="17" spans="1:14" s="258" customFormat="1" ht="15" hidden="1" customHeight="1" x14ac:dyDescent="0.3">
      <c r="A17" s="393" t="str">
        <f>IF(AND(Data!R16&lt;&gt;"",Data!L16="Accepté"),Data!G16,"")</f>
        <v/>
      </c>
      <c r="B17" s="393" t="str">
        <f>IF(AND(Data!R16&lt;&gt;"",Data!L16="Accepté"),Data!L16,"")</f>
        <v/>
      </c>
      <c r="C17" s="391" t="str">
        <f t="shared" si="2"/>
        <v/>
      </c>
      <c r="D17" s="392" t="str">
        <f>IF(AND(Data!Q16&lt;&gt;"",Data!L16="Accepté"),Data!Q16,"")</f>
        <v/>
      </c>
      <c r="E17" s="237" t="str">
        <f>IF(AND(Data!R16&lt;&gt;"",Data!L16="Accepté"),Data!R16,"")</f>
        <v/>
      </c>
      <c r="F17" s="326" t="str">
        <f>IF(AND(Data!R16&lt;&gt;"",Data!L16="Accepté"),Data!S16,"")</f>
        <v/>
      </c>
      <c r="G17" s="322">
        <f>IF(Data!R16='Delivery Plan'!E17,Data!U16,"")</f>
        <v>0</v>
      </c>
      <c r="H17" s="259"/>
      <c r="I17" s="391" t="str">
        <f t="shared" si="3"/>
        <v/>
      </c>
      <c r="J17" s="392" t="str">
        <f>IF(AND(E17=Data!R16,Data!AA16&lt;&gt;""),Data!AA16,"")</f>
        <v/>
      </c>
      <c r="K17" s="313" t="str">
        <f>IF(AND(E17=Data!R16,Data!AE16&lt;&gt;""),Data!AE16,"")</f>
        <v/>
      </c>
      <c r="L17" s="318">
        <f>IF(E17=Data!R16,Data!AI16,"")</f>
        <v>3</v>
      </c>
      <c r="M17" s="318" t="str">
        <f>IF(E17=Data!R16,Data!AJ16,"")</f>
        <v>Calibration palans et cric</v>
      </c>
      <c r="N17" s="437" t="str">
        <f>IF(AND(Data!R16&lt;&gt;"",Data!L16="Accepté"),Data!K16,"")</f>
        <v/>
      </c>
    </row>
    <row r="18" spans="1:14" s="258" customFormat="1" hidden="1" x14ac:dyDescent="0.3">
      <c r="A18" s="393" t="str">
        <f>IF(AND(Data!R17&lt;&gt;"",Data!L17="Accepté"),Data!G17,"")</f>
        <v/>
      </c>
      <c r="B18" s="393" t="str">
        <f>IF(AND(Data!R17&lt;&gt;"",Data!L17="Accepté"),Data!L17,"")</f>
        <v/>
      </c>
      <c r="C18" s="391" t="str">
        <f t="shared" si="2"/>
        <v/>
      </c>
      <c r="D18" s="392" t="str">
        <f>IF(AND(Data!Q17&lt;&gt;"",Data!L17="Accepté"),Data!Q17,"")</f>
        <v/>
      </c>
      <c r="E18" s="237" t="str">
        <f>IF(AND(Data!R17&lt;&gt;"",Data!L17="Accepté"),Data!R17,"")</f>
        <v/>
      </c>
      <c r="F18" s="326" t="str">
        <f>IF(AND(Data!R17&lt;&gt;"",Data!L17="Accepté"),Data!S17,"")</f>
        <v/>
      </c>
      <c r="G18" s="322">
        <f>IF(Data!R17='Delivery Plan'!E18,Data!U17,"")</f>
        <v>0</v>
      </c>
      <c r="H18" s="259"/>
      <c r="I18" s="391" t="str">
        <f t="shared" si="3"/>
        <v/>
      </c>
      <c r="J18" s="392" t="str">
        <f>IF(AND(E18=Data!R17,Data!AA17&lt;&gt;""),Data!AA17,"")</f>
        <v/>
      </c>
      <c r="K18" s="313" t="str">
        <f>IF(AND(E18=Data!R17,Data!AE17&lt;&gt;""),Data!AE17,"")</f>
        <v/>
      </c>
      <c r="L18" s="318">
        <f>IF(E18=Data!R17,Data!AI17,"")</f>
        <v>1</v>
      </c>
      <c r="M18" s="318" t="str">
        <f>IF(E18=Data!R17,Data!AJ17,"")</f>
        <v>Vérification et maintenance d'appareils de levage</v>
      </c>
      <c r="N18" s="437" t="str">
        <f>IF(AND(Data!R17&lt;&gt;"",Data!L17="Accepté"),Data!K17,"")</f>
        <v/>
      </c>
    </row>
    <row r="19" spans="1:14" s="258" customFormat="1" ht="15" hidden="1" customHeight="1" x14ac:dyDescent="0.3">
      <c r="A19" s="393" t="str">
        <f>IF(AND(Data!R18&lt;&gt;"",Data!L18="Accepté"),Data!G18,"")</f>
        <v/>
      </c>
      <c r="B19" s="393" t="str">
        <f>IF(AND(Data!R18&lt;&gt;"",Data!L18="Accepté"),Data!L18,"")</f>
        <v/>
      </c>
      <c r="C19" s="391" t="str">
        <f t="shared" si="2"/>
        <v/>
      </c>
      <c r="D19" s="392" t="str">
        <f>IF(AND(Data!Q18&lt;&gt;"",Data!L18="Accepté"),Data!Q18,"")</f>
        <v/>
      </c>
      <c r="E19" s="237" t="str">
        <f>IF(AND(Data!R18&lt;&gt;"",Data!L18="Accepté"),Data!R18,"")</f>
        <v/>
      </c>
      <c r="F19" s="326" t="str">
        <f>IF(AND(Data!R18&lt;&gt;"",Data!L18="Accepté"),Data!S18,"")</f>
        <v/>
      </c>
      <c r="G19" s="322">
        <f>IF(Data!R18='Delivery Plan'!E19,Data!U18,"")</f>
        <v>0</v>
      </c>
      <c r="H19" s="259"/>
      <c r="I19" s="391" t="str">
        <f t="shared" si="3"/>
        <v/>
      </c>
      <c r="J19" s="392" t="str">
        <f>IF(AND(E19=Data!R18,Data!AA18&lt;&gt;""),Data!AA18,"")</f>
        <v/>
      </c>
      <c r="K19" s="313" t="str">
        <f>IF(AND(E19=Data!R18,Data!AE18&lt;&gt;""),Data!AE18,"")</f>
        <v/>
      </c>
      <c r="L19" s="318">
        <f>IF(E19=Data!R18,Data!AI18,"")</f>
        <v>13</v>
      </c>
      <c r="M19" s="318" t="str">
        <f>IF(E19=Data!R18,Data!AJ18,"")</f>
        <v>Réparation chariots</v>
      </c>
      <c r="N19" s="437" t="str">
        <f>IF(AND(Data!R18&lt;&gt;"",Data!L18="Accepté"),Data!K18,"")</f>
        <v/>
      </c>
    </row>
    <row r="20" spans="1:14" s="258" customFormat="1" ht="15" hidden="1" customHeight="1" x14ac:dyDescent="0.3">
      <c r="A20" s="393" t="str">
        <f>IF(AND(Data!R19&lt;&gt;"",Data!L19="Accepté"),Data!G19,"")</f>
        <v/>
      </c>
      <c r="B20" s="393" t="str">
        <f>IF(AND(Data!R19&lt;&gt;"",Data!L19="Accepté"),Data!L19,"")</f>
        <v/>
      </c>
      <c r="C20" s="391" t="str">
        <f t="shared" si="2"/>
        <v/>
      </c>
      <c r="D20" s="392" t="str">
        <f>IF(AND(Data!Q19&lt;&gt;"",Data!L19="Accepté"),Data!Q19,"")</f>
        <v/>
      </c>
      <c r="E20" s="237" t="str">
        <f>IF(AND(Data!R19&lt;&gt;"",Data!L19="Accepté"),Data!R19,"")</f>
        <v/>
      </c>
      <c r="F20" s="326" t="str">
        <f>IF(AND(Data!R19&lt;&gt;"",Data!L19="Accepté"),Data!S19,"")</f>
        <v/>
      </c>
      <c r="G20" s="322">
        <f>IF(Data!R19='Delivery Plan'!E20,Data!U19,"")</f>
        <v>0</v>
      </c>
      <c r="H20" s="259"/>
      <c r="I20" s="391" t="str">
        <f t="shared" si="3"/>
        <v/>
      </c>
      <c r="J20" s="392" t="str">
        <f>IF(AND(E20=Data!R19,Data!AA19&lt;&gt;""),Data!AA19,"")</f>
        <v/>
      </c>
      <c r="K20" s="313" t="str">
        <f>IF(AND(E20=Data!R19,Data!AE19&lt;&gt;""),Data!AE19,"")</f>
        <v/>
      </c>
      <c r="L20" s="318">
        <f>IF(E20=Data!R19,Data!AI19,"")</f>
        <v>1</v>
      </c>
      <c r="M20" s="318" t="str">
        <f>IF(E20=Data!R19,Data!AJ19,"")</f>
        <v>Remplacement pièces MLGTMULTI-1-AA + VGP</v>
      </c>
      <c r="N20" s="437" t="str">
        <f>IF(AND(Data!R19&lt;&gt;"",Data!L19="Accepté"),Data!K19,"")</f>
        <v/>
      </c>
    </row>
    <row r="21" spans="1:14" s="258" customFormat="1" ht="15" hidden="1" customHeight="1" x14ac:dyDescent="0.3">
      <c r="A21" s="393" t="str">
        <f>IF(AND(Data!R20&lt;&gt;"",Data!L20="Accepté"),Data!G20,"")</f>
        <v/>
      </c>
      <c r="B21" s="393" t="str">
        <f>IF(AND(Data!R20&lt;&gt;"",Data!L20="Accepté"),Data!L20,"")</f>
        <v/>
      </c>
      <c r="C21" s="391" t="str">
        <f t="shared" si="2"/>
        <v/>
      </c>
      <c r="D21" s="392" t="str">
        <f>IF(AND(Data!Q20&lt;&gt;"",Data!L20="Accepté"),Data!Q20,"")</f>
        <v/>
      </c>
      <c r="E21" s="237" t="str">
        <f>IF(AND(Data!R20&lt;&gt;"",Data!L20="Accepté"),Data!R20,"")</f>
        <v/>
      </c>
      <c r="F21" s="326" t="str">
        <f>IF(AND(Data!R20&lt;&gt;"",Data!L20="Accepté"),Data!S20,"")</f>
        <v/>
      </c>
      <c r="G21" s="322">
        <f>IF(Data!R20='Delivery Plan'!E21,Data!U20,"")</f>
        <v>0</v>
      </c>
      <c r="H21" s="259"/>
      <c r="I21" s="391" t="str">
        <f t="shared" si="3"/>
        <v/>
      </c>
      <c r="J21" s="392" t="str">
        <f>IF(AND(E21=Data!R20,Data!AA20&lt;&gt;""),Data!AA20,"")</f>
        <v/>
      </c>
      <c r="K21" s="313" t="str">
        <f>IF(AND(E21=Data!R20,Data!AE20&lt;&gt;""),Data!AE20,"")</f>
        <v/>
      </c>
      <c r="L21" s="318">
        <f>IF(E21=Data!R20,Data!AI20,"")</f>
        <v>1</v>
      </c>
      <c r="M21" s="318" t="str">
        <f>IF(E21=Data!R20,Data!AJ20,"")</f>
        <v>Fab chariot acier et bâti alu</v>
      </c>
      <c r="N21" s="437" t="str">
        <f>IF(AND(Data!R20&lt;&gt;"",Data!L20="Accepté"),Data!K20,"")</f>
        <v/>
      </c>
    </row>
    <row r="22" spans="1:14" s="258" customFormat="1" ht="15" hidden="1" customHeight="1" x14ac:dyDescent="0.3">
      <c r="A22" s="393" t="str">
        <f>IF(AND(Data!R21&lt;&gt;"",Data!L21="Accepté"),Data!G21,"")</f>
        <v/>
      </c>
      <c r="B22" s="393" t="str">
        <f>IF(AND(Data!R21&lt;&gt;"",Data!L21="Accepté"),Data!L21,"")</f>
        <v/>
      </c>
      <c r="C22" s="391" t="str">
        <f t="shared" si="2"/>
        <v/>
      </c>
      <c r="D22" s="392" t="str">
        <f>IF(AND(Data!Q21&lt;&gt;"",Data!L21="Accepté"),Data!Q21,"")</f>
        <v/>
      </c>
      <c r="E22" s="237" t="str">
        <f>IF(AND(Data!R21&lt;&gt;"",Data!L21="Accepté"),Data!R21,"")</f>
        <v/>
      </c>
      <c r="F22" s="326" t="str">
        <f>IF(AND(Data!R21&lt;&gt;"",Data!L21="Accepté"),Data!S21,"")</f>
        <v/>
      </c>
      <c r="G22" s="322">
        <f>IF(Data!R21='Delivery Plan'!E22,Data!U21,"")</f>
        <v>0</v>
      </c>
      <c r="H22" s="259"/>
      <c r="I22" s="391" t="str">
        <f t="shared" si="3"/>
        <v/>
      </c>
      <c r="J22" s="392" t="str">
        <f>IF(AND(E22=Data!R21,Data!AA21&lt;&gt;""),Data!AA21,"")</f>
        <v/>
      </c>
      <c r="K22" s="313" t="str">
        <f>IF(AND(E22=Data!R21,Data!AE21&lt;&gt;""),Data!AE21,"")</f>
        <v/>
      </c>
      <c r="L22" s="318">
        <f>IF(E22=Data!R21,Data!AI21,"")</f>
        <v>1</v>
      </c>
      <c r="M22" s="318" t="str">
        <f>IF(E22=Data!R21,Data!AJ21,"")</f>
        <v>Inspection outillages LANGA (A330-92010-0001)</v>
      </c>
      <c r="N22" s="437" t="str">
        <f>IF(AND(Data!R21&lt;&gt;"",Data!L21="Accepté"),Data!K21,"")</f>
        <v/>
      </c>
    </row>
    <row r="23" spans="1:14" s="258" customFormat="1" ht="15" hidden="1" customHeight="1" x14ac:dyDescent="0.3">
      <c r="A23" s="393" t="str">
        <f>IF(AND(Data!R22&lt;&gt;"",Data!L22="Accepté"),Data!G22,"")</f>
        <v/>
      </c>
      <c r="B23" s="393" t="str">
        <f>IF(AND(Data!R22&lt;&gt;"",Data!L22="Accepté"),Data!L22,"")</f>
        <v/>
      </c>
      <c r="C23" s="391" t="str">
        <f t="shared" si="2"/>
        <v/>
      </c>
      <c r="D23" s="392" t="str">
        <f>IF(AND(Data!Q22&lt;&gt;"",Data!L22="Accepté"),Data!Q22,"")</f>
        <v/>
      </c>
      <c r="E23" s="237" t="str">
        <f>IF(AND(Data!R22&lt;&gt;"",Data!L22="Accepté"),Data!R22,"")</f>
        <v/>
      </c>
      <c r="F23" s="326" t="str">
        <f>IF(AND(Data!R22&lt;&gt;"",Data!L22="Accepté"),Data!S22,"")</f>
        <v/>
      </c>
      <c r="G23" s="322">
        <f>IF(Data!R22='Delivery Plan'!E23,Data!U22,"")</f>
        <v>0</v>
      </c>
      <c r="H23" s="259"/>
      <c r="I23" s="391" t="str">
        <f t="shared" si="3"/>
        <v/>
      </c>
      <c r="J23" s="392" t="str">
        <f>IF(AND(E23=Data!R22,Data!AA22&lt;&gt;""),Data!AA22,"")</f>
        <v/>
      </c>
      <c r="K23" s="313" t="str">
        <f>IF(AND(E23=Data!R22,Data!AE22&lt;&gt;""),Data!AE22,"")</f>
        <v/>
      </c>
      <c r="L23" s="318">
        <f>IF(E23=Data!R22,Data!AI22,"")</f>
        <v>1</v>
      </c>
      <c r="M23" s="318" t="str">
        <f>IF(E23=Data!R22,Data!AJ22,"")</f>
        <v>Maintenance annuelle palan AGSE</v>
      </c>
      <c r="N23" s="437" t="str">
        <f>IF(AND(Data!R22&lt;&gt;"",Data!L22="Accepté"),Data!K22,"")</f>
        <v/>
      </c>
    </row>
    <row r="24" spans="1:14" s="258" customFormat="1" ht="15" hidden="1" customHeight="1" x14ac:dyDescent="0.3">
      <c r="A24" s="393" t="str">
        <f>IF(AND(Data!R23&lt;&gt;"",Data!L23="Accepté"),Data!G23,"")</f>
        <v/>
      </c>
      <c r="B24" s="393" t="str">
        <f>IF(AND(Data!R23&lt;&gt;"",Data!L23="Accepté"),Data!L23,"")</f>
        <v/>
      </c>
      <c r="C24" s="391" t="str">
        <f t="shared" si="2"/>
        <v/>
      </c>
      <c r="D24" s="392" t="str">
        <f>IF(AND(Data!Q23&lt;&gt;"",Data!L23="Accepté"),Data!Q23,"")</f>
        <v/>
      </c>
      <c r="E24" s="237" t="str">
        <f>IF(AND(Data!R23&lt;&gt;"",Data!L23="Accepté"),Data!R23,"")</f>
        <v/>
      </c>
      <c r="F24" s="326" t="str">
        <f>IF(AND(Data!R23&lt;&gt;"",Data!L23="Accepté"),Data!S23,"")</f>
        <v/>
      </c>
      <c r="G24" s="322">
        <f>IF(Data!R23='Delivery Plan'!E24,Data!U23,"")</f>
        <v>0</v>
      </c>
      <c r="H24" s="259"/>
      <c r="I24" s="391" t="str">
        <f t="shared" si="3"/>
        <v/>
      </c>
      <c r="J24" s="392" t="str">
        <f>IF(AND(E24=Data!R23,Data!AA23&lt;&gt;""),Data!AA23,"")</f>
        <v/>
      </c>
      <c r="K24" s="313" t="str">
        <f>IF(AND(E24=Data!R23,Data!AE23&lt;&gt;""),Data!AE23,"")</f>
        <v/>
      </c>
      <c r="L24" s="318">
        <f>IF(E24=Data!R23,Data!AI23,"")</f>
        <v>0</v>
      </c>
      <c r="M24" s="318">
        <f>IF(E24=Data!R23,Data!AJ23,"")</f>
        <v>0</v>
      </c>
      <c r="N24" s="437" t="str">
        <f>IF(AND(Data!R23&lt;&gt;"",Data!L23="Accepté"),Data!K23,"")</f>
        <v/>
      </c>
    </row>
    <row r="25" spans="1:14" s="258" customFormat="1" ht="15" hidden="1" customHeight="1" x14ac:dyDescent="0.3">
      <c r="A25" s="393" t="str">
        <f>IF(AND(Data!R24&lt;&gt;"",Data!L24="Accepté"),Data!G24,"")</f>
        <v/>
      </c>
      <c r="B25" s="393" t="str">
        <f>IF(AND(Data!R24&lt;&gt;"",Data!L24="Accepté"),Data!L24,"")</f>
        <v/>
      </c>
      <c r="C25" s="391" t="str">
        <f t="shared" si="2"/>
        <v/>
      </c>
      <c r="D25" s="392" t="str">
        <f>IF(AND(Data!Q24&lt;&gt;"",Data!L24="Accepté"),Data!Q24,"")</f>
        <v/>
      </c>
      <c r="E25" s="237" t="str">
        <f>IF(AND(Data!R24&lt;&gt;"",Data!L24="Accepté"),Data!R24,"")</f>
        <v/>
      </c>
      <c r="F25" s="326" t="str">
        <f>IF(AND(Data!R24&lt;&gt;"",Data!L24="Accepté"),Data!S24,"")</f>
        <v/>
      </c>
      <c r="G25" s="322">
        <f>IF(Data!R24='Delivery Plan'!E25,Data!U24,"")</f>
        <v>0</v>
      </c>
      <c r="H25" s="259"/>
      <c r="I25" s="391" t="str">
        <f t="shared" si="3"/>
        <v/>
      </c>
      <c r="J25" s="392" t="str">
        <f>IF(AND(E25=Data!R24,Data!AA24&lt;&gt;""),Data!AA24,"")</f>
        <v/>
      </c>
      <c r="K25" s="313" t="str">
        <f>IF(AND(E25=Data!R24,Data!AE24&lt;&gt;""),Data!AE24,"")</f>
        <v/>
      </c>
      <c r="L25" s="318">
        <f>IF(E25=Data!R24,Data!AI24,"")</f>
        <v>1</v>
      </c>
      <c r="M25" s="318" t="str">
        <f>IF(E25=Data!R24,Data!AJ24,"")</f>
        <v>Recertification FEN122A21</v>
      </c>
      <c r="N25" s="437" t="str">
        <f>IF(AND(Data!R24&lt;&gt;"",Data!L24="Accepté"),Data!K24,"")</f>
        <v/>
      </c>
    </row>
    <row r="26" spans="1:14" s="258" customFormat="1" ht="15" hidden="1" customHeight="1" x14ac:dyDescent="0.3">
      <c r="A26" s="393" t="str">
        <f>IF(AND(Data!R25&lt;&gt;"",Data!L25="Accepté"),Data!G25,"")</f>
        <v>AIA</v>
      </c>
      <c r="B26" s="393" t="str">
        <f>IF(AND(Data!R25&lt;&gt;"",Data!L25="Accepté"),Data!L25,"")</f>
        <v>Accepté</v>
      </c>
      <c r="C26" s="391" t="str">
        <f t="shared" si="2"/>
        <v>S47</v>
      </c>
      <c r="D26" s="392">
        <f>IF(AND(Data!Q25&lt;&gt;"",Data!L25="Accepté"),Data!Q25,"")</f>
        <v>44515</v>
      </c>
      <c r="E26" s="237" t="str">
        <f>IF(AND(Data!R25&lt;&gt;"",Data!L25="Accepté"),Data!R25,"")</f>
        <v>2021-098</v>
      </c>
      <c r="F26" s="326">
        <f>IF(AND(Data!R25&lt;&gt;"",Data!L25="Accepté"),Data!S25,"")</f>
        <v>3180</v>
      </c>
      <c r="G26" s="322">
        <f>IF(Data!R25='Delivery Plan'!E26,Data!U25,"")</f>
        <v>0</v>
      </c>
      <c r="H26" s="259"/>
      <c r="I26" s="391" t="str">
        <f t="shared" si="3"/>
        <v>S03</v>
      </c>
      <c r="J26" s="392">
        <f>IF(AND(E26=Data!R25,Data!AA25&lt;&gt;""),Data!AA25,"")</f>
        <v>44571</v>
      </c>
      <c r="K26" s="313">
        <f>IF(AND(E26=Data!R25,Data!AE25&lt;&gt;""),Data!AE25,"")</f>
        <v>44609</v>
      </c>
      <c r="L26" s="318">
        <f>IF(E26=Data!R25,Data!AI25,"")</f>
        <v>6</v>
      </c>
      <c r="M26" s="318" t="str">
        <f>IF(E26=Data!R25,Data!AJ25,"")</f>
        <v>Vérification crics et vérins</v>
      </c>
      <c r="N26" s="437" t="str">
        <f>IF(AND(Data!R25&lt;&gt;"",Data!L25="Accepté"),Data!K25,"")</f>
        <v>SERVICE AIA</v>
      </c>
    </row>
    <row r="27" spans="1:14" s="258" customFormat="1" ht="15" hidden="1" customHeight="1" x14ac:dyDescent="0.3">
      <c r="A27" s="393" t="str">
        <f>IF(AND(Data!R26&lt;&gt;"",Data!L26="Accepté"),Data!G26,"")</f>
        <v/>
      </c>
      <c r="B27" s="393" t="str">
        <f>IF(AND(Data!R26&lt;&gt;"",Data!L26="Accepté"),Data!L26,"")</f>
        <v/>
      </c>
      <c r="C27" s="391" t="str">
        <f t="shared" si="2"/>
        <v/>
      </c>
      <c r="D27" s="392" t="str">
        <f>IF(AND(Data!Q26&lt;&gt;"",Data!L26="Accepté"),Data!Q26,"")</f>
        <v/>
      </c>
      <c r="E27" s="237" t="str">
        <f>IF(AND(Data!R26&lt;&gt;"",Data!L26="Accepté"),Data!R26,"")</f>
        <v/>
      </c>
      <c r="F27" s="326" t="str">
        <f>IF(AND(Data!R26&lt;&gt;"",Data!L26="Accepté"),Data!S26,"")</f>
        <v/>
      </c>
      <c r="G27" s="322">
        <f>IF(Data!R26='Delivery Plan'!E27,Data!U26,"")</f>
        <v>0</v>
      </c>
      <c r="H27" s="259"/>
      <c r="I27" s="391" t="str">
        <f t="shared" si="3"/>
        <v/>
      </c>
      <c r="J27" s="392" t="str">
        <f>IF(AND(E27=Data!R26,Data!AA26&lt;&gt;""),Data!AA26,"")</f>
        <v/>
      </c>
      <c r="K27" s="313" t="str">
        <f>IF(AND(E27=Data!R26,Data!AE26&lt;&gt;""),Data!AE26,"")</f>
        <v/>
      </c>
      <c r="L27" s="318">
        <f>IF(E27=Data!R26,Data!AI26,"")</f>
        <v>1</v>
      </c>
      <c r="M27" s="318" t="str">
        <f>IF(E27=Data!R26,Data!AJ26,"")</f>
        <v>Stockage container MERO</v>
      </c>
      <c r="N27" s="437" t="str">
        <f>IF(AND(Data!R26&lt;&gt;"",Data!L26="Accepté"),Data!K26,"")</f>
        <v/>
      </c>
    </row>
    <row r="28" spans="1:14" s="258" customFormat="1" ht="15" hidden="1" customHeight="1" x14ac:dyDescent="0.3">
      <c r="A28" s="393" t="str">
        <f>IF(AND(Data!R27&lt;&gt;"",Data!L27="Accepté"),Data!G27,"")</f>
        <v/>
      </c>
      <c r="B28" s="393" t="str">
        <f>IF(AND(Data!R27&lt;&gt;"",Data!L27="Accepté"),Data!L27,"")</f>
        <v/>
      </c>
      <c r="C28" s="391" t="str">
        <f t="shared" si="2"/>
        <v/>
      </c>
      <c r="D28" s="392" t="str">
        <f>IF(AND(Data!Q27&lt;&gt;"",Data!L27="Accepté"),Data!Q27,"")</f>
        <v/>
      </c>
      <c r="E28" s="237" t="str">
        <f>IF(AND(Data!R27&lt;&gt;"",Data!L27="Accepté"),Data!R27,"")</f>
        <v/>
      </c>
      <c r="F28" s="326" t="str">
        <f>IF(AND(Data!R27&lt;&gt;"",Data!L27="Accepté"),Data!S27,"")</f>
        <v/>
      </c>
      <c r="G28" s="322">
        <f>IF(Data!R27='Delivery Plan'!E28,Data!U27,"")</f>
        <v>0</v>
      </c>
      <c r="H28" s="259"/>
      <c r="I28" s="391" t="str">
        <f t="shared" si="3"/>
        <v/>
      </c>
      <c r="J28" s="392" t="str">
        <f>IF(AND(E28=Data!R27,Data!AA27&lt;&gt;""),Data!AA27,"")</f>
        <v/>
      </c>
      <c r="K28" s="313" t="str">
        <f>IF(AND(E28=Data!R27,Data!AE27&lt;&gt;""),Data!AE27,"")</f>
        <v/>
      </c>
      <c r="L28" s="318">
        <f>IF(E28=Data!R27,Data!AI27,"")</f>
        <v>1</v>
      </c>
      <c r="M28" s="318" t="str">
        <f>IF(E28=Data!R27,Data!AJ27,"")</f>
        <v>Fourniture d'outillages et de moyens d'accès pour C130</v>
      </c>
      <c r="N28" s="437" t="str">
        <f>IF(AND(Data!R27&lt;&gt;"",Data!L27="Accepté"),Data!K27,"")</f>
        <v/>
      </c>
    </row>
    <row r="29" spans="1:14" s="258" customFormat="1" ht="15" hidden="1" customHeight="1" x14ac:dyDescent="0.3">
      <c r="A29" s="393" t="str">
        <f>IF(AND(Data!R28&lt;&gt;"",Data!L28="Accepté"),Data!G28,"")</f>
        <v>AIA</v>
      </c>
      <c r="B29" s="393" t="str">
        <f>IF(AND(Data!R28&lt;&gt;"",Data!L28="Accepté"),Data!L28,"")</f>
        <v>Accepté</v>
      </c>
      <c r="C29" s="391" t="str">
        <f t="shared" si="2"/>
        <v>S09</v>
      </c>
      <c r="D29" s="392">
        <f>IF(AND(Data!Q28&lt;&gt;"",Data!L28="Accepté"),Data!Q28,"")</f>
        <v>44614</v>
      </c>
      <c r="E29" s="237" t="str">
        <f>IF(AND(Data!R28&lt;&gt;"",Data!L28="Accepté"),Data!R28,"")</f>
        <v>2022-023</v>
      </c>
      <c r="F29" s="326">
        <f>IF(AND(Data!R28&lt;&gt;"",Data!L28="Accepté"),Data!S28,"")</f>
        <v>8579</v>
      </c>
      <c r="G29" s="322">
        <f>IF(Data!R28='Delivery Plan'!E29,Data!U28,"")</f>
        <v>0</v>
      </c>
      <c r="H29" s="259"/>
      <c r="I29" s="391" t="str">
        <f t="shared" si="3"/>
        <v>S13</v>
      </c>
      <c r="J29" s="392">
        <f>IF(AND(E29=Data!R28,Data!AA28&lt;&gt;""),Data!AA28,"")</f>
        <v>44642</v>
      </c>
      <c r="K29" s="313">
        <f>IF(AND(E29=Data!R28,Data!AE28&lt;&gt;""),Data!AE28,"")</f>
        <v>44642</v>
      </c>
      <c r="L29" s="318">
        <f>IF(E29=Data!R28,Data!AI28,"")</f>
        <v>1</v>
      </c>
      <c r="M29" s="318" t="str">
        <f>IF(E29=Data!R28,Data!AJ28,"")</f>
        <v>Conception d'un chariot ATL2</v>
      </c>
      <c r="N29" s="437" t="str">
        <f>IF(AND(Data!R28&lt;&gt;"",Data!L28="Accepté"),Data!K28,"")</f>
        <v>ENGINEERING AIA</v>
      </c>
    </row>
    <row r="30" spans="1:14" s="258" customFormat="1" ht="15" hidden="1" customHeight="1" x14ac:dyDescent="0.3">
      <c r="A30" s="393" t="str">
        <f>IF(AND(Data!R29&lt;&gt;"",Data!L29="Accepté"),Data!G29,"")</f>
        <v/>
      </c>
      <c r="B30" s="393" t="str">
        <f>IF(AND(Data!R29&lt;&gt;"",Data!L29="Accepté"),Data!L29,"")</f>
        <v/>
      </c>
      <c r="C30" s="391" t="str">
        <f t="shared" si="2"/>
        <v/>
      </c>
      <c r="D30" s="392" t="str">
        <f>IF(AND(Data!Q29&lt;&gt;"",Data!L29="Accepté"),Data!Q29,"")</f>
        <v/>
      </c>
      <c r="E30" s="237" t="str">
        <f>IF(AND(Data!R29&lt;&gt;"",Data!L29="Accepté"),Data!R29,"")</f>
        <v/>
      </c>
      <c r="F30" s="326" t="str">
        <f>IF(AND(Data!R29&lt;&gt;"",Data!L29="Accepté"),Data!S29,"")</f>
        <v/>
      </c>
      <c r="G30" s="322">
        <f>IF(Data!R29='Delivery Plan'!E30,Data!U29,"")</f>
        <v>0</v>
      </c>
      <c r="H30" s="259"/>
      <c r="I30" s="391" t="str">
        <f t="shared" si="3"/>
        <v/>
      </c>
      <c r="J30" s="392" t="str">
        <f>IF(AND(E30=Data!R29,Data!AA29&lt;&gt;""),Data!AA29,"")</f>
        <v/>
      </c>
      <c r="K30" s="313" t="str">
        <f>IF(AND(E30=Data!R29,Data!AE29&lt;&gt;""),Data!AE29,"")</f>
        <v/>
      </c>
      <c r="L30" s="318">
        <f>IF(E30=Data!R29,Data!AI29,"")</f>
        <v>6</v>
      </c>
      <c r="M30" s="318" t="str">
        <f>IF(E30=Data!R29,Data!AJ29,"")</f>
        <v>Confection caissons</v>
      </c>
      <c r="N30" s="437" t="str">
        <f>IF(AND(Data!R29&lt;&gt;"",Data!L29="Accepté"),Data!K29,"")</f>
        <v/>
      </c>
    </row>
    <row r="31" spans="1:14" s="258" customFormat="1" ht="15" customHeight="1" x14ac:dyDescent="0.3">
      <c r="A31" s="393" t="str">
        <f>IF(AND(Data!R30&lt;&gt;"",Data!L30="Accepté"),Data!G30,"")</f>
        <v>AIRBUS OPERATIONS</v>
      </c>
      <c r="B31" s="393" t="str">
        <f>IF(AND(Data!R30&lt;&gt;"",Data!L30="Accepté"),Data!L30,"")</f>
        <v>Accepté</v>
      </c>
      <c r="C31" s="391" t="str">
        <f t="shared" si="2"/>
        <v>S49</v>
      </c>
      <c r="D31" s="392">
        <f>IF(AND(Data!Q30&lt;&gt;"",Data!L30="Accepté"),Data!Q30,"")</f>
        <v>44529</v>
      </c>
      <c r="E31" s="237" t="str">
        <f>IF(AND(Data!R30&lt;&gt;"",Data!L30="Accepté"),Data!R30,"")</f>
        <v>2021-101</v>
      </c>
      <c r="F31" s="326">
        <f>IF(AND(Data!R30&lt;&gt;"",Data!L30="Accepté"),Data!S30,"")</f>
        <v>2400</v>
      </c>
      <c r="G31" s="322">
        <f>IF(Data!R30='Delivery Plan'!E31,Data!U30,"")</f>
        <v>0</v>
      </c>
      <c r="H31" s="259"/>
      <c r="I31" s="391" t="str">
        <f t="shared" si="3"/>
        <v/>
      </c>
      <c r="J31" s="392" t="str">
        <f>IF(AND(E31=Data!R30,Data!AA30&lt;&gt;""),Data!AA30,"")</f>
        <v/>
      </c>
      <c r="K31" s="313">
        <f>IF(AND(E31=Data!R30,Data!AE30&lt;&gt;""),Data!AE30,"")</f>
        <v>44926</v>
      </c>
      <c r="L31" s="318">
        <f>IF(E31=Data!R30,Data!AI30,"")</f>
        <v>1</v>
      </c>
      <c r="M31" s="318" t="str">
        <f>IF(E31=Data!R30,Data!AJ30,"")</f>
        <v>Intervention sur TTR correction hauteur enrouleurs</v>
      </c>
      <c r="N31" s="437" t="str">
        <f>IF(AND(Data!R30&lt;&gt;"",Data!L30="Accepté"),Data!K30,"")</f>
        <v>SERVICE OTHER AIA</v>
      </c>
    </row>
    <row r="32" spans="1:14" s="258" customFormat="1" ht="15.75" hidden="1" customHeight="1" x14ac:dyDescent="0.3">
      <c r="A32" s="393" t="str">
        <f>IF(AND(Data!R31&lt;&gt;"",Data!L31="Accepté"),Data!G31,"")</f>
        <v>HYDRO SYSTEMS KG</v>
      </c>
      <c r="B32" s="393" t="str">
        <f>IF(AND(Data!R31&lt;&gt;"",Data!L31="Accepté"),Data!L31,"")</f>
        <v>Accepté</v>
      </c>
      <c r="C32" s="391" t="str">
        <f t="shared" si="2"/>
        <v>S50</v>
      </c>
      <c r="D32" s="392">
        <f>IF(AND(Data!Q31&lt;&gt;"",Data!L31="Accepté"),Data!Q31,"")</f>
        <v>44537</v>
      </c>
      <c r="E32" s="237" t="str">
        <f>IF(AND(Data!R31&lt;&gt;"",Data!L31="Accepté"),Data!R31,"")</f>
        <v>2021-104</v>
      </c>
      <c r="F32" s="326">
        <f>IF(AND(Data!R31&lt;&gt;"",Data!L31="Accepté"),Data!S31,"")</f>
        <v>4425</v>
      </c>
      <c r="G32" s="322">
        <f>IF(Data!R31='Delivery Plan'!E32,Data!U31,"")</f>
        <v>0</v>
      </c>
      <c r="H32" s="259"/>
      <c r="I32" s="391" t="str">
        <f t="shared" si="3"/>
        <v>S08</v>
      </c>
      <c r="J32" s="392">
        <f>IF(AND(E32=Data!R31,Data!AA31&lt;&gt;""),Data!AA31,"")</f>
        <v>44607</v>
      </c>
      <c r="K32" s="313">
        <f>IF(AND(E32=Data!R31,Data!AE31&lt;&gt;""),Data!AE31,"")</f>
        <v>44610</v>
      </c>
      <c r="L32" s="318">
        <f>IF(E32=Data!R31,Data!AI31,"")</f>
        <v>1</v>
      </c>
      <c r="M32" s="318" t="str">
        <f>IF(E32=Data!R31,Data!AJ31,"")</f>
        <v>Devis lot spares</v>
      </c>
      <c r="N32" s="437" t="str">
        <f>IF(AND(Data!R31&lt;&gt;"",Data!L31="Accepté"),Data!K31,"")</f>
        <v>TRADING OTHER AIA</v>
      </c>
    </row>
    <row r="33" spans="1:14" s="258" customFormat="1" ht="15" hidden="1" customHeight="1" x14ac:dyDescent="0.3">
      <c r="A33" s="393" t="str">
        <f>IF(AND(Data!R32&lt;&gt;"",Data!L32="Accepté"),Data!G32,"")</f>
        <v/>
      </c>
      <c r="B33" s="393" t="str">
        <f>IF(AND(Data!R32&lt;&gt;"",Data!L32="Accepté"),Data!L32,"")</f>
        <v/>
      </c>
      <c r="C33" s="391" t="str">
        <f t="shared" si="2"/>
        <v/>
      </c>
      <c r="D33" s="392" t="str">
        <f>IF(AND(Data!Q32&lt;&gt;"",Data!L32="Accepté"),Data!Q32,"")</f>
        <v/>
      </c>
      <c r="E33" s="237" t="str">
        <f>IF(AND(Data!R32&lt;&gt;"",Data!L32="Accepté"),Data!R32,"")</f>
        <v/>
      </c>
      <c r="F33" s="326" t="str">
        <f>IF(AND(Data!R32&lt;&gt;"",Data!L32="Accepté"),Data!S32,"")</f>
        <v/>
      </c>
      <c r="G33" s="322">
        <f>IF(Data!R32='Delivery Plan'!E33,Data!U32,"")</f>
        <v>0</v>
      </c>
      <c r="H33" s="259"/>
      <c r="I33" s="391" t="str">
        <f t="shared" si="3"/>
        <v/>
      </c>
      <c r="J33" s="392" t="str">
        <f>IF(AND(E33=Data!R32,Data!AA32&lt;&gt;""),Data!AA32,"")</f>
        <v/>
      </c>
      <c r="K33" s="313" t="str">
        <f>IF(AND(E33=Data!R32,Data!AE32&lt;&gt;""),Data!AE32,"")</f>
        <v/>
      </c>
      <c r="L33" s="318">
        <f>IF(E33=Data!R32,Data!AI32,"")</f>
        <v>1</v>
      </c>
      <c r="M33" s="318" t="str">
        <f>IF(E33=Data!R32,Data!AJ32,"")</f>
        <v>Devis lot spares</v>
      </c>
      <c r="N33" s="437" t="str">
        <f>IF(AND(Data!R32&lt;&gt;"",Data!L32="Accepté"),Data!K32,"")</f>
        <v/>
      </c>
    </row>
    <row r="34" spans="1:14" s="258" customFormat="1" ht="15" hidden="1" customHeight="1" x14ac:dyDescent="0.3">
      <c r="A34" s="393" t="str">
        <f>IF(AND(Data!R33&lt;&gt;"",Data!L33="Accepté"),Data!G33,"")</f>
        <v/>
      </c>
      <c r="B34" s="393" t="str">
        <f>IF(AND(Data!R33&lt;&gt;"",Data!L33="Accepté"),Data!L33,"")</f>
        <v/>
      </c>
      <c r="C34" s="391" t="str">
        <f t="shared" si="2"/>
        <v/>
      </c>
      <c r="D34" s="392" t="str">
        <f>IF(AND(Data!Q33&lt;&gt;"",Data!L33="Accepté"),Data!Q33,"")</f>
        <v/>
      </c>
      <c r="E34" s="237" t="str">
        <f>IF(AND(Data!R33&lt;&gt;"",Data!L33="Accepté"),Data!R33,"")</f>
        <v/>
      </c>
      <c r="F34" s="326" t="str">
        <f>IF(AND(Data!R33&lt;&gt;"",Data!L33="Accepté"),Data!S33,"")</f>
        <v/>
      </c>
      <c r="G34" s="322">
        <f>IF(Data!R33='Delivery Plan'!E34,Data!U33,"")</f>
        <v>0</v>
      </c>
      <c r="H34" s="259"/>
      <c r="I34" s="391" t="str">
        <f t="shared" si="3"/>
        <v/>
      </c>
      <c r="J34" s="392" t="str">
        <f>IF(AND(E34=Data!R33,Data!AA33&lt;&gt;""),Data!AA33,"")</f>
        <v/>
      </c>
      <c r="K34" s="313" t="str">
        <f>IF(AND(E34=Data!R33,Data!AE33&lt;&gt;""),Data!AE33,"")</f>
        <v/>
      </c>
      <c r="L34" s="318">
        <f>IF(E34=Data!R33,Data!AI33,"")</f>
        <v>1</v>
      </c>
      <c r="M34" s="318" t="str">
        <f>IF(E34=Data!R33,Data!AJ33,"")</f>
        <v xml:space="preserve">Lot de Balls Transfer </v>
      </c>
      <c r="N34" s="437" t="str">
        <f>IF(AND(Data!R33&lt;&gt;"",Data!L33="Accepté"),Data!K33,"")</f>
        <v/>
      </c>
    </row>
    <row r="35" spans="1:14" s="258" customFormat="1" ht="15" hidden="1" customHeight="1" x14ac:dyDescent="0.3">
      <c r="A35" s="393" t="str">
        <f>IF(AND(Data!R34&lt;&gt;"",Data!L34="Accepté"),Data!G34,"")</f>
        <v>AIA</v>
      </c>
      <c r="B35" s="393" t="str">
        <f>IF(AND(Data!R34&lt;&gt;"",Data!L34="Accepté"),Data!L34,"")</f>
        <v>Accepté</v>
      </c>
      <c r="C35" s="391" t="str">
        <f t="shared" si="2"/>
        <v>S50</v>
      </c>
      <c r="D35" s="392">
        <f>IF(AND(Data!Q34&lt;&gt;"",Data!L34="Accepté"),Data!Q34,"")</f>
        <v>44538</v>
      </c>
      <c r="E35" s="237" t="str">
        <f>IF(AND(Data!R34&lt;&gt;"",Data!L34="Accepté"),Data!R34,"")</f>
        <v>2021-106</v>
      </c>
      <c r="F35" s="326">
        <f>IF(AND(Data!R34&lt;&gt;"",Data!L34="Accepté"),Data!S34,"")</f>
        <v>3460</v>
      </c>
      <c r="G35" s="322">
        <f>IF(Data!R34='Delivery Plan'!E35,Data!U34,"")</f>
        <v>0</v>
      </c>
      <c r="H35" s="259"/>
      <c r="I35" s="391" t="str">
        <f t="shared" si="3"/>
        <v>S07</v>
      </c>
      <c r="J35" s="392">
        <f>IF(AND(E35=Data!R34,Data!AA34&lt;&gt;""),Data!AA34,"")</f>
        <v>44599</v>
      </c>
      <c r="K35" s="313">
        <f>IF(AND(E35=Data!R34,Data!AE34&lt;&gt;""),Data!AE34,"")</f>
        <v>44600</v>
      </c>
      <c r="L35" s="318">
        <f>IF(E35=Data!R34,Data!AI34,"")</f>
        <v>6</v>
      </c>
      <c r="M35" s="318" t="str">
        <f>IF(E35=Data!R34,Data!AJ34,"")</f>
        <v>Remise en service crics et vérins</v>
      </c>
      <c r="N35" s="437" t="str">
        <f>IF(AND(Data!R34&lt;&gt;"",Data!L34="Accepté"),Data!K34,"")</f>
        <v>SERVICE AIA</v>
      </c>
    </row>
    <row r="36" spans="1:14" s="258" customFormat="1" ht="15" hidden="1" customHeight="1" x14ac:dyDescent="0.3">
      <c r="A36" s="393" t="str">
        <f>IF(AND(Data!R35&lt;&gt;"",Data!L35="Accepté"),Data!G35,"")</f>
        <v>AIA</v>
      </c>
      <c r="B36" s="393" t="str">
        <f>IF(AND(Data!R35&lt;&gt;"",Data!L35="Accepté"),Data!L35,"")</f>
        <v>Accepté</v>
      </c>
      <c r="C36" s="391" t="str">
        <f t="shared" si="2"/>
        <v>S03</v>
      </c>
      <c r="D36" s="392">
        <f>IF(AND(Data!Q35&lt;&gt;"",Data!L35="Accepté"),Data!Q35,"")</f>
        <v>44571</v>
      </c>
      <c r="E36" s="237" t="str">
        <f>IF(AND(Data!R35&lt;&gt;"",Data!L35="Accepté"),Data!R35,"")</f>
        <v>2022-003</v>
      </c>
      <c r="F36" s="326">
        <f>IF(AND(Data!R35&lt;&gt;"",Data!L35="Accepté"),Data!S35,"")</f>
        <v>7200</v>
      </c>
      <c r="G36" s="322">
        <f>IF(Data!R35='Delivery Plan'!E36,Data!U35,"")</f>
        <v>0</v>
      </c>
      <c r="H36" s="259"/>
      <c r="I36" s="391" t="str">
        <f t="shared" si="3"/>
        <v>S07</v>
      </c>
      <c r="J36" s="392">
        <f>IF(AND(E36=Data!R35,Data!AA35&lt;&gt;""),Data!AA35,"")</f>
        <v>44599</v>
      </c>
      <c r="K36" s="313" t="str">
        <f>IF(AND(E36=Data!R35,Data!AE35&lt;&gt;""),Data!AE35,"")</f>
        <v>29/02</v>
      </c>
      <c r="L36" s="318">
        <f>IF(E36=Data!R35,Data!AI35,"")</f>
        <v>6</v>
      </c>
      <c r="M36" s="318" t="str">
        <f>IF(E36=Data!R35,Data!AJ35,"")</f>
        <v>Maintenance curative crics et vérins</v>
      </c>
      <c r="N36" s="437" t="str">
        <f>IF(AND(Data!R35&lt;&gt;"",Data!L35="Accepté"),Data!K35,"")</f>
        <v>SERVICE AIA</v>
      </c>
    </row>
    <row r="37" spans="1:14" s="258" customFormat="1" ht="15" hidden="1" customHeight="1" x14ac:dyDescent="0.3">
      <c r="A37" s="393" t="str">
        <f>IF(AND(Data!R36&lt;&gt;"",Data!L36="Accepté"),Data!G36,"")</f>
        <v>AIA</v>
      </c>
      <c r="B37" s="393" t="str">
        <f>IF(AND(Data!R36&lt;&gt;"",Data!L36="Accepté"),Data!L36,"")</f>
        <v>Accepté</v>
      </c>
      <c r="C37" s="391" t="str">
        <f t="shared" si="2"/>
        <v>S03</v>
      </c>
      <c r="D37" s="392">
        <f>IF(AND(Data!Q36&lt;&gt;"",Data!L36="Accepté"),Data!Q36,"")</f>
        <v>44575</v>
      </c>
      <c r="E37" s="237" t="str">
        <f>IF(AND(Data!R36&lt;&gt;"",Data!L36="Accepté"),Data!R36,"")</f>
        <v>2022-006</v>
      </c>
      <c r="F37" s="326">
        <f>IF(AND(Data!R36&lt;&gt;"",Data!L36="Accepté"),Data!S36,"")</f>
        <v>2650</v>
      </c>
      <c r="G37" s="322">
        <f>IF(Data!R36='Delivery Plan'!E37,Data!U36,"")</f>
        <v>0</v>
      </c>
      <c r="H37" s="259"/>
      <c r="I37" s="391" t="str">
        <f t="shared" si="3"/>
        <v>S10</v>
      </c>
      <c r="J37" s="392">
        <f>IF(AND(E37=Data!R36,Data!AA36&lt;&gt;""),Data!AA36,"")</f>
        <v>44622</v>
      </c>
      <c r="K37" s="313">
        <f>IF(AND(E37=Data!R36,Data!AE36&lt;&gt;""),Data!AE36,"")</f>
        <v>44644</v>
      </c>
      <c r="L37" s="318">
        <f>IF(E37=Data!R36,Data!AI36,"")</f>
        <v>5</v>
      </c>
      <c r="M37" s="318" t="str">
        <f>IF(E37=Data!R36,Data!AJ36,"")</f>
        <v>Remise en service crics et vérins</v>
      </c>
      <c r="N37" s="437" t="str">
        <f>IF(AND(Data!R36&lt;&gt;"",Data!L36="Accepté"),Data!K36,"")</f>
        <v>SERVICE AIA</v>
      </c>
    </row>
    <row r="38" spans="1:14" s="258" customFormat="1" ht="15" hidden="1" customHeight="1" x14ac:dyDescent="0.3">
      <c r="A38" s="393" t="str">
        <f>IF(AND(Data!R37&lt;&gt;"",Data!L37="Accepté"),Data!G37,"")</f>
        <v>AIA</v>
      </c>
      <c r="B38" s="393" t="str">
        <f>IF(AND(Data!R37&lt;&gt;"",Data!L37="Accepté"),Data!L37,"")</f>
        <v>Accepté</v>
      </c>
      <c r="C38" s="391" t="str">
        <f t="shared" si="2"/>
        <v>S06</v>
      </c>
      <c r="D38" s="392">
        <f>IF(AND(Data!Q37&lt;&gt;"",Data!L37="Accepté"),Data!Q37,"")</f>
        <v>44594</v>
      </c>
      <c r="E38" s="237" t="str">
        <f>IF(AND(Data!R37&lt;&gt;"",Data!L37="Accepté"),Data!R37,"")</f>
        <v>2022-015</v>
      </c>
      <c r="F38" s="326">
        <f>IF(AND(Data!R37&lt;&gt;"",Data!L37="Accepté"),Data!S37,"")</f>
        <v>5150</v>
      </c>
      <c r="G38" s="322">
        <f>IF(Data!R37='Delivery Plan'!E38,Data!U37,"")</f>
        <v>0</v>
      </c>
      <c r="H38" s="259"/>
      <c r="I38" s="391" t="str">
        <f t="shared" si="3"/>
        <v>S09</v>
      </c>
      <c r="J38" s="392">
        <f>IF(AND(E38=Data!R37,Data!AA37&lt;&gt;""),Data!AA37,"")</f>
        <v>44614</v>
      </c>
      <c r="K38" s="313">
        <f>IF(AND(E38=Data!R37,Data!AE37&lt;&gt;""),Data!AE37,"")</f>
        <v>44658</v>
      </c>
      <c r="L38" s="318">
        <f>IF(E38=Data!R37,Data!AI37,"")</f>
        <v>5</v>
      </c>
      <c r="M38" s="318" t="str">
        <f>IF(E38=Data!R37,Data!AJ37,"")</f>
        <v>Maintenance curative crics et vérins</v>
      </c>
      <c r="N38" s="437" t="str">
        <f>IF(AND(Data!R37&lt;&gt;"",Data!L37="Accepté"),Data!K37,"")</f>
        <v>SERVICE AIA</v>
      </c>
    </row>
    <row r="39" spans="1:14" s="258" customFormat="1" ht="15" hidden="1" customHeight="1" x14ac:dyDescent="0.3">
      <c r="A39" s="393" t="str">
        <f>IF(AND(Data!R38&lt;&gt;"",Data!L38="Accepté"),Data!G38,"")</f>
        <v>HOP</v>
      </c>
      <c r="B39" s="393" t="str">
        <f>IF(AND(Data!R38&lt;&gt;"",Data!L38="Accepté"),Data!L38,"")</f>
        <v>Accepté</v>
      </c>
      <c r="C39" s="391" t="str">
        <f t="shared" si="2"/>
        <v>S47</v>
      </c>
      <c r="D39" s="392">
        <f>IF(AND(Data!Q38&lt;&gt;"",Data!L38="Accepté"),Data!Q38,"")</f>
        <v>44517</v>
      </c>
      <c r="E39" s="237" t="str">
        <f>IF(AND(Data!R38&lt;&gt;"",Data!L38="Accepté"),Data!R38,"")</f>
        <v>2021-099</v>
      </c>
      <c r="F39" s="326">
        <f>IF(AND(Data!R38&lt;&gt;"",Data!L38="Accepté"),Data!S38,"")</f>
        <v>1332</v>
      </c>
      <c r="G39" s="322">
        <f>IF(Data!R38='Delivery Plan'!E39,Data!U38,"")</f>
        <v>0</v>
      </c>
      <c r="H39" s="259"/>
      <c r="I39" s="391" t="str">
        <f t="shared" si="3"/>
        <v>S03</v>
      </c>
      <c r="J39" s="392">
        <f>IF(AND(E39=Data!R38,Data!AA38&lt;&gt;""),Data!AA38,"")</f>
        <v>44574</v>
      </c>
      <c r="K39" s="313">
        <f>IF(AND(E39=Data!R38,Data!AE38&lt;&gt;""),Data!AE38,"")</f>
        <v>44926</v>
      </c>
      <c r="L39" s="318">
        <f>IF(E39=Data!R38,Data!AI38,"")</f>
        <v>1</v>
      </c>
      <c r="M39" s="318" t="str">
        <f>IF(E39=Data!R38,Data!AJ38,"")</f>
        <v>Réparation cric RT4550-001</v>
      </c>
      <c r="N39" s="437" t="str">
        <f>IF(AND(Data!R38&lt;&gt;"",Data!L38="Accepté"),Data!K38,"")</f>
        <v>SERVICE OTHER AIA</v>
      </c>
    </row>
    <row r="40" spans="1:14" hidden="1" x14ac:dyDescent="0.3">
      <c r="A40" s="393" t="str">
        <f>IF(AND(Data!R39&lt;&gt;"",Data!L39="Accepté"),Data!G39,"")</f>
        <v/>
      </c>
      <c r="B40" s="393" t="str">
        <f>IF(AND(Data!R39&lt;&gt;"",Data!L39="Accepté"),Data!L39,"")</f>
        <v/>
      </c>
      <c r="C40" s="391" t="str">
        <f t="shared" si="2"/>
        <v/>
      </c>
      <c r="D40" s="392" t="str">
        <f>IF(AND(Data!Q39&lt;&gt;"",Data!L39="Accepté"),Data!Q39,"")</f>
        <v/>
      </c>
      <c r="E40" s="237" t="str">
        <f>IF(AND(Data!R39&lt;&gt;"",Data!L39="Accepté"),Data!R39,"")</f>
        <v/>
      </c>
      <c r="F40" s="326" t="str">
        <f>IF(AND(Data!R39&lt;&gt;"",Data!L39="Accepté"),Data!S39,"")</f>
        <v/>
      </c>
      <c r="G40" s="322">
        <f>IF(Data!R39='Delivery Plan'!E40,Data!U39,"")</f>
        <v>0</v>
      </c>
      <c r="H40" s="259"/>
      <c r="I40" s="391" t="str">
        <f t="shared" si="3"/>
        <v/>
      </c>
      <c r="J40" s="392" t="str">
        <f>IF(AND(E40=Data!R39,Data!AA39&lt;&gt;""),Data!AA39,"")</f>
        <v/>
      </c>
      <c r="K40" s="313" t="str">
        <f>IF(AND(E40=Data!R39,Data!AE39&lt;&gt;""),Data!AE39,"")</f>
        <v/>
      </c>
      <c r="L40" s="318">
        <f>IF(E40=Data!R39,Data!AI39,"")</f>
        <v>1</v>
      </c>
      <c r="M40" s="318" t="str">
        <f>IF(E40=Data!R39,Data!AJ39,"")</f>
        <v>Changement joints pompes + VGP sur site client</v>
      </c>
      <c r="N40" s="437" t="str">
        <f>IF(AND(Data!R39&lt;&gt;"",Data!L39="Accepté"),Data!K39,"")</f>
        <v/>
      </c>
    </row>
    <row r="41" spans="1:14" hidden="1" x14ac:dyDescent="0.3">
      <c r="A41" s="393" t="str">
        <f>IF(AND(Data!R40&lt;&gt;"",Data!L40="Accepté"),Data!G40,"")</f>
        <v/>
      </c>
      <c r="B41" s="393" t="str">
        <f>IF(AND(Data!R40&lt;&gt;"",Data!L40="Accepté"),Data!L40,"")</f>
        <v/>
      </c>
      <c r="C41" s="391" t="str">
        <f t="shared" si="2"/>
        <v/>
      </c>
      <c r="D41" s="392" t="str">
        <f>IF(AND(Data!Q40&lt;&gt;"",Data!L40="Accepté"),Data!Q40,"")</f>
        <v/>
      </c>
      <c r="E41" s="237" t="str">
        <f>IF(AND(Data!R40&lt;&gt;"",Data!L40="Accepté"),Data!R40,"")</f>
        <v/>
      </c>
      <c r="F41" s="326" t="str">
        <f>IF(AND(Data!R40&lt;&gt;"",Data!L40="Accepté"),Data!S40,"")</f>
        <v/>
      </c>
      <c r="G41" s="322">
        <f>IF(Data!R40='Delivery Plan'!E41,Data!U40,"")</f>
        <v>0</v>
      </c>
      <c r="H41" s="259"/>
      <c r="I41" s="391" t="str">
        <f t="shared" si="3"/>
        <v/>
      </c>
      <c r="J41" s="392" t="str">
        <f>IF(AND(E41=Data!R40,Data!AA40&lt;&gt;""),Data!AA40,"")</f>
        <v/>
      </c>
      <c r="K41" s="313" t="str">
        <f>IF(AND(E41=Data!R40,Data!AE40&lt;&gt;""),Data!AE40,"")</f>
        <v/>
      </c>
      <c r="L41" s="318">
        <f>IF(E41=Data!R40,Data!AI40,"")</f>
        <v>1</v>
      </c>
      <c r="M41" s="318" t="str">
        <f>IF(E41=Data!R40,Data!AJ40,"")</f>
        <v>Changement joints pompes + VGP in-house</v>
      </c>
      <c r="N41" s="437" t="str">
        <f>IF(AND(Data!R40&lt;&gt;"",Data!L40="Accepté"),Data!K40,"")</f>
        <v/>
      </c>
    </row>
    <row r="42" spans="1:14" hidden="1" x14ac:dyDescent="0.3">
      <c r="A42" s="393" t="str">
        <f>IF(AND(Data!R41&lt;&gt;"",Data!L41="Accepté"),Data!G41,"")</f>
        <v/>
      </c>
      <c r="B42" s="393" t="str">
        <f>IF(AND(Data!R41&lt;&gt;"",Data!L41="Accepté"),Data!L41,"")</f>
        <v/>
      </c>
      <c r="C42" s="391" t="str">
        <f t="shared" si="2"/>
        <v/>
      </c>
      <c r="D42" s="392" t="str">
        <f>IF(AND(Data!Q41&lt;&gt;"",Data!L41="Accepté"),Data!Q41,"")</f>
        <v/>
      </c>
      <c r="E42" s="237" t="str">
        <f>IF(AND(Data!R41&lt;&gt;"",Data!L41="Accepté"),Data!R41,"")</f>
        <v/>
      </c>
      <c r="F42" s="326" t="str">
        <f>IF(AND(Data!R41&lt;&gt;"",Data!L41="Accepté"),Data!S41,"")</f>
        <v/>
      </c>
      <c r="G42" s="322">
        <f>IF(Data!R41='Delivery Plan'!E42,Data!U41,"")</f>
        <v>0</v>
      </c>
      <c r="H42" s="259"/>
      <c r="I42" s="391" t="str">
        <f t="shared" si="3"/>
        <v/>
      </c>
      <c r="J42" s="392" t="str">
        <f>IF(AND(E42=Data!R41,Data!AA41&lt;&gt;""),Data!AA41,"")</f>
        <v/>
      </c>
      <c r="K42" s="313" t="str">
        <f>IF(AND(E42=Data!R41,Data!AE41&lt;&gt;""),Data!AE41,"")</f>
        <v/>
      </c>
      <c r="L42" s="318">
        <f>IF(E42=Data!R41,Data!AI41,"")</f>
        <v>6</v>
      </c>
      <c r="M42" s="318" t="str">
        <f>IF(E42=Data!R41,Data!AJ41,"")</f>
        <v>Conception et facbrication chariot roues C130</v>
      </c>
      <c r="N42" s="437" t="str">
        <f>IF(AND(Data!R41&lt;&gt;"",Data!L41="Accepté"),Data!K41,"")</f>
        <v/>
      </c>
    </row>
    <row r="43" spans="1:14" x14ac:dyDescent="0.3">
      <c r="A43" s="393" t="str">
        <f>IF(AND(Data!R42&lt;&gt;"",Data!L42="Accepté"),Data!G42,"")</f>
        <v>DALE</v>
      </c>
      <c r="B43" s="393" t="str">
        <f>IF(AND(Data!R42&lt;&gt;"",Data!L42="Accepté"),Data!L42,"")</f>
        <v>Accepté</v>
      </c>
      <c r="C43" s="391" t="str">
        <f t="shared" si="2"/>
        <v>S49</v>
      </c>
      <c r="D43" s="392">
        <f>IF(AND(Data!Q42&lt;&gt;"",Data!L42="Accepté"),Data!Q42,"")</f>
        <v>44532</v>
      </c>
      <c r="E43" s="237" t="str">
        <f>IF(AND(Data!R42&lt;&gt;"",Data!L42="Accepté"),Data!R42,"")</f>
        <v>2021-102</v>
      </c>
      <c r="F43" s="326">
        <f>IF(AND(Data!R42&lt;&gt;"",Data!L42="Accepté"),Data!S42,"")</f>
        <v>5877</v>
      </c>
      <c r="G43" s="322">
        <f>IF(Data!R42='Delivery Plan'!E43,Data!U42,"")</f>
        <v>0</v>
      </c>
      <c r="H43" s="259"/>
      <c r="I43" s="391" t="str">
        <f t="shared" si="3"/>
        <v/>
      </c>
      <c r="J43" s="392" t="str">
        <f>IF(AND(E43=Data!R42,Data!AA42&lt;&gt;""),Data!AA42,"")</f>
        <v/>
      </c>
      <c r="K43" s="313">
        <f>IF(AND(E43=Data!R42,Data!AE42&lt;&gt;""),Data!AE42,"")</f>
        <v>44680</v>
      </c>
      <c r="L43" s="318">
        <f>IF(E43=Data!R42,Data!AI42,"")</f>
        <v>1</v>
      </c>
      <c r="M43" s="318" t="str">
        <f>IF(E43=Data!R42,Data!AJ42,"")</f>
        <v>Recertification et entretien hoist</v>
      </c>
      <c r="N43" s="437" t="str">
        <f>IF(AND(Data!R42&lt;&gt;"",Data!L42="Accepté"),Data!K42,"")</f>
        <v>SERVICE OTHER AIA</v>
      </c>
    </row>
    <row r="44" spans="1:14" hidden="1" x14ac:dyDescent="0.3">
      <c r="A44" s="393" t="str">
        <f>IF(AND(Data!R43&lt;&gt;"",Data!L43="Accepté"),Data!G43,"")</f>
        <v/>
      </c>
      <c r="B44" s="393" t="str">
        <f>IF(AND(Data!R43&lt;&gt;"",Data!L43="Accepté"),Data!L43,"")</f>
        <v/>
      </c>
      <c r="C44" s="391" t="str">
        <f t="shared" si="2"/>
        <v/>
      </c>
      <c r="D44" s="392" t="str">
        <f>IF(AND(Data!Q43&lt;&gt;"",Data!L43="Accepté"),Data!Q43,"")</f>
        <v/>
      </c>
      <c r="E44" s="237" t="str">
        <f>IF(AND(Data!R43&lt;&gt;"",Data!L43="Accepté"),Data!R43,"")</f>
        <v/>
      </c>
      <c r="F44" s="326" t="str">
        <f>IF(AND(Data!R43&lt;&gt;"",Data!L43="Accepté"),Data!S43,"")</f>
        <v/>
      </c>
      <c r="G44" s="322">
        <f>IF(Data!R43='Delivery Plan'!E44,Data!U43,"")</f>
        <v>0</v>
      </c>
      <c r="H44" s="259"/>
      <c r="I44" s="391" t="str">
        <f t="shared" si="3"/>
        <v/>
      </c>
      <c r="J44" s="392" t="str">
        <f>IF(AND(E44=Data!R43,Data!AA43&lt;&gt;""),Data!AA43,"")</f>
        <v/>
      </c>
      <c r="K44" s="313" t="str">
        <f>IF(AND(E44=Data!R43,Data!AE43&lt;&gt;""),Data!AE43,"")</f>
        <v/>
      </c>
      <c r="L44" s="318">
        <f>IF(E44=Data!R43,Data!AI43,"")</f>
        <v>5</v>
      </c>
      <c r="M44" s="318" t="str">
        <f>IF(E44=Data!R43,Data!AJ43,"")</f>
        <v>Recertification A400M tripod set</v>
      </c>
      <c r="N44" s="437" t="str">
        <f>IF(AND(Data!R43&lt;&gt;"",Data!L43="Accepté"),Data!K43,"")</f>
        <v/>
      </c>
    </row>
    <row r="45" spans="1:14" hidden="1" x14ac:dyDescent="0.3">
      <c r="A45" s="393" t="str">
        <f>IF(AND(Data!R44&lt;&gt;"",Data!L44="Accepté"),Data!G44,"")</f>
        <v>AIA BORDEAUX</v>
      </c>
      <c r="B45" s="393" t="str">
        <f>IF(AND(Data!R44&lt;&gt;"",Data!L44="Accepté"),Data!L44,"")</f>
        <v>Accepté</v>
      </c>
      <c r="C45" s="391" t="str">
        <f t="shared" si="2"/>
        <v>S52</v>
      </c>
      <c r="D45" s="392">
        <f>IF(AND(Data!Q44&lt;&gt;"",Data!L44="Accepté"),Data!Q44,"")</f>
        <v>44551</v>
      </c>
      <c r="E45" s="237" t="str">
        <f>IF(AND(Data!R44&lt;&gt;"",Data!L44="Accepté"),Data!R44,"")</f>
        <v>2021-109</v>
      </c>
      <c r="F45" s="326">
        <f>IF(AND(Data!R44&lt;&gt;"",Data!L44="Accepté"),Data!S44,"")</f>
        <v>2750</v>
      </c>
      <c r="G45" s="322">
        <f>IF(Data!R44='Delivery Plan'!E45,Data!U44,"")</f>
        <v>0</v>
      </c>
      <c r="H45" s="259"/>
      <c r="I45" s="391" t="str">
        <f t="shared" si="3"/>
        <v>S04</v>
      </c>
      <c r="J45" s="392">
        <f>IF(AND(E45=Data!R44,Data!AA44&lt;&gt;""),Data!AA44,"")</f>
        <v>44580</v>
      </c>
      <c r="K45" s="313">
        <f>IF(AND(E45=Data!R44,Data!AE44&lt;&gt;""),Data!AE44,"")</f>
        <v>44589</v>
      </c>
      <c r="L45" s="318">
        <f>IF(E45=Data!R44,Data!AI44,"")</f>
        <v>2</v>
      </c>
      <c r="M45" s="318" t="str">
        <f>IF(E45=Data!R44,Data!AJ44,"")</f>
        <v>Fabrication flans en contreplaqué</v>
      </c>
      <c r="N45" s="437" t="str">
        <f>IF(AND(Data!R44&lt;&gt;"",Data!L44="Accepté"),Data!K44,"")</f>
        <v>FCP AIA</v>
      </c>
    </row>
    <row r="46" spans="1:14" hidden="1" x14ac:dyDescent="0.3">
      <c r="A46" s="393" t="str">
        <f>IF(AND(Data!R45&lt;&gt;"",Data!L45="Accepté"),Data!G45,"")</f>
        <v/>
      </c>
      <c r="B46" s="393" t="str">
        <f>IF(AND(Data!R45&lt;&gt;"",Data!L45="Accepté"),Data!L45,"")</f>
        <v/>
      </c>
      <c r="C46" s="391" t="str">
        <f t="shared" si="2"/>
        <v/>
      </c>
      <c r="D46" s="392" t="str">
        <f>IF(AND(Data!Q45&lt;&gt;"",Data!L45="Accepté"),Data!Q45,"")</f>
        <v/>
      </c>
      <c r="E46" s="237" t="str">
        <f>IF(AND(Data!R45&lt;&gt;"",Data!L45="Accepté"),Data!R45,"")</f>
        <v/>
      </c>
      <c r="F46" s="326" t="str">
        <f>IF(AND(Data!R45&lt;&gt;"",Data!L45="Accepté"),Data!S45,"")</f>
        <v/>
      </c>
      <c r="G46" s="322">
        <f>IF(Data!R45='Delivery Plan'!E46,Data!U45,"")</f>
        <v>0</v>
      </c>
      <c r="H46" s="259"/>
      <c r="I46" s="391" t="str">
        <f t="shared" si="3"/>
        <v/>
      </c>
      <c r="J46" s="392" t="str">
        <f>IF(AND(E46=Data!R45,Data!AA45&lt;&gt;""),Data!AA45,"")</f>
        <v/>
      </c>
      <c r="K46" s="313" t="str">
        <f>IF(AND(E46=Data!R45,Data!AE45&lt;&gt;""),Data!AE45,"")</f>
        <v/>
      </c>
      <c r="L46" s="318">
        <f>IF(E46=Data!R45,Data!AI45,"")</f>
        <v>20</v>
      </c>
      <c r="M46" s="318" t="str">
        <f>IF(E46=Data!R45,Data!AJ45,"")</f>
        <v>Recertification crics</v>
      </c>
      <c r="N46" s="437" t="str">
        <f>IF(AND(Data!R45&lt;&gt;"",Data!L45="Accepté"),Data!K45,"")</f>
        <v/>
      </c>
    </row>
    <row r="47" spans="1:14" hidden="1" x14ac:dyDescent="0.3">
      <c r="A47" s="393" t="str">
        <f>IF(AND(Data!R46&lt;&gt;"",Data!L46="Accepté"),Data!G46,"")</f>
        <v/>
      </c>
      <c r="B47" s="393" t="str">
        <f>IF(AND(Data!R46&lt;&gt;"",Data!L46="Accepté"),Data!L46,"")</f>
        <v/>
      </c>
      <c r="C47" s="391" t="str">
        <f t="shared" si="2"/>
        <v/>
      </c>
      <c r="D47" s="392" t="str">
        <f>IF(AND(Data!Q46&lt;&gt;"",Data!L46="Accepté"),Data!Q46,"")</f>
        <v/>
      </c>
      <c r="E47" s="237" t="str">
        <f>IF(AND(Data!R46&lt;&gt;"",Data!L46="Accepté"),Data!R46,"")</f>
        <v/>
      </c>
      <c r="F47" s="326" t="str">
        <f>IF(AND(Data!R46&lt;&gt;"",Data!L46="Accepté"),Data!S46,"")</f>
        <v/>
      </c>
      <c r="G47" s="322">
        <f>IF(Data!R46='Delivery Plan'!E47,Data!U46,"")</f>
        <v>0</v>
      </c>
      <c r="H47" s="259"/>
      <c r="I47" s="391" t="str">
        <f t="shared" si="3"/>
        <v/>
      </c>
      <c r="J47" s="392" t="str">
        <f>IF(AND(E47=Data!R46,Data!AA46&lt;&gt;""),Data!AA46,"")</f>
        <v/>
      </c>
      <c r="K47" s="313" t="str">
        <f>IF(AND(E47=Data!R46,Data!AE46&lt;&gt;""),Data!AE46,"")</f>
        <v/>
      </c>
      <c r="L47" s="318">
        <f>IF(E47=Data!R46,Data!AI46,"")</f>
        <v>1</v>
      </c>
      <c r="M47" s="318" t="str">
        <f>IF(E47=Data!R46,Data!AJ46,"")</f>
        <v>Recertification cric RT4550-001</v>
      </c>
      <c r="N47" s="437" t="str">
        <f>IF(AND(Data!R46&lt;&gt;"",Data!L46="Accepté"),Data!K46,"")</f>
        <v/>
      </c>
    </row>
    <row r="48" spans="1:14" hidden="1" x14ac:dyDescent="0.3">
      <c r="A48" s="393" t="str">
        <f>IF(AND(Data!R47&lt;&gt;"",Data!L47="Accepté"),Data!G47,"")</f>
        <v/>
      </c>
      <c r="B48" s="393" t="str">
        <f>IF(AND(Data!R47&lt;&gt;"",Data!L47="Accepté"),Data!L47,"")</f>
        <v/>
      </c>
      <c r="C48" s="391" t="str">
        <f t="shared" si="2"/>
        <v/>
      </c>
      <c r="D48" s="392" t="str">
        <f>IF(AND(Data!Q47&lt;&gt;"",Data!L47="Accepté"),Data!Q47,"")</f>
        <v/>
      </c>
      <c r="E48" s="237" t="str">
        <f>IF(AND(Data!R47&lt;&gt;"",Data!L47="Accepté"),Data!R47,"")</f>
        <v/>
      </c>
      <c r="F48" s="326" t="str">
        <f>IF(AND(Data!R47&lt;&gt;"",Data!L47="Accepté"),Data!S47,"")</f>
        <v/>
      </c>
      <c r="G48" s="322">
        <f>IF(Data!R47='Delivery Plan'!E48,Data!U47,"")</f>
        <v>0</v>
      </c>
      <c r="H48" s="259"/>
      <c r="I48" s="391" t="str">
        <f t="shared" si="3"/>
        <v/>
      </c>
      <c r="J48" s="392" t="str">
        <f>IF(AND(E48=Data!R47,Data!AA47&lt;&gt;""),Data!AA47,"")</f>
        <v/>
      </c>
      <c r="K48" s="313" t="str">
        <f>IF(AND(E48=Data!R47,Data!AE47&lt;&gt;""),Data!AE47,"")</f>
        <v/>
      </c>
      <c r="L48" s="318">
        <f>IF(E48=Data!R47,Data!AI47,"")</f>
        <v>1</v>
      </c>
      <c r="M48" s="318" t="str">
        <f>IF(E48=Data!R47,Data!AJ47,"")</f>
        <v>Test statique sur site client rome</v>
      </c>
      <c r="N48" s="437" t="str">
        <f>IF(AND(Data!R47&lt;&gt;"",Data!L47="Accepté"),Data!K47,"")</f>
        <v/>
      </c>
    </row>
    <row r="49" spans="1:15" hidden="1" x14ac:dyDescent="0.3">
      <c r="A49" s="393" t="str">
        <f>IF(AND(Data!R48&lt;&gt;"",Data!L48="Accepté"),Data!G48,"")</f>
        <v>HYDRO SYSTEMS KG</v>
      </c>
      <c r="B49" s="393" t="str">
        <f>IF(AND(Data!R48&lt;&gt;"",Data!L48="Accepté"),Data!L48,"")</f>
        <v>Accepté</v>
      </c>
      <c r="C49" s="391" t="str">
        <f t="shared" si="2"/>
        <v>S08</v>
      </c>
      <c r="D49" s="392">
        <f>IF(AND(Data!Q48&lt;&gt;"",Data!L48="Accepté"),Data!Q48,"")</f>
        <v>44607</v>
      </c>
      <c r="E49" s="237" t="str">
        <f>IF(AND(Data!R48&lt;&gt;"",Data!L48="Accepté"),Data!R48,"")</f>
        <v>2022-018</v>
      </c>
      <c r="F49" s="326">
        <f>IF(AND(Data!R48&lt;&gt;"",Data!L48="Accepté"),Data!S48,"")</f>
        <v>20320</v>
      </c>
      <c r="G49" s="322">
        <f>IF(Data!R48='Delivery Plan'!E49,Data!U48,"")</f>
        <v>0</v>
      </c>
      <c r="H49" s="259"/>
      <c r="I49" s="391" t="str">
        <f t="shared" si="3"/>
        <v>S14</v>
      </c>
      <c r="J49" s="392">
        <f>IF(AND(E49=Data!R48,Data!AA48&lt;&gt;""),Data!AA48,"")</f>
        <v>44651</v>
      </c>
      <c r="K49" s="313">
        <f>IF(AND(E49=Data!R48,Data!AE48&lt;&gt;""),Data!AE48,"")</f>
        <v>44645</v>
      </c>
      <c r="L49" s="318">
        <f>IF(E49=Data!R48,Data!AI48,"")</f>
        <v>1</v>
      </c>
      <c r="M49" s="318" t="str">
        <f>IF(E49=Data!R48,Data!AJ48,"")</f>
        <v>Repair + Test statique sur site client orleans</v>
      </c>
      <c r="N49" s="437" t="str">
        <f>IF(AND(Data!R48&lt;&gt;"",Data!L48="Accepté"),Data!K48,"")</f>
        <v>SERVICE OTHER AIA</v>
      </c>
    </row>
    <row r="50" spans="1:15" hidden="1" x14ac:dyDescent="0.3">
      <c r="A50" s="393" t="str">
        <f>IF(AND(Data!R49&lt;&gt;"",Data!L49="Accepté"),Data!G49,"")</f>
        <v/>
      </c>
      <c r="B50" s="393" t="str">
        <f>IF(AND(Data!R49&lt;&gt;"",Data!L49="Accepté"),Data!L49,"")</f>
        <v/>
      </c>
      <c r="C50" s="391" t="str">
        <f t="shared" si="2"/>
        <v/>
      </c>
      <c r="D50" s="392" t="str">
        <f>IF(AND(Data!Q49&lt;&gt;"",Data!L49="Accepté"),Data!Q49,"")</f>
        <v/>
      </c>
      <c r="E50" s="237" t="str">
        <f>IF(AND(Data!R49&lt;&gt;"",Data!L49="Accepté"),Data!R49,"")</f>
        <v/>
      </c>
      <c r="F50" s="326" t="str">
        <f>IF(AND(Data!R49&lt;&gt;"",Data!L49="Accepté"),Data!S49,"")</f>
        <v/>
      </c>
      <c r="G50" s="322">
        <f>IF(Data!R49='Delivery Plan'!E50,Data!U49,"")</f>
        <v>0</v>
      </c>
      <c r="H50" s="259"/>
      <c r="I50" s="391" t="str">
        <f t="shared" si="3"/>
        <v/>
      </c>
      <c r="J50" s="392" t="str">
        <f>IF(AND(E50=Data!R49,Data!AA49&lt;&gt;""),Data!AA49,"")</f>
        <v/>
      </c>
      <c r="K50" s="313" t="str">
        <f>IF(AND(E50=Data!R49,Data!AE49&lt;&gt;""),Data!AE49,"")</f>
        <v/>
      </c>
      <c r="L50" s="318">
        <f>IF(E50=Data!R49,Data!AI49,"")</f>
        <v>1</v>
      </c>
      <c r="M50" s="318" t="str">
        <f>IF(E50=Data!R49,Data!AJ49,"")</f>
        <v>Réparation RT6050</v>
      </c>
      <c r="N50" s="437" t="str">
        <f>IF(AND(Data!R49&lt;&gt;"",Data!L49="Accepté"),Data!K49,"")</f>
        <v/>
      </c>
    </row>
    <row r="51" spans="1:15" hidden="1" x14ac:dyDescent="0.3">
      <c r="A51" s="393" t="str">
        <f>IF(AND(Data!R50&lt;&gt;"",Data!L50="Accepté"),Data!G50,"")</f>
        <v/>
      </c>
      <c r="B51" s="393" t="str">
        <f>IF(AND(Data!R50&lt;&gt;"",Data!L50="Accepté"),Data!L50,"")</f>
        <v/>
      </c>
      <c r="C51" s="391" t="str">
        <f t="shared" si="2"/>
        <v/>
      </c>
      <c r="D51" s="392" t="str">
        <f>IF(AND(Data!Q50&lt;&gt;"",Data!L50="Accepté"),Data!Q50,"")</f>
        <v/>
      </c>
      <c r="E51" s="237" t="str">
        <f>IF(AND(Data!R50&lt;&gt;"",Data!L50="Accepté"),Data!R50,"")</f>
        <v/>
      </c>
      <c r="F51" s="326" t="str">
        <f>IF(AND(Data!R50&lt;&gt;"",Data!L50="Accepté"),Data!S50,"")</f>
        <v/>
      </c>
      <c r="G51" s="322">
        <f>IF(Data!R50='Delivery Plan'!E51,Data!U50,"")</f>
        <v>0</v>
      </c>
      <c r="H51" s="259"/>
      <c r="I51" s="391" t="str">
        <f t="shared" si="3"/>
        <v/>
      </c>
      <c r="J51" s="392" t="str">
        <f>IF(AND(E51=Data!R50,Data!AA50&lt;&gt;""),Data!AA50,"")</f>
        <v/>
      </c>
      <c r="K51" s="313">
        <f>IF(AND(E51=Data!R50,Data!AE50&lt;&gt;""),Data!AE50,"")</f>
        <v>44631</v>
      </c>
      <c r="L51" s="318">
        <f>IF(E51=Data!R50,Data!AI50,"")</f>
        <v>1</v>
      </c>
      <c r="M51" s="318" t="str">
        <f>IF(E51=Data!R50,Data!AJ50,"")</f>
        <v>VGP cric F7XC203259602</v>
      </c>
      <c r="N51" s="437" t="str">
        <f>IF(AND(Data!R50&lt;&gt;"",Data!L50="Accepté"),Data!K50,"")</f>
        <v/>
      </c>
    </row>
    <row r="52" spans="1:15" x14ac:dyDescent="0.3">
      <c r="A52" s="393" t="str">
        <f>IF(AND(Data!R51&lt;&gt;"",Data!L51="Accepté"),Data!G51,"")</f>
        <v>ROLLS ROYCE</v>
      </c>
      <c r="B52" s="393" t="str">
        <f>IF(AND(Data!R51&lt;&gt;"",Data!L51="Accepté"),Data!L51,"")</f>
        <v>Accepté</v>
      </c>
      <c r="C52" s="391" t="str">
        <f t="shared" si="2"/>
        <v>S08</v>
      </c>
      <c r="D52" s="392">
        <f>IF(AND(Data!Q51&lt;&gt;"",Data!L51="Accepté"),Data!Q51,"")</f>
        <v>44608</v>
      </c>
      <c r="E52" s="237" t="str">
        <f>IF(AND(Data!R51&lt;&gt;"",Data!L51="Accepté"),Data!R51,"")</f>
        <v>2022-004</v>
      </c>
      <c r="F52" s="326">
        <f>IF(AND(Data!R51&lt;&gt;"",Data!L51="Accepté"),Data!S51,"")</f>
        <v>3238</v>
      </c>
      <c r="G52" s="322">
        <f>IF(Data!R51='Delivery Plan'!E52,Data!U51,"")</f>
        <v>0</v>
      </c>
      <c r="H52" s="259"/>
      <c r="I52" s="391" t="str">
        <f t="shared" si="3"/>
        <v/>
      </c>
      <c r="J52" s="392" t="str">
        <f>IF(AND(E52=Data!R51,Data!AA51&lt;&gt;""),Data!AA51,"")</f>
        <v/>
      </c>
      <c r="K52" s="313">
        <f>IF(AND(E52=Data!R51,Data!AE51&lt;&gt;""),Data!AE51,"")</f>
        <v>44680</v>
      </c>
      <c r="L52" s="318">
        <f>IF(E52=Data!R51,Data!AI51,"")</f>
        <v>1</v>
      </c>
      <c r="M52" s="318" t="str">
        <f>IF(E52=Data!R51,Data!AJ51,"")</f>
        <v>Réparation RRT095945</v>
      </c>
      <c r="N52" s="437" t="str">
        <f>IF(AND(Data!R51&lt;&gt;"",Data!L51="Accepté"),Data!K51,"")</f>
        <v>SERVICE OTHER AIA</v>
      </c>
    </row>
    <row r="53" spans="1:15" hidden="1" x14ac:dyDescent="0.3">
      <c r="A53" s="393" t="str">
        <f>IF(AND(Data!R52&lt;&gt;"",Data!L52="Accepté"),Data!G52,"")</f>
        <v>ACTEMIUM</v>
      </c>
      <c r="B53" s="393" t="str">
        <f>IF(AND(Data!R52&lt;&gt;"",Data!L52="Accepté"),Data!L52,"")</f>
        <v>Accepté</v>
      </c>
      <c r="C53" s="391" t="str">
        <f t="shared" si="2"/>
        <v>S04</v>
      </c>
      <c r="D53" s="392">
        <f>IF(AND(Data!Q52&lt;&gt;"",Data!L52="Accepté"),Data!Q52,"")</f>
        <v>44578</v>
      </c>
      <c r="E53" s="237" t="str">
        <f>IF(AND(Data!R52&lt;&gt;"",Data!L52="Accepté"),Data!R52,"")</f>
        <v>2022-007</v>
      </c>
      <c r="F53" s="326">
        <f>IF(AND(Data!R52&lt;&gt;"",Data!L52="Accepté"),Data!S52,"")</f>
        <v>660</v>
      </c>
      <c r="G53" s="322">
        <f>IF(Data!R52='Delivery Plan'!E53,Data!U52,"")</f>
        <v>0</v>
      </c>
      <c r="H53" s="259"/>
      <c r="I53" s="391" t="str">
        <f t="shared" si="3"/>
        <v>S08</v>
      </c>
      <c r="J53" s="392">
        <f>IF(AND(E53=Data!R52,Data!AA52&lt;&gt;""),Data!AA52,"")</f>
        <v>44610</v>
      </c>
      <c r="K53" s="313">
        <f>IF(AND(E53=Data!R52,Data!AE52&lt;&gt;""),Data!AE52,"")</f>
        <v>44617</v>
      </c>
      <c r="L53" s="318">
        <f>IF(E53=Data!R52,Data!AI52,"")</f>
        <v>1</v>
      </c>
      <c r="M53" s="318" t="str">
        <f>IF(E53=Data!R52,Data!AJ52,"")</f>
        <v>Calibraion PVTP91</v>
      </c>
      <c r="N53" s="437" t="str">
        <f>IF(AND(Data!R52&lt;&gt;"",Data!L52="Accepté"),Data!K52,"")</f>
        <v>SERVICE OTHER AIA</v>
      </c>
    </row>
    <row r="54" spans="1:15" hidden="1" x14ac:dyDescent="0.3">
      <c r="A54" s="393" t="str">
        <f>IF(AND(Data!R53&lt;&gt;"",Data!L53="Accepté"),Data!G53,"")</f>
        <v/>
      </c>
      <c r="B54" s="393" t="str">
        <f>IF(AND(Data!R53&lt;&gt;"",Data!L53="Accepté"),Data!L53,"")</f>
        <v/>
      </c>
      <c r="C54" s="391" t="str">
        <f t="shared" si="2"/>
        <v/>
      </c>
      <c r="D54" s="392" t="str">
        <f>IF(AND(Data!Q53&lt;&gt;"",Data!L53="Accepté"),Data!Q53,"")</f>
        <v/>
      </c>
      <c r="E54" s="237" t="str">
        <f>IF(AND(Data!R53&lt;&gt;"",Data!L53="Accepté"),Data!R53,"")</f>
        <v/>
      </c>
      <c r="F54" s="326" t="str">
        <f>IF(AND(Data!R53&lt;&gt;"",Data!L53="Accepté"),Data!S53,"")</f>
        <v/>
      </c>
      <c r="G54" s="322">
        <f>IF(Data!R53='Delivery Plan'!E54,Data!U53,"")</f>
        <v>0</v>
      </c>
      <c r="H54" s="259"/>
      <c r="I54" s="391" t="str">
        <f t="shared" si="3"/>
        <v/>
      </c>
      <c r="J54" s="392" t="str">
        <f>IF(AND(E54=Data!R53,Data!AA53&lt;&gt;""),Data!AA53,"")</f>
        <v/>
      </c>
      <c r="K54" s="313" t="str">
        <f>IF(AND(E54=Data!R53,Data!AE53&lt;&gt;""),Data!AE53,"")</f>
        <v/>
      </c>
      <c r="L54" s="318">
        <f>IF(E54=Data!R53,Data!AI53,"")</f>
        <v>1</v>
      </c>
      <c r="M54" s="318" t="str">
        <f>IF(E54=Data!R53,Data!AJ53,"")</f>
        <v>Remplacement pièces MLGTMULTI-1-AA + VGP</v>
      </c>
      <c r="N54" s="437" t="str">
        <f>IF(AND(Data!R53&lt;&gt;"",Data!L53="Accepté"),Data!K53,"")</f>
        <v/>
      </c>
    </row>
    <row r="55" spans="1:15" hidden="1" x14ac:dyDescent="0.3">
      <c r="A55" s="393" t="str">
        <f>IF(AND(Data!R54&lt;&gt;"",Data!L54="Accepté"),Data!G54,"")</f>
        <v>HYDRO SYSTEMS KG</v>
      </c>
      <c r="B55" s="393" t="str">
        <f>IF(AND(Data!R54&lt;&gt;"",Data!L54="Accepté"),Data!L54,"")</f>
        <v>Accepté</v>
      </c>
      <c r="C55" s="391" t="str">
        <f t="shared" si="2"/>
        <v>S03</v>
      </c>
      <c r="D55" s="392">
        <f>IF(AND(Data!Q54&lt;&gt;"",Data!L54="Accepté"),Data!Q54,"")</f>
        <v>44571</v>
      </c>
      <c r="E55" s="237" t="str">
        <f>IF(AND(Data!R54&lt;&gt;"",Data!L54="Accepté"),Data!R54,"")</f>
        <v>2022-005</v>
      </c>
      <c r="F55" s="326">
        <f>IF(AND(Data!R54&lt;&gt;"",Data!L54="Accepté"),Data!S54,"")</f>
        <v>1434</v>
      </c>
      <c r="G55" s="322">
        <f>IF(Data!R54='Delivery Plan'!E55,Data!U54,"")</f>
        <v>0</v>
      </c>
      <c r="H55" s="259"/>
      <c r="I55" s="391" t="str">
        <f t="shared" si="3"/>
        <v>S03</v>
      </c>
      <c r="J55" s="392">
        <f>IF(AND(E55=Data!R54,Data!AA54&lt;&gt;""),Data!AA54,"")</f>
        <v>44573</v>
      </c>
      <c r="K55" s="313">
        <f>IF(AND(E55=Data!R54,Data!AE54&lt;&gt;""),Data!AE54,"")</f>
        <v>44575</v>
      </c>
      <c r="L55" s="318">
        <f>IF(E55=Data!R54,Data!AI54,"")</f>
        <v>1</v>
      </c>
      <c r="M55" s="318" t="str">
        <f>IF(E55=Data!R54,Data!AJ54,"")</f>
        <v>Travaux peinture outillage chez Air France</v>
      </c>
      <c r="N55" s="437" t="str">
        <f>IF(AND(Data!R54&lt;&gt;"",Data!L54="Accepté"),Data!K54,"")</f>
        <v>SERVICE OTHER AIA</v>
      </c>
    </row>
    <row r="56" spans="1:15" hidden="1" x14ac:dyDescent="0.3">
      <c r="A56" s="393" t="str">
        <f>IF(AND(Data!R55&lt;&gt;"",Data!L55="Accepté"),Data!G55,"")</f>
        <v/>
      </c>
      <c r="B56" s="393" t="str">
        <f>IF(AND(Data!R55&lt;&gt;"",Data!L55="Accepté"),Data!L55,"")</f>
        <v/>
      </c>
      <c r="C56" s="391" t="str">
        <f t="shared" si="2"/>
        <v/>
      </c>
      <c r="D56" s="392" t="str">
        <f>IF(AND(Data!Q55&lt;&gt;"",Data!L55="Accepté"),Data!Q55,"")</f>
        <v/>
      </c>
      <c r="E56" s="237" t="str">
        <f>IF(AND(Data!R55&lt;&gt;"",Data!L55="Accepté"),Data!R55,"")</f>
        <v/>
      </c>
      <c r="F56" s="326" t="str">
        <f>IF(AND(Data!R55&lt;&gt;"",Data!L55="Accepté"),Data!S55,"")</f>
        <v/>
      </c>
      <c r="G56" s="322" t="str">
        <f>IF(Data!R55='Delivery Plan'!E56,Data!U55,"")</f>
        <v/>
      </c>
      <c r="H56" s="259"/>
      <c r="I56" s="391" t="str">
        <f t="shared" si="3"/>
        <v/>
      </c>
      <c r="J56" s="392" t="str">
        <f>IF(AND(E56=Data!R55,Data!AA55&lt;&gt;""),Data!AA55,"")</f>
        <v/>
      </c>
      <c r="K56" s="313" t="str">
        <f>IF(AND(E56=Data!R55,Data!AE55&lt;&gt;""),Data!AE55,"")</f>
        <v/>
      </c>
      <c r="L56" s="318">
        <f>IF(E56=Data!R55,Data!AI55,"")</f>
        <v>1</v>
      </c>
      <c r="M56" s="318" t="str">
        <f>IF(E56=Data!R55,Data!AJ55,"")</f>
        <v>Retrofit RRT111117-1</v>
      </c>
      <c r="N56" s="437" t="str">
        <f>IF(AND(Data!R55&lt;&gt;"",Data!L55="Accepté"),Data!K55,"")</f>
        <v/>
      </c>
    </row>
    <row r="57" spans="1:15" x14ac:dyDescent="0.3">
      <c r="A57" s="393" t="str">
        <f>IF(AND(Data!R56&lt;&gt;"",Data!L56="Accepté"),Data!G56,"")</f>
        <v>VALLAIR</v>
      </c>
      <c r="B57" s="393" t="str">
        <f>IF(AND(Data!R56&lt;&gt;"",Data!L56="Accepté"),Data!L56,"")</f>
        <v>Accepté</v>
      </c>
      <c r="C57" s="391" t="str">
        <f t="shared" si="2"/>
        <v>S11</v>
      </c>
      <c r="D57" s="392">
        <f>IF(AND(Data!Q56&lt;&gt;"",Data!L56="Accepté"),Data!Q56,"")</f>
        <v>44627</v>
      </c>
      <c r="E57" s="237" t="str">
        <f>IF(AND(Data!R56&lt;&gt;"",Data!L56="Accepté"),Data!R56,"")</f>
        <v>2022-033</v>
      </c>
      <c r="F57" s="326">
        <f>IF(AND(Data!R56&lt;&gt;"",Data!L56="Accepté"),Data!S56,"")</f>
        <v>2715</v>
      </c>
      <c r="G57" s="322" t="str">
        <f>IF(Data!R56='Delivery Plan'!E57,Data!U56,"")</f>
        <v/>
      </c>
      <c r="H57" s="259"/>
      <c r="I57" s="391" t="str">
        <f t="shared" si="3"/>
        <v/>
      </c>
      <c r="J57" s="392" t="str">
        <f>IF(AND(E57=Data!R56,Data!AA56&lt;&gt;""),Data!AA56,"")</f>
        <v/>
      </c>
      <c r="K57" s="313">
        <f>IF(AND(E57=Data!R56,Data!AE56&lt;&gt;""),Data!AE56,"")</f>
        <v>44645</v>
      </c>
      <c r="L57" s="318">
        <f>IF(E57=Data!R56,Data!AI56,"")</f>
        <v>1</v>
      </c>
      <c r="M57" s="318" t="str">
        <f>IF(E57=Data!R56,Data!AJ56,"")</f>
        <v>Recertification MLGTMULTI</v>
      </c>
      <c r="N57" s="437" t="str">
        <f>IF(AND(Data!R56&lt;&gt;"",Data!L56="Accepté"),Data!K56,"")</f>
        <v>SERVICE OTHER AIA</v>
      </c>
    </row>
    <row r="58" spans="1:15" x14ac:dyDescent="0.3">
      <c r="A58" s="393" t="str">
        <f>IF(AND(Data!R57&lt;&gt;"",Data!L57="Accepté"),Data!G57,"")</f>
        <v>AIRBUS</v>
      </c>
      <c r="B58" s="393" t="str">
        <f>IF(AND(Data!R57&lt;&gt;"",Data!L57="Accepté"),Data!L57,"")</f>
        <v>Accepté</v>
      </c>
      <c r="C58" s="391" t="str">
        <f t="shared" si="2"/>
        <v>S05</v>
      </c>
      <c r="D58" s="392">
        <f>IF(AND(Data!Q57&lt;&gt;"",Data!L57="Accepté"),Data!Q57,"")</f>
        <v>44587</v>
      </c>
      <c r="E58" s="237" t="str">
        <f>IF(AND(Data!R57&lt;&gt;"",Data!L57="Accepté"),Data!R57,"")</f>
        <v>2022-010</v>
      </c>
      <c r="F58" s="326">
        <f>IF(AND(Data!R57&lt;&gt;"",Data!L57="Accepté"),Data!S57,"")</f>
        <v>4303</v>
      </c>
      <c r="G58" s="322" t="str">
        <f>IF(Data!R57='Delivery Plan'!E58,Data!U57,"")</f>
        <v/>
      </c>
      <c r="H58" s="259"/>
      <c r="I58" s="391" t="str">
        <f t="shared" si="3"/>
        <v/>
      </c>
      <c r="J58" s="392" t="str">
        <f>IF(AND(E58=Data!R57,Data!AA57&lt;&gt;""),Data!AA57,"")</f>
        <v/>
      </c>
      <c r="K58" s="313">
        <f>IF(AND(E58=Data!R57,Data!AE57&lt;&gt;""),Data!AE57,"")</f>
        <v>44694</v>
      </c>
      <c r="L58" s="318">
        <f>IF(E58=Data!R57,Data!AI57,"")</f>
        <v>1</v>
      </c>
      <c r="M58" s="318" t="str">
        <f>IF(E58=Data!R57,Data!AJ57,"")</f>
        <v>Modification cric SG278-001</v>
      </c>
      <c r="N58" s="437" t="str">
        <f>IF(AND(Data!R57&lt;&gt;"",Data!L57="Accepté"),Data!K57,"")</f>
        <v>SERVICE OTHER AIA</v>
      </c>
    </row>
    <row r="59" spans="1:15" x14ac:dyDescent="0.3">
      <c r="A59" s="393" t="str">
        <f>IF(AND(Data!R58&lt;&gt;"",Data!L58="Accepté"),Data!G58,"")</f>
        <v>AIA</v>
      </c>
      <c r="B59" s="393" t="str">
        <f>IF(AND(Data!R58&lt;&gt;"",Data!L58="Accepté"),Data!L58,"")</f>
        <v>Accepté</v>
      </c>
      <c r="C59" s="391" t="str">
        <f t="shared" si="2"/>
        <v>S07</v>
      </c>
      <c r="D59" s="392">
        <f>IF(AND(Data!Q58&lt;&gt;"",Data!L58="Accepté"),Data!Q58,"")</f>
        <v>44601</v>
      </c>
      <c r="E59" s="237" t="str">
        <f>IF(AND(Data!R58&lt;&gt;"",Data!L58="Accepté"),Data!R58,"")</f>
        <v>2022-016</v>
      </c>
      <c r="F59" s="326">
        <f>IF(AND(Data!R58&lt;&gt;"",Data!L58="Accepté"),Data!S58,"")</f>
        <v>2120</v>
      </c>
      <c r="G59" s="322" t="str">
        <f>IF(Data!R58='Delivery Plan'!E59,Data!U58,"")</f>
        <v/>
      </c>
      <c r="H59" s="259"/>
      <c r="I59" s="391" t="str">
        <f t="shared" si="3"/>
        <v/>
      </c>
      <c r="J59" s="392" t="str">
        <f>IF(AND(E59=Data!R58,Data!AA58&lt;&gt;""),Data!AA58,"")</f>
        <v/>
      </c>
      <c r="K59" s="313">
        <f>IF(AND(E59=Data!R58,Data!AE58&lt;&gt;""),Data!AE58,"")</f>
        <v>44664</v>
      </c>
      <c r="L59" s="318">
        <f>IF(E59=Data!R58,Data!AI58,"")</f>
        <v>4</v>
      </c>
      <c r="M59" s="318" t="str">
        <f>IF(E59=Data!R58,Data!AJ58,"")</f>
        <v>Remise en service crics et vérins</v>
      </c>
      <c r="N59" s="437" t="str">
        <f>IF(AND(Data!R58&lt;&gt;"",Data!L58="Accepté"),Data!K58,"")</f>
        <v>SERVICE AIA</v>
      </c>
    </row>
    <row r="60" spans="1:15" hidden="1" x14ac:dyDescent="0.3">
      <c r="A60" s="393" t="str">
        <f>IF(AND(Data!R59&lt;&gt;"",Data!L59="Accepté"),Data!G59,"")</f>
        <v>AIA</v>
      </c>
      <c r="B60" s="393" t="str">
        <f>IF(AND(Data!R59&lt;&gt;"",Data!L59="Accepté"),Data!L59,"")</f>
        <v>Accepté</v>
      </c>
      <c r="C60" s="391" t="str">
        <f t="shared" si="2"/>
        <v>S10</v>
      </c>
      <c r="D60" s="392">
        <f>IF(AND(Data!Q59&lt;&gt;"",Data!L59="Accepté"),Data!Q59,"")</f>
        <v>44621</v>
      </c>
      <c r="E60" s="237" t="str">
        <f>IF(AND(Data!R59&lt;&gt;"",Data!L59="Accepté"),Data!R59,"")</f>
        <v>2022-027</v>
      </c>
      <c r="F60" s="326">
        <f>IF(AND(Data!R59&lt;&gt;"",Data!L59="Accepté"),Data!S59,"")</f>
        <v>230</v>
      </c>
      <c r="G60" s="322" t="str">
        <f>IF(Data!R59='Delivery Plan'!E60,Data!U59,"")</f>
        <v/>
      </c>
      <c r="H60" s="259"/>
      <c r="I60" s="391" t="str">
        <f t="shared" si="3"/>
        <v>S13</v>
      </c>
      <c r="J60" s="392">
        <f>IF(AND(E60=Data!R59,Data!AA59&lt;&gt;""),Data!AA59,"")</f>
        <v>44644</v>
      </c>
      <c r="K60" s="313">
        <f>IF(AND(E60=Data!R59,Data!AE59&lt;&gt;""),Data!AE59,"")</f>
        <v>44677</v>
      </c>
      <c r="L60" s="318">
        <f>IF(E60=Data!R59,Data!AI59,"")</f>
        <v>1</v>
      </c>
      <c r="M60" s="318" t="str">
        <f>IF(E60=Data!R59,Data!AJ59,"")</f>
        <v>Maintenance curative crics et vérins</v>
      </c>
      <c r="N60" s="437" t="str">
        <f>IF(AND(Data!R59&lt;&gt;"",Data!L59="Accepté"),Data!K59,"")</f>
        <v>SERVICE AIA</v>
      </c>
    </row>
    <row r="61" spans="1:15" x14ac:dyDescent="0.3">
      <c r="A61" s="393" t="str">
        <f>IF(AND(Data!R60&lt;&gt;"",Data!L60="Accepté"),Data!G60,"")</f>
        <v>SABENA NIMES</v>
      </c>
      <c r="B61" s="393" t="str">
        <f>IF(AND(Data!R60&lt;&gt;"",Data!L60="Accepté"),Data!L60,"")</f>
        <v>Accepté</v>
      </c>
      <c r="C61" s="391" t="str">
        <f t="shared" si="2"/>
        <v>S11</v>
      </c>
      <c r="D61" s="392">
        <f>IF(AND(Data!Q60&lt;&gt;"",Data!L60="Accepté"),Data!Q60,"")</f>
        <v>44630</v>
      </c>
      <c r="E61" s="237" t="str">
        <f>IF(AND(Data!R60&lt;&gt;"",Data!L60="Accepté"),Data!R60,"")</f>
        <v>2022-013</v>
      </c>
      <c r="F61" s="326">
        <f>IF(AND(Data!R60&lt;&gt;"",Data!L60="Accepté"),Data!S60,"")</f>
        <v>4144</v>
      </c>
      <c r="G61" s="322" t="str">
        <f>IF(Data!R60='Delivery Plan'!E61,Data!U60,"")</f>
        <v/>
      </c>
      <c r="H61" s="259"/>
      <c r="I61" s="391" t="str">
        <f t="shared" si="3"/>
        <v/>
      </c>
      <c r="J61" s="392" t="str">
        <f>IF(AND(E61=Data!R60,Data!AA60&lt;&gt;""),Data!AA60,"")</f>
        <v/>
      </c>
      <c r="K61" s="313">
        <f>IF(AND(E61=Data!R60,Data!AE60&lt;&gt;""),Data!AE60,"")</f>
        <v>44659</v>
      </c>
      <c r="L61" s="318">
        <f>IF(E61=Data!R60,Data!AI60,"")</f>
        <v>1</v>
      </c>
      <c r="M61" s="318" t="str">
        <f>IF(E61=Data!R60,Data!AJ60,"")</f>
        <v>Réparation RT6050-001</v>
      </c>
      <c r="N61" s="437" t="str">
        <f>IF(AND(Data!R60&lt;&gt;"",Data!L60="Accepté"),Data!K60,"")</f>
        <v>SERVICE OTHER AIA</v>
      </c>
    </row>
    <row r="62" spans="1:15" hidden="1" x14ac:dyDescent="0.3">
      <c r="A62" s="393" t="str">
        <f>IF(AND(Data!R61&lt;&gt;"",Data!L61="Accepté"),Data!G61,"")</f>
        <v>HOP</v>
      </c>
      <c r="B62" s="393" t="str">
        <f>IF(AND(Data!R61&lt;&gt;"",Data!L61="Accepté"),Data!L61,"")</f>
        <v>Accepté</v>
      </c>
      <c r="C62" s="391" t="str">
        <f t="shared" si="2"/>
        <v>S05</v>
      </c>
      <c r="D62" s="392">
        <f>IF(AND(Data!Q61&lt;&gt;"",Data!L61="Accepté"),Data!Q61,"")</f>
        <v>44587</v>
      </c>
      <c r="E62" s="237" t="str">
        <f>IF(AND(Data!R61&lt;&gt;"",Data!L61="Accepté"),Data!R61,"")</f>
        <v>2021-107</v>
      </c>
      <c r="F62" s="326">
        <f>IF(AND(Data!R61&lt;&gt;"",Data!L61="Accepté"),Data!S61,"")</f>
        <v>3773</v>
      </c>
      <c r="G62" s="322" t="str">
        <f>IF(Data!R61='Delivery Plan'!E62,Data!U61,"")</f>
        <v/>
      </c>
      <c r="H62" s="259"/>
      <c r="I62" s="391" t="str">
        <f t="shared" si="3"/>
        <v>S12</v>
      </c>
      <c r="J62" s="392">
        <f>IF(AND(E62=Data!R61,Data!AA61&lt;&gt;""),Data!AA61,"")</f>
        <v>44636</v>
      </c>
      <c r="K62" s="313">
        <f>IF(AND(E62=Data!R61,Data!AE61&lt;&gt;""),Data!AE61,"")</f>
        <v>44624</v>
      </c>
      <c r="L62" s="318">
        <f>IF(E62=Data!R61,Data!AI61,"")</f>
        <v>1</v>
      </c>
      <c r="M62" s="318" t="str">
        <f>IF(E62=Data!R61,Data!AJ61,"")</f>
        <v>Recertification cric RT4550-001 non conforme</v>
      </c>
      <c r="N62" s="437" t="str">
        <f>IF(AND(Data!R61&lt;&gt;"",Data!L61="Accepté"),Data!K61,"")</f>
        <v>SERVICE OTHER AIA</v>
      </c>
      <c r="O62" s="258"/>
    </row>
    <row r="63" spans="1:15" x14ac:dyDescent="0.3">
      <c r="A63" s="393" t="str">
        <f>IF(AND(Data!R62&lt;&gt;"",Data!L62="Accepté"),Data!G62,"")</f>
        <v>ROLLS ROYCE</v>
      </c>
      <c r="B63" s="393" t="str">
        <f>IF(AND(Data!R62&lt;&gt;"",Data!L62="Accepté"),Data!L62,"")</f>
        <v>Accepté</v>
      </c>
      <c r="C63" s="391" t="str">
        <f t="shared" si="2"/>
        <v>S09</v>
      </c>
      <c r="D63" s="392">
        <f>IF(AND(Data!Q62&lt;&gt;"",Data!L62="Accepté"),Data!Q62,"")</f>
        <v>44615</v>
      </c>
      <c r="E63" s="237" t="str">
        <f>IF(AND(Data!R62&lt;&gt;"",Data!L62="Accepté"),Data!R62,"")</f>
        <v>2022-008</v>
      </c>
      <c r="F63" s="326">
        <f>IF(AND(Data!R62&lt;&gt;"",Data!L62="Accepté"),Data!S62,"")</f>
        <v>5541</v>
      </c>
      <c r="G63" s="322" t="str">
        <f>IF(Data!R62='Delivery Plan'!E63,Data!U62,"")</f>
        <v/>
      </c>
      <c r="H63" s="259"/>
      <c r="I63" s="391" t="str">
        <f t="shared" si="3"/>
        <v/>
      </c>
      <c r="J63" s="392" t="str">
        <f>IF(AND(E63=Data!R62,Data!AA62&lt;&gt;""),Data!AA62,"")</f>
        <v/>
      </c>
      <c r="K63" s="313">
        <f>IF(AND(E63=Data!R62,Data!AE62&lt;&gt;""),Data!AE62,"")</f>
        <v>44722</v>
      </c>
      <c r="L63" s="318">
        <f>IF(E63=Data!R62,Data!AI62,"")</f>
        <v>1</v>
      </c>
      <c r="M63" s="318" t="str">
        <f>IF(E63=Data!R62,Data!AJ62,"")</f>
        <v>Réparation RRT050571-3 S/N 10</v>
      </c>
      <c r="N63" s="437" t="str">
        <f>IF(AND(Data!R62&lt;&gt;"",Data!L62="Accepté"),Data!K62,"")</f>
        <v>SERVICE OTHER AIA</v>
      </c>
    </row>
    <row r="64" spans="1:15" hidden="1" x14ac:dyDescent="0.3">
      <c r="A64" s="393" t="str">
        <f>IF(AND(Data!R63&lt;&gt;"",Data!L63="Accepté"),Data!G63,"")</f>
        <v>HOP</v>
      </c>
      <c r="B64" s="393" t="str">
        <f>IF(AND(Data!R63&lt;&gt;"",Data!L63="Accepté"),Data!L63,"")</f>
        <v>Accepté</v>
      </c>
      <c r="C64" s="391" t="str">
        <f t="shared" si="2"/>
        <v>S05</v>
      </c>
      <c r="D64" s="392">
        <f>IF(AND(Data!Q63&lt;&gt;"",Data!L63="Accepté"),Data!Q63,"")</f>
        <v>44587</v>
      </c>
      <c r="E64" s="237" t="str">
        <f>IF(AND(Data!R63&lt;&gt;"",Data!L63="Accepté"),Data!R63,"")</f>
        <v>2022-009</v>
      </c>
      <c r="F64" s="326">
        <f>IF(AND(Data!R63&lt;&gt;"",Data!L63="Accepté"),Data!S63,"")</f>
        <v>660</v>
      </c>
      <c r="G64" s="322" t="str">
        <f>IF(Data!R63='Delivery Plan'!E64,Data!U63,"")</f>
        <v/>
      </c>
      <c r="H64" s="259"/>
      <c r="I64" s="391" t="str">
        <f t="shared" si="3"/>
        <v>S06</v>
      </c>
      <c r="J64" s="392">
        <f>IF(AND(E64=Data!R63,Data!AA63&lt;&gt;""),Data!AA63,"")</f>
        <v>44592</v>
      </c>
      <c r="K64" s="313">
        <f>IF(AND(E64=Data!R63,Data!AE63&lt;&gt;""),Data!AE63,"")</f>
        <v>44596</v>
      </c>
      <c r="L64" s="318">
        <f>IF(E64=Data!R63,Data!AI63,"")</f>
        <v>1</v>
      </c>
      <c r="M64" s="318" t="str">
        <f>IF(E64=Data!R63,Data!AJ63,"")</f>
        <v>Recertification cric RT4550-001</v>
      </c>
      <c r="N64" s="437" t="str">
        <f>IF(AND(Data!R63&lt;&gt;"",Data!L63="Accepté"),Data!K63,"")</f>
        <v>SERVICE OTHER AIA</v>
      </c>
    </row>
    <row r="65" spans="1:15" hidden="1" x14ac:dyDescent="0.3">
      <c r="A65" s="393" t="str">
        <f>IF(AND(Data!R64&lt;&gt;"",Data!L64="Accepté"),Data!G64,"")</f>
        <v/>
      </c>
      <c r="B65" s="393" t="str">
        <f>IF(AND(Data!R64&lt;&gt;"",Data!L64="Accepté"),Data!L64,"")</f>
        <v/>
      </c>
      <c r="C65" s="391" t="str">
        <f t="shared" si="2"/>
        <v/>
      </c>
      <c r="D65" s="392" t="str">
        <f>IF(AND(Data!Q64&lt;&gt;"",Data!L64="Accepté"),Data!Q64,"")</f>
        <v/>
      </c>
      <c r="E65" s="237" t="str">
        <f>IF(AND(Data!R64&lt;&gt;"",Data!L64="Accepté"),Data!R64,"")</f>
        <v/>
      </c>
      <c r="F65" s="326" t="str">
        <f>IF(AND(Data!R64&lt;&gt;"",Data!L64="Accepté"),Data!S64,"")</f>
        <v/>
      </c>
      <c r="G65" s="322" t="str">
        <f>IF(Data!R64='Delivery Plan'!E65,Data!U64,"")</f>
        <v/>
      </c>
      <c r="H65" s="259"/>
      <c r="I65" s="391" t="str">
        <f t="shared" si="3"/>
        <v/>
      </c>
      <c r="J65" s="392" t="str">
        <f>IF(AND(E65=Data!R64,Data!AA64&lt;&gt;""),Data!AA64,"")</f>
        <v/>
      </c>
      <c r="K65" s="313" t="str">
        <f>IF(AND(E65=Data!R64,Data!AE64&lt;&gt;""),Data!AE64,"")</f>
        <v/>
      </c>
      <c r="L65" s="318" t="str">
        <f>IF(E65=Data!R64,Data!AI64,"")</f>
        <v/>
      </c>
      <c r="M65" s="318" t="str">
        <f>IF(E65=Data!R64,Data!AJ64,"")</f>
        <v/>
      </c>
      <c r="N65" s="437" t="str">
        <f>IF(AND(Data!R64&lt;&gt;"",Data!L64="Accepté"),Data!K64,"")</f>
        <v/>
      </c>
    </row>
    <row r="66" spans="1:15" hidden="1" x14ac:dyDescent="0.3">
      <c r="A66" s="393" t="str">
        <f>IF(AND(Data!R65&lt;&gt;"",Data!L65="Accepté"),Data!G65,"")</f>
        <v/>
      </c>
      <c r="B66" s="393" t="str">
        <f>IF(AND(Data!R65&lt;&gt;"",Data!L65="Accepté"),Data!L65,"")</f>
        <v/>
      </c>
      <c r="C66" s="391" t="str">
        <f t="shared" si="2"/>
        <v/>
      </c>
      <c r="D66" s="392" t="str">
        <f>IF(AND(Data!Q65&lt;&gt;"",Data!L65="Accepté"),Data!Q65,"")</f>
        <v/>
      </c>
      <c r="E66" s="237" t="str">
        <f>IF(AND(Data!R65&lt;&gt;"",Data!L65="Accepté"),Data!R65,"")</f>
        <v/>
      </c>
      <c r="F66" s="326" t="str">
        <f>IF(AND(Data!R65&lt;&gt;"",Data!L65="Accepté"),Data!S65,"")</f>
        <v/>
      </c>
      <c r="G66" s="322" t="str">
        <f>IF(Data!R65='Delivery Plan'!E66,Data!U65,"")</f>
        <v/>
      </c>
      <c r="H66" s="259"/>
      <c r="I66" s="391" t="str">
        <f t="shared" si="3"/>
        <v/>
      </c>
      <c r="J66" s="392" t="str">
        <f>IF(AND(E66=Data!R65,Data!AA65&lt;&gt;""),Data!AA65,"")</f>
        <v/>
      </c>
      <c r="K66" s="313" t="str">
        <f>IF(AND(E66=Data!R65,Data!AE65&lt;&gt;""),Data!AE65,"")</f>
        <v/>
      </c>
      <c r="L66" s="318" t="str">
        <f>IF(E66=Data!R65,Data!AI65,"")</f>
        <v/>
      </c>
      <c r="M66" s="318" t="str">
        <f>IF(E66=Data!R65,Data!AJ65,"")</f>
        <v/>
      </c>
      <c r="N66" s="437" t="str">
        <f>IF(AND(Data!R65&lt;&gt;"",Data!L65="Accepté"),Data!K65,"")</f>
        <v/>
      </c>
    </row>
    <row r="67" spans="1:15" hidden="1" x14ac:dyDescent="0.3">
      <c r="A67" s="393" t="str">
        <f>IF(AND(Data!R66&lt;&gt;"",Data!L66="Accepté"),Data!G66,"")</f>
        <v/>
      </c>
      <c r="B67" s="393" t="str">
        <f>IF(AND(Data!R66&lt;&gt;"",Data!L66="Accepté"),Data!L66,"")</f>
        <v/>
      </c>
      <c r="C67" s="391" t="str">
        <f t="shared" si="2"/>
        <v/>
      </c>
      <c r="D67" s="392" t="str">
        <f>IF(AND(Data!Q66&lt;&gt;"",Data!L66="Accepté"),Data!Q66,"")</f>
        <v/>
      </c>
      <c r="E67" s="237" t="str">
        <f>IF(AND(Data!R66&lt;&gt;"",Data!L66="Accepté"),Data!R66,"")</f>
        <v/>
      </c>
      <c r="F67" s="326" t="str">
        <f>IF(AND(Data!R66&lt;&gt;"",Data!L66="Accepté"),Data!S66,"")</f>
        <v/>
      </c>
      <c r="G67" s="322" t="str">
        <f>IF(Data!R66='Delivery Plan'!E67,Data!U66,"")</f>
        <v/>
      </c>
      <c r="H67" s="259"/>
      <c r="I67" s="391" t="str">
        <f t="shared" si="3"/>
        <v/>
      </c>
      <c r="J67" s="392" t="str">
        <f>IF(AND(E67=Data!R66,Data!AA66&lt;&gt;""),Data!AA66,"")</f>
        <v/>
      </c>
      <c r="K67" s="313" t="str">
        <f>IF(AND(E67=Data!R66,Data!AE66&lt;&gt;""),Data!AE66,"")</f>
        <v/>
      </c>
      <c r="L67" s="318">
        <f>IF(E67=Data!R66,Data!AI66,"")</f>
        <v>1</v>
      </c>
      <c r="M67" s="318" t="str">
        <f>IF(E67=Data!R66,Data!AJ66,"")</f>
        <v>Docks de nez AWACS</v>
      </c>
      <c r="N67" s="437" t="str">
        <f>IF(AND(Data!R66&lt;&gt;"",Data!L66="Accepté"),Data!K66,"")</f>
        <v/>
      </c>
    </row>
    <row r="68" spans="1:15" hidden="1" x14ac:dyDescent="0.3">
      <c r="A68" s="393" t="str">
        <f>IF(AND(Data!R67&lt;&gt;"",Data!L67="Accepté"),Data!G67,"")</f>
        <v/>
      </c>
      <c r="B68" s="393" t="str">
        <f>IF(AND(Data!R67&lt;&gt;"",Data!L67="Accepté"),Data!L67,"")</f>
        <v/>
      </c>
      <c r="C68" s="391" t="str">
        <f t="shared" si="2"/>
        <v/>
      </c>
      <c r="D68" s="392" t="str">
        <f>IF(AND(Data!Q67&lt;&gt;"",Data!L67="Accepté"),Data!Q67,"")</f>
        <v/>
      </c>
      <c r="E68" s="237" t="str">
        <f>IF(AND(Data!R67&lt;&gt;"",Data!L67="Accepté"),Data!R67,"")</f>
        <v/>
      </c>
      <c r="F68" s="326" t="str">
        <f>IF(AND(Data!R67&lt;&gt;"",Data!L67="Accepté"),Data!S67,"")</f>
        <v/>
      </c>
      <c r="G68" s="322" t="str">
        <f>IF(Data!R67='Delivery Plan'!E68,Data!U67,"")</f>
        <v/>
      </c>
      <c r="H68" s="259"/>
      <c r="I68" s="391" t="str">
        <f t="shared" si="3"/>
        <v/>
      </c>
      <c r="J68" s="392" t="str">
        <f>IF(AND(E68=Data!R67,Data!AA67&lt;&gt;""),Data!AA67,"")</f>
        <v/>
      </c>
      <c r="K68" s="313" t="str">
        <f>IF(AND(E68=Data!R67,Data!AE67&lt;&gt;""),Data!AE67,"")</f>
        <v/>
      </c>
      <c r="L68" s="318">
        <f>IF(E68=Data!R67,Data!AI67,"")</f>
        <v>1</v>
      </c>
      <c r="M68" s="318" t="str">
        <f>IF(E68=Data!R67,Data!AJ67,"")</f>
        <v>Recertification vérins A400M Clermont-Ferrand</v>
      </c>
      <c r="N68" s="437" t="str">
        <f>IF(AND(Data!R67&lt;&gt;"",Data!L67="Accepté"),Data!K67,"")</f>
        <v/>
      </c>
      <c r="O68" s="258"/>
    </row>
    <row r="69" spans="1:15" hidden="1" x14ac:dyDescent="0.3">
      <c r="A69" s="393" t="str">
        <f>IF(AND(Data!R68&lt;&gt;"",Data!L68="Accepté"),Data!G68,"")</f>
        <v/>
      </c>
      <c r="B69" s="393" t="str">
        <f>IF(AND(Data!R68&lt;&gt;"",Data!L68="Accepté"),Data!L68,"")</f>
        <v/>
      </c>
      <c r="C69" s="391" t="str">
        <f t="shared" ref="C69:C132" si="4">IF(D69&lt;&gt;"","S"&amp;TEXT(WEEKNUM(D69),"00"),"")</f>
        <v/>
      </c>
      <c r="D69" s="392" t="str">
        <f>IF(AND(Data!Q68&lt;&gt;"",Data!L68="Accepté"),Data!Q68,"")</f>
        <v/>
      </c>
      <c r="E69" s="237" t="str">
        <f>IF(AND(Data!R68&lt;&gt;"",Data!L68="Accepté"),Data!R68,"")</f>
        <v/>
      </c>
      <c r="F69" s="326" t="str">
        <f>IF(AND(Data!R68&lt;&gt;"",Data!L68="Accepté"),Data!S68,"")</f>
        <v/>
      </c>
      <c r="G69" s="322" t="str">
        <f>IF(Data!R68='Delivery Plan'!E69,Data!U68,"")</f>
        <v/>
      </c>
      <c r="H69" s="259"/>
      <c r="I69" s="391" t="str">
        <f t="shared" ref="I69:I132" si="5">IF(J69&lt;&gt;"","S"&amp;TEXT(WEEKNUM(J69),"00"),"")</f>
        <v/>
      </c>
      <c r="J69" s="392" t="str">
        <f>IF(AND(E69=Data!R68,Data!AA68&lt;&gt;""),Data!AA68,"")</f>
        <v/>
      </c>
      <c r="K69" s="313" t="str">
        <f>IF(AND(E69=Data!R68,Data!AE68&lt;&gt;""),Data!AE68,"")</f>
        <v/>
      </c>
      <c r="L69" s="318">
        <f>IF(E69=Data!R68,Data!AI68,"")</f>
        <v>1</v>
      </c>
      <c r="M69" s="318" t="str">
        <f>IF(E69=Data!R68,Data!AJ68,"")</f>
        <v>Recertification outillages</v>
      </c>
      <c r="N69" s="437" t="str">
        <f>IF(AND(Data!R68&lt;&gt;"",Data!L68="Accepté"),Data!K68,"")</f>
        <v/>
      </c>
    </row>
    <row r="70" spans="1:15" hidden="1" x14ac:dyDescent="0.3">
      <c r="A70" s="393" t="str">
        <f>IF(AND(Data!R69&lt;&gt;"",Data!L69="Accepté"),Data!G69,"")</f>
        <v/>
      </c>
      <c r="B70" s="393" t="str">
        <f>IF(AND(Data!R69&lt;&gt;"",Data!L69="Accepté"),Data!L69,"")</f>
        <v/>
      </c>
      <c r="C70" s="391" t="str">
        <f t="shared" si="4"/>
        <v/>
      </c>
      <c r="D70" s="392" t="str">
        <f>IF(AND(Data!Q69&lt;&gt;"",Data!L69="Accepté"),Data!Q69,"")</f>
        <v/>
      </c>
      <c r="E70" s="237" t="str">
        <f>IF(AND(Data!R69&lt;&gt;"",Data!L69="Accepté"),Data!R69,"")</f>
        <v/>
      </c>
      <c r="F70" s="326" t="str">
        <f>IF(AND(Data!R69&lt;&gt;"",Data!L69="Accepté"),Data!S69,"")</f>
        <v/>
      </c>
      <c r="G70" s="322" t="str">
        <f>IF(Data!R69='Delivery Plan'!E70,Data!U69,"")</f>
        <v/>
      </c>
      <c r="H70" s="259"/>
      <c r="I70" s="391" t="str">
        <f t="shared" si="5"/>
        <v/>
      </c>
      <c r="J70" s="392" t="str">
        <f>IF(AND(E70=Data!R69,Data!AA69&lt;&gt;""),Data!AA69,"")</f>
        <v/>
      </c>
      <c r="K70" s="313" t="str">
        <f>IF(AND(E70=Data!R69,Data!AE69&lt;&gt;""),Data!AE69,"")</f>
        <v/>
      </c>
      <c r="L70" s="318">
        <f>IF(E70=Data!R69,Data!AI69,"")</f>
        <v>2</v>
      </c>
      <c r="M70" s="318" t="str">
        <f>IF(E70=Data!R69,Data!AJ69,"")</f>
        <v>Réparation vérins</v>
      </c>
      <c r="N70" s="437" t="str">
        <f>IF(AND(Data!R69&lt;&gt;"",Data!L69="Accepté"),Data!K69,"")</f>
        <v/>
      </c>
    </row>
    <row r="71" spans="1:15" x14ac:dyDescent="0.3">
      <c r="A71" s="393" t="str">
        <f>IF(AND(Data!R70&lt;&gt;"",Data!L70="Accepté"),Data!G70,"")</f>
        <v>ROYAL AIR MAROC</v>
      </c>
      <c r="B71" s="393" t="str">
        <f>IF(AND(Data!R70&lt;&gt;"",Data!L70="Accepté"),Data!L70,"")</f>
        <v>Accepté</v>
      </c>
      <c r="C71" s="391" t="str">
        <f t="shared" si="4"/>
        <v>S13</v>
      </c>
      <c r="D71" s="392">
        <f>IF(AND(Data!Q70&lt;&gt;"",Data!L70="Accepté"),Data!Q70,"")</f>
        <v>44642</v>
      </c>
      <c r="E71" s="237" t="str">
        <f>IF(AND(Data!R70&lt;&gt;"",Data!L70="Accepté"),Data!R70,"")</f>
        <v>2022-040</v>
      </c>
      <c r="F71" s="326">
        <f>IF(AND(Data!R70&lt;&gt;"",Data!L70="Accepté"),Data!S70,"")</f>
        <v>1740</v>
      </c>
      <c r="G71" s="322" t="str">
        <f>IF(Data!R70='Delivery Plan'!E71,Data!U70,"")</f>
        <v/>
      </c>
      <c r="H71" s="259"/>
      <c r="I71" s="391" t="str">
        <f t="shared" si="5"/>
        <v/>
      </c>
      <c r="J71" s="392" t="str">
        <f>IF(AND(E71=Data!R70,Data!AA70&lt;&gt;""),Data!AA70,"")</f>
        <v/>
      </c>
      <c r="K71" s="313" t="str">
        <f>IF(AND(E71=Data!R70,Data!AE70&lt;&gt;""),Data!AE70,"")</f>
        <v/>
      </c>
      <c r="L71" s="318">
        <f>IF(E71=Data!R70,Data!AI70,"")</f>
        <v>1</v>
      </c>
      <c r="M71" s="318" t="str">
        <f>IF(E71=Data!R70,Data!AJ70,"")</f>
        <v>Recertification bootstrap</v>
      </c>
      <c r="N71" s="437" t="str">
        <f>IF(AND(Data!R70&lt;&gt;"",Data!L70="Accepté"),Data!K70,"")</f>
        <v>SERVICE OTHER AIA</v>
      </c>
    </row>
    <row r="72" spans="1:15" hidden="1" x14ac:dyDescent="0.3">
      <c r="A72" s="393" t="str">
        <f>IF(AND(Data!R71&lt;&gt;"",Data!L71="Accepté"),Data!G71,"")</f>
        <v/>
      </c>
      <c r="B72" s="393" t="str">
        <f>IF(AND(Data!R71&lt;&gt;"",Data!L71="Accepté"),Data!L71,"")</f>
        <v/>
      </c>
      <c r="C72" s="391" t="str">
        <f t="shared" si="4"/>
        <v/>
      </c>
      <c r="D72" s="392" t="str">
        <f>IF(AND(Data!Q71&lt;&gt;"",Data!L71="Accepté"),Data!Q71,"")</f>
        <v/>
      </c>
      <c r="E72" s="237" t="str">
        <f>IF(AND(Data!R71&lt;&gt;"",Data!L71="Accepté"),Data!R71,"")</f>
        <v/>
      </c>
      <c r="F72" s="326" t="str">
        <f>IF(AND(Data!R71&lt;&gt;"",Data!L71="Accepté"),Data!S71,"")</f>
        <v/>
      </c>
      <c r="G72" s="322" t="str">
        <f>IF(Data!R71='Delivery Plan'!E72,Data!U71,"")</f>
        <v/>
      </c>
      <c r="H72" s="259"/>
      <c r="I72" s="391" t="str">
        <f t="shared" si="5"/>
        <v/>
      </c>
      <c r="J72" s="392" t="str">
        <f>IF(AND(E72=Data!R71,Data!AA71&lt;&gt;""),Data!AA71,"")</f>
        <v/>
      </c>
      <c r="K72" s="313" t="str">
        <f>IF(AND(E72=Data!R71,Data!AE71&lt;&gt;""),Data!AE71,"")</f>
        <v/>
      </c>
      <c r="L72" s="318">
        <f>IF(E72=Data!R71,Data!AI71,"")</f>
        <v>1</v>
      </c>
      <c r="M72" s="318" t="str">
        <f>IF(E72=Data!R71,Data!AJ71,"")</f>
        <v>Calibration outillages</v>
      </c>
      <c r="N72" s="437" t="str">
        <f>IF(AND(Data!R71&lt;&gt;"",Data!L71="Accepté"),Data!K71,"")</f>
        <v/>
      </c>
    </row>
    <row r="73" spans="1:15" hidden="1" x14ac:dyDescent="0.3">
      <c r="A73" s="393" t="str">
        <f>IF(AND(Data!R72&lt;&gt;"",Data!L72="Accepté"),Data!G72,"")</f>
        <v>HYDRO SYSTEMS KG</v>
      </c>
      <c r="B73" s="393" t="str">
        <f>IF(AND(Data!R72&lt;&gt;"",Data!L72="Accepté"),Data!L72,"")</f>
        <v>Accepté</v>
      </c>
      <c r="C73" s="391" t="str">
        <f t="shared" si="4"/>
        <v>S09</v>
      </c>
      <c r="D73" s="392">
        <f>IF(AND(Data!Q72&lt;&gt;"",Data!L72="Accepté"),Data!Q72,"")</f>
        <v>44617</v>
      </c>
      <c r="E73" s="237" t="str">
        <f>IF(AND(Data!R72&lt;&gt;"",Data!L72="Accepté"),Data!R72,"")</f>
        <v>2022-024</v>
      </c>
      <c r="F73" s="326">
        <f>IF(AND(Data!R72&lt;&gt;"",Data!L72="Accepté"),Data!S72,"")</f>
        <v>4683.5</v>
      </c>
      <c r="G73" s="322" t="str">
        <f>IF(Data!R72='Delivery Plan'!E73,Data!U72,"")</f>
        <v/>
      </c>
      <c r="H73" s="259"/>
      <c r="I73" s="391" t="str">
        <f t="shared" si="5"/>
        <v>S11</v>
      </c>
      <c r="J73" s="392">
        <f>IF(AND(E73=Data!R72,Data!AA72&lt;&gt;""),Data!AA72,"")</f>
        <v>44628</v>
      </c>
      <c r="K73" s="313">
        <f>IF(AND(E73=Data!R72,Data!AE72&lt;&gt;""),Data!AE72,"")</f>
        <v>44630</v>
      </c>
      <c r="L73" s="318">
        <f>IF(E73=Data!R72,Data!AI72,"")</f>
        <v>1</v>
      </c>
      <c r="M73" s="318" t="str">
        <f>IF(E73=Data!R72,Data!AJ72,"")</f>
        <v>Recertification vérins A400M Clermont-Ferrand</v>
      </c>
      <c r="N73" s="437" t="str">
        <f>IF(AND(Data!R72&lt;&gt;"",Data!L72="Accepté"),Data!K72,"")</f>
        <v>SERVICE OTHER AIA</v>
      </c>
      <c r="O73" s="258"/>
    </row>
    <row r="74" spans="1:15" x14ac:dyDescent="0.3">
      <c r="A74" s="393" t="str">
        <f>IF(AND(Data!R73&lt;&gt;"",Data!L73="Accepté"),Data!G73,"")</f>
        <v>HYDRO SYSTEMS KG</v>
      </c>
      <c r="B74" s="393" t="str">
        <f>IF(AND(Data!R73&lt;&gt;"",Data!L73="Accepté"),Data!L73,"")</f>
        <v>Accepté</v>
      </c>
      <c r="C74" s="391" t="str">
        <f t="shared" si="4"/>
        <v>S09</v>
      </c>
      <c r="D74" s="392">
        <f>IF(AND(Data!Q73&lt;&gt;"",Data!L73="Accepté"),Data!Q73,"")</f>
        <v>44617</v>
      </c>
      <c r="E74" s="237" t="str">
        <f>IF(AND(Data!R73&lt;&gt;"",Data!L73="Accepté"),Data!R73,"")</f>
        <v>2022-025</v>
      </c>
      <c r="F74" s="326">
        <f>IF(AND(Data!R73&lt;&gt;"",Data!L73="Accepté"),Data!S73,"")</f>
        <v>4683.5</v>
      </c>
      <c r="G74" s="322" t="str">
        <f>IF(Data!R73='Delivery Plan'!E74,Data!U73,"")</f>
        <v/>
      </c>
      <c r="H74" s="259"/>
      <c r="I74" s="391" t="str">
        <f t="shared" si="5"/>
        <v/>
      </c>
      <c r="J74" s="392" t="str">
        <f>IF(AND(E74=Data!R73,Data!AA73&lt;&gt;""),Data!AA73,"")</f>
        <v/>
      </c>
      <c r="K74" s="313">
        <f>IF(AND(E74=Data!R73,Data!AE73&lt;&gt;""),Data!AE73,"")</f>
        <v>44926</v>
      </c>
      <c r="L74" s="318">
        <f>IF(E74=Data!R73,Data!AI73,"")</f>
        <v>1</v>
      </c>
      <c r="M74" s="318" t="str">
        <f>IF(E74=Data!R73,Data!AJ73,"")</f>
        <v>Recertificatino vérins A400M Clermont-Ferrand</v>
      </c>
      <c r="N74" s="437" t="str">
        <f>IF(AND(Data!R73&lt;&gt;"",Data!L73="Accepté"),Data!K73,"")</f>
        <v>SERVICE OTHER AIA</v>
      </c>
    </row>
    <row r="75" spans="1:15" hidden="1" x14ac:dyDescent="0.3">
      <c r="A75" s="393" t="str">
        <f>IF(AND(Data!R74&lt;&gt;"",Data!L74="Accepté"),Data!G74,"")</f>
        <v>AIA</v>
      </c>
      <c r="B75" s="393" t="str">
        <f>IF(AND(Data!R74&lt;&gt;"",Data!L74="Accepté"),Data!L74,"")</f>
        <v>Accepté</v>
      </c>
      <c r="C75" s="391" t="str">
        <f t="shared" si="4"/>
        <v>S03</v>
      </c>
      <c r="D75" s="392">
        <f>IF(AND(Data!Q74&lt;&gt;"",Data!L74="Accepté"),Data!Q74,"")</f>
        <v>44575</v>
      </c>
      <c r="E75" s="237" t="str">
        <f>IF(AND(Data!R74&lt;&gt;"",Data!L74="Accepté"),Data!R74,"")</f>
        <v>2022-006</v>
      </c>
      <c r="F75" s="326">
        <f>IF(AND(Data!R74&lt;&gt;"",Data!L74="Accepté"),Data!S74,"")</f>
        <v>1100</v>
      </c>
      <c r="G75" s="322" t="str">
        <f>IF(Data!R74='Delivery Plan'!E75,Data!U74,"")</f>
        <v/>
      </c>
      <c r="H75" s="259"/>
      <c r="I75" s="391" t="str">
        <f t="shared" si="5"/>
        <v>S07</v>
      </c>
      <c r="J75" s="392">
        <f>IF(AND(E75=Data!R74,Data!AA74&lt;&gt;""),Data!AA74,"")</f>
        <v>44599</v>
      </c>
      <c r="K75" s="313" t="str">
        <f>IF(AND(E75=Data!R74,Data!AE74&lt;&gt;""),Data!AE74,"")</f>
        <v/>
      </c>
      <c r="L75" s="318">
        <f>IF(E75=Data!R74,Data!AI74,"")</f>
        <v>2</v>
      </c>
      <c r="M75" s="318" t="str">
        <f>IF(E75=Data!R74,Data!AJ74,"")</f>
        <v>Remise en service crics et vérins</v>
      </c>
      <c r="N75" s="437" t="str">
        <f>IF(AND(Data!R74&lt;&gt;"",Data!L74="Accepté"),Data!K74,"")</f>
        <v>SERVICE AIA</v>
      </c>
    </row>
    <row r="76" spans="1:15" hidden="1" x14ac:dyDescent="0.3">
      <c r="A76" s="393" t="str">
        <f>IF(AND(Data!R75&lt;&gt;"",Data!L75="Accepté"),Data!G75,"")</f>
        <v>TARMAC</v>
      </c>
      <c r="B76" s="393" t="str">
        <f>IF(AND(Data!R75&lt;&gt;"",Data!L75="Accepté"),Data!L75,"")</f>
        <v>Accepté</v>
      </c>
      <c r="C76" s="391" t="str">
        <f t="shared" si="4"/>
        <v>S08</v>
      </c>
      <c r="D76" s="392">
        <f>IF(AND(Data!Q75&lt;&gt;"",Data!L75="Accepté"),Data!Q75,"")</f>
        <v>44607</v>
      </c>
      <c r="E76" s="237" t="str">
        <f>IF(AND(Data!R75&lt;&gt;"",Data!L75="Accepté"),Data!R75,"")</f>
        <v>2022-017</v>
      </c>
      <c r="F76" s="326">
        <f>IF(AND(Data!R75&lt;&gt;"",Data!L75="Accepté"),Data!S75,"")</f>
        <v>737</v>
      </c>
      <c r="G76" s="322" t="str">
        <f>IF(Data!R75='Delivery Plan'!E76,Data!U75,"")</f>
        <v/>
      </c>
      <c r="H76" s="259"/>
      <c r="I76" s="391" t="str">
        <f t="shared" si="5"/>
        <v>S08</v>
      </c>
      <c r="J76" s="392">
        <f>IF(AND(E76=Data!R75,Data!AA75&lt;&gt;""),Data!AA75,"")</f>
        <v>44610</v>
      </c>
      <c r="K76" s="313">
        <f>IF(AND(E76=Data!R75,Data!AE75&lt;&gt;""),Data!AE75,"")</f>
        <v>44613</v>
      </c>
      <c r="L76" s="318">
        <f>IF(E76=Data!R75,Data!AI75,"")</f>
        <v>1</v>
      </c>
      <c r="M76" s="318" t="str">
        <f>IF(E76=Data!R75,Data!AJ75,"")</f>
        <v>Recertification cric et vérin</v>
      </c>
      <c r="N76" s="437" t="str">
        <f>IF(AND(Data!R75&lt;&gt;"",Data!L75="Accepté"),Data!K75,"")</f>
        <v>SERVICE OTHER AIA</v>
      </c>
    </row>
    <row r="77" spans="1:15" hidden="1" x14ac:dyDescent="0.3">
      <c r="A77" s="393" t="str">
        <f>IF(AND(Data!R76&lt;&gt;"",Data!L76="Accepté"),Data!G76,"")</f>
        <v/>
      </c>
      <c r="B77" s="393" t="str">
        <f>IF(AND(Data!R76&lt;&gt;"",Data!L76="Accepté"),Data!L76,"")</f>
        <v/>
      </c>
      <c r="C77" s="391" t="str">
        <f t="shared" si="4"/>
        <v/>
      </c>
      <c r="D77" s="392" t="str">
        <f>IF(AND(Data!Q76&lt;&gt;"",Data!L76="Accepté"),Data!Q76,"")</f>
        <v/>
      </c>
      <c r="E77" s="237" t="str">
        <f>IF(AND(Data!R76&lt;&gt;"",Data!L76="Accepté"),Data!R76,"")</f>
        <v/>
      </c>
      <c r="F77" s="326" t="str">
        <f>IF(AND(Data!R76&lt;&gt;"",Data!L76="Accepté"),Data!S76,"")</f>
        <v/>
      </c>
      <c r="G77" s="322">
        <f>IF(Data!R76='Delivery Plan'!E77,Data!U76,"")</f>
        <v>0</v>
      </c>
      <c r="H77" s="259"/>
      <c r="I77" s="391" t="str">
        <f t="shared" si="5"/>
        <v/>
      </c>
      <c r="J77" s="392" t="str">
        <f>IF(AND(E77=Data!R76,Data!AA76&lt;&gt;""),Data!AA76,"")</f>
        <v/>
      </c>
      <c r="K77" s="313" t="str">
        <f>IF(AND(E77=Data!R76,Data!AE76&lt;&gt;""),Data!AE76,"")</f>
        <v/>
      </c>
      <c r="L77" s="318">
        <f>IF(E77=Data!R76,Data!AI76,"")</f>
        <v>1</v>
      </c>
      <c r="M77" s="318" t="str">
        <f>IF(E77=Data!R76,Data!AJ76,"")</f>
        <v>Calibration hoist K20008-55</v>
      </c>
      <c r="N77" s="437" t="str">
        <f>IF(AND(Data!R76&lt;&gt;"",Data!L76="Accepté"),Data!K76,"")</f>
        <v/>
      </c>
    </row>
    <row r="78" spans="1:15" hidden="1" x14ac:dyDescent="0.3">
      <c r="A78" s="393" t="str">
        <f>IF(AND(Data!R77&lt;&gt;"",Data!L77="Accepté"),Data!G77,"")</f>
        <v/>
      </c>
      <c r="B78" s="393" t="str">
        <f>IF(AND(Data!R77&lt;&gt;"",Data!L77="Accepté"),Data!L77,"")</f>
        <v/>
      </c>
      <c r="C78" s="391" t="str">
        <f t="shared" si="4"/>
        <v/>
      </c>
      <c r="D78" s="392" t="str">
        <f>IF(AND(Data!Q77&lt;&gt;"",Data!L77="Accepté"),Data!Q77,"")</f>
        <v/>
      </c>
      <c r="E78" s="237" t="str">
        <f>IF(AND(Data!R77&lt;&gt;"",Data!L77="Accepté"),Data!R77,"")</f>
        <v/>
      </c>
      <c r="F78" s="326" t="str">
        <f>IF(AND(Data!R77&lt;&gt;"",Data!L77="Accepté"),Data!S77,"")</f>
        <v/>
      </c>
      <c r="G78" s="322" t="str">
        <f>IF(Data!R77='Delivery Plan'!E78,Data!U77,"")</f>
        <v/>
      </c>
      <c r="H78" s="259"/>
      <c r="I78" s="391" t="str">
        <f t="shared" si="5"/>
        <v/>
      </c>
      <c r="J78" s="392" t="str">
        <f>IF(AND(E78=Data!R77,Data!AA77&lt;&gt;""),Data!AA77,"")</f>
        <v/>
      </c>
      <c r="K78" s="313" t="str">
        <f>IF(AND(E78=Data!R77,Data!AE77&lt;&gt;""),Data!AE77,"")</f>
        <v/>
      </c>
      <c r="L78" s="318">
        <f>IF(E78=Data!R77,Data!AI77,"")</f>
        <v>1</v>
      </c>
      <c r="M78" s="318" t="str">
        <f>IF(E78=Data!R77,Data!AJ77,"")</f>
        <v>Calibration manomètre</v>
      </c>
      <c r="N78" s="437" t="str">
        <f>IF(AND(Data!R77&lt;&gt;"",Data!L77="Accepté"),Data!K77,"")</f>
        <v/>
      </c>
    </row>
    <row r="79" spans="1:15" hidden="1" x14ac:dyDescent="0.3">
      <c r="A79" s="393" t="str">
        <f>IF(AND(Data!R78&lt;&gt;"",Data!L78="Accepté"),Data!G78,"")</f>
        <v/>
      </c>
      <c r="B79" s="393" t="str">
        <f>IF(AND(Data!R78&lt;&gt;"",Data!L78="Accepté"),Data!L78,"")</f>
        <v/>
      </c>
      <c r="C79" s="391" t="str">
        <f t="shared" si="4"/>
        <v/>
      </c>
      <c r="D79" s="392" t="str">
        <f>IF(AND(Data!Q78&lt;&gt;"",Data!L78="Accepté"),Data!Q78,"")</f>
        <v/>
      </c>
      <c r="E79" s="237" t="str">
        <f>IF(AND(Data!R78&lt;&gt;"",Data!L78="Accepté"),Data!R78,"")</f>
        <v/>
      </c>
      <c r="F79" s="326" t="str">
        <f>IF(AND(Data!R78&lt;&gt;"",Data!L78="Accepté"),Data!S78,"")</f>
        <v/>
      </c>
      <c r="G79" s="322" t="str">
        <f>IF(Data!R78='Delivery Plan'!E79,Data!U78,"")</f>
        <v/>
      </c>
      <c r="H79" s="259"/>
      <c r="I79" s="391" t="str">
        <f t="shared" si="5"/>
        <v/>
      </c>
      <c r="J79" s="392" t="str">
        <f>IF(AND(E79=Data!R78,Data!AA78&lt;&gt;""),Data!AA78,"")</f>
        <v/>
      </c>
      <c r="K79" s="313" t="str">
        <f>IF(AND(E79=Data!R78,Data!AE78&lt;&gt;""),Data!AE78,"")</f>
        <v/>
      </c>
      <c r="L79" s="318">
        <f>IF(E79=Data!R78,Data!AI78,"")</f>
        <v>1</v>
      </c>
      <c r="M79" s="318" t="str">
        <f>IF(E79=Data!R78,Data!AJ78,"")</f>
        <v>Calibration sling equipment</v>
      </c>
      <c r="N79" s="437" t="str">
        <f>IF(AND(Data!R78&lt;&gt;"",Data!L78="Accepté"),Data!K78,"")</f>
        <v/>
      </c>
    </row>
    <row r="80" spans="1:15" hidden="1" x14ac:dyDescent="0.3">
      <c r="A80" s="393" t="str">
        <f>IF(AND(Data!R79&lt;&gt;"",Data!L79="Accepté"),Data!G79,"")</f>
        <v/>
      </c>
      <c r="B80" s="393" t="str">
        <f>IF(AND(Data!R79&lt;&gt;"",Data!L79="Accepté"),Data!L79,"")</f>
        <v/>
      </c>
      <c r="C80" s="391" t="str">
        <f t="shared" si="4"/>
        <v/>
      </c>
      <c r="D80" s="392" t="str">
        <f>IF(AND(Data!Q79&lt;&gt;"",Data!L79="Accepté"),Data!Q79,"")</f>
        <v/>
      </c>
      <c r="E80" s="237" t="str">
        <f>IF(AND(Data!R79&lt;&gt;"",Data!L79="Accepté"),Data!R79,"")</f>
        <v/>
      </c>
      <c r="F80" s="326" t="str">
        <f>IF(AND(Data!R79&lt;&gt;"",Data!L79="Accepté"),Data!S79,"")</f>
        <v/>
      </c>
      <c r="G80" s="322">
        <f>IF(Data!R79='Delivery Plan'!E80,Data!U79,"")</f>
        <v>0</v>
      </c>
      <c r="H80" s="259"/>
      <c r="I80" s="391" t="str">
        <f t="shared" si="5"/>
        <v/>
      </c>
      <c r="J80" s="392" t="str">
        <f>IF(AND(E80=Data!R79,Data!AA79&lt;&gt;""),Data!AA79,"")</f>
        <v/>
      </c>
      <c r="K80" s="313" t="str">
        <f>IF(AND(E80=Data!R79,Data!AE79&lt;&gt;""),Data!AE79,"")</f>
        <v/>
      </c>
      <c r="L80" s="318">
        <f>IF(E80=Data!R79,Data!AI79,"")</f>
        <v>1</v>
      </c>
      <c r="M80" s="318" t="str">
        <f>IF(E80=Data!R79,Data!AJ79,"")</f>
        <v>Recertification crics</v>
      </c>
      <c r="N80" s="437" t="str">
        <f>IF(AND(Data!R79&lt;&gt;"",Data!L79="Accepté"),Data!K79,"")</f>
        <v/>
      </c>
    </row>
    <row r="81" spans="1:14" hidden="1" x14ac:dyDescent="0.3">
      <c r="A81" s="393" t="str">
        <f>IF(AND(Data!R80&lt;&gt;"",Data!L80="Accepté"),Data!G80,"")</f>
        <v/>
      </c>
      <c r="B81" s="393" t="str">
        <f>IF(AND(Data!R80&lt;&gt;"",Data!L80="Accepté"),Data!L80,"")</f>
        <v/>
      </c>
      <c r="C81" s="391" t="str">
        <f t="shared" si="4"/>
        <v/>
      </c>
      <c r="D81" s="392" t="str">
        <f>IF(AND(Data!Q80&lt;&gt;"",Data!L80="Accepté"),Data!Q80,"")</f>
        <v/>
      </c>
      <c r="E81" s="237" t="str">
        <f>IF(AND(Data!R80&lt;&gt;"",Data!L80="Accepté"),Data!R80,"")</f>
        <v/>
      </c>
      <c r="F81" s="326" t="str">
        <f>IF(AND(Data!R80&lt;&gt;"",Data!L80="Accepté"),Data!S80,"")</f>
        <v/>
      </c>
      <c r="G81" s="322" t="str">
        <f>IF(Data!R80='Delivery Plan'!E81,Data!U80,"")</f>
        <v/>
      </c>
      <c r="H81" s="259"/>
      <c r="I81" s="391" t="str">
        <f t="shared" si="5"/>
        <v/>
      </c>
      <c r="J81" s="392" t="str">
        <f>IF(AND(E81=Data!R80,Data!AA80&lt;&gt;""),Data!AA80,"")</f>
        <v/>
      </c>
      <c r="K81" s="313" t="str">
        <f>IF(AND(E81=Data!R80,Data!AE80&lt;&gt;""),Data!AE80,"")</f>
        <v/>
      </c>
      <c r="L81" s="318">
        <f>IF(E81=Data!R80,Data!AI80,"")</f>
        <v>1</v>
      </c>
      <c r="M81" s="318" t="str">
        <f>IF(E81=Data!R80,Data!AJ80,"")</f>
        <v>DT0623K1D1B01A0 en remplacement D01258</v>
      </c>
      <c r="N81" s="437" t="str">
        <f>IF(AND(Data!R80&lt;&gt;"",Data!L80="Accepté"),Data!K80,"")</f>
        <v/>
      </c>
    </row>
    <row r="82" spans="1:14" hidden="1" x14ac:dyDescent="0.3">
      <c r="A82" s="393" t="str">
        <f>IF(AND(Data!R81&lt;&gt;"",Data!L81="Accepté"),Data!G81,"")</f>
        <v/>
      </c>
      <c r="B82" s="393" t="str">
        <f>IF(AND(Data!R81&lt;&gt;"",Data!L81="Accepté"),Data!L81,"")</f>
        <v/>
      </c>
      <c r="C82" s="391" t="str">
        <f t="shared" si="4"/>
        <v/>
      </c>
      <c r="D82" s="392" t="str">
        <f>IF(AND(Data!Q81&lt;&gt;"",Data!L81="Accepté"),Data!Q81,"")</f>
        <v/>
      </c>
      <c r="E82" s="237" t="str">
        <f>IF(AND(Data!R81&lt;&gt;"",Data!L81="Accepté"),Data!R81,"")</f>
        <v/>
      </c>
      <c r="F82" s="326" t="str">
        <f>IF(AND(Data!R81&lt;&gt;"",Data!L81="Accepté"),Data!S81,"")</f>
        <v/>
      </c>
      <c r="G82" s="322" t="str">
        <f>IF(Data!R81='Delivery Plan'!E82,Data!U81,"")</f>
        <v/>
      </c>
      <c r="H82" s="259"/>
      <c r="I82" s="391" t="str">
        <f t="shared" si="5"/>
        <v/>
      </c>
      <c r="J82" s="392" t="str">
        <f>IF(AND(E82=Data!R81,Data!AA81&lt;&gt;""),Data!AA81,"")</f>
        <v/>
      </c>
      <c r="K82" s="313" t="str">
        <f>IF(AND(E82=Data!R81,Data!AE81&lt;&gt;""),Data!AE81,"")</f>
        <v/>
      </c>
      <c r="L82" s="318">
        <f>IF(E82=Data!R81,Data!AI81,"")</f>
        <v>2</v>
      </c>
      <c r="M82" s="318" t="str">
        <f>IF(E82=Data!R81,Data!AJ81,"")</f>
        <v>Commissioning SG248</v>
      </c>
      <c r="N82" s="437" t="str">
        <f>IF(AND(Data!R81&lt;&gt;"",Data!L81="Accepté"),Data!K81,"")</f>
        <v/>
      </c>
    </row>
    <row r="83" spans="1:14" hidden="1" x14ac:dyDescent="0.3">
      <c r="A83" s="393" t="str">
        <f>IF(AND(Data!R82&lt;&gt;"",Data!L82="Accepté"),Data!G82,"")</f>
        <v/>
      </c>
      <c r="B83" s="393" t="str">
        <f>IF(AND(Data!R82&lt;&gt;"",Data!L82="Accepté"),Data!L82,"")</f>
        <v/>
      </c>
      <c r="C83" s="391" t="str">
        <f t="shared" si="4"/>
        <v/>
      </c>
      <c r="D83" s="392" t="str">
        <f>IF(AND(Data!Q82&lt;&gt;"",Data!L82="Accepté"),Data!Q82,"")</f>
        <v/>
      </c>
      <c r="E83" s="237" t="str">
        <f>IF(AND(Data!R82&lt;&gt;"",Data!L82="Accepté"),Data!R82,"")</f>
        <v/>
      </c>
      <c r="F83" s="326" t="str">
        <f>IF(AND(Data!R82&lt;&gt;"",Data!L82="Accepté"),Data!S82,"")</f>
        <v/>
      </c>
      <c r="G83" s="322">
        <f>IF(Data!R82='Delivery Plan'!E83,Data!U82,"")</f>
        <v>0</v>
      </c>
      <c r="H83" s="259"/>
      <c r="I83" s="391" t="str">
        <f t="shared" si="5"/>
        <v/>
      </c>
      <c r="J83" s="392" t="str">
        <f>IF(AND(E83=Data!R82,Data!AA82&lt;&gt;""),Data!AA82,"")</f>
        <v/>
      </c>
      <c r="K83" s="313" t="str">
        <f>IF(AND(E83=Data!R82,Data!AE82&lt;&gt;""),Data!AE82,"")</f>
        <v/>
      </c>
      <c r="L83" s="318">
        <f>IF(E83=Data!R82,Data!AI82,"")</f>
        <v>1</v>
      </c>
      <c r="M83" s="318" t="str">
        <f>IF(E83=Data!R82,Data!AJ82,"")</f>
        <v>Formation COBRA</v>
      </c>
      <c r="N83" s="437" t="str">
        <f>IF(AND(Data!R82&lt;&gt;"",Data!L82="Accepté"),Data!K82,"")</f>
        <v/>
      </c>
    </row>
    <row r="84" spans="1:14" x14ac:dyDescent="0.3">
      <c r="A84" s="393" t="str">
        <f>IF(AND(Data!R83&lt;&gt;"",Data!L83="Accepté"),Data!G83,"")</f>
        <v>HYDRO SYSTEMS KG</v>
      </c>
      <c r="B84" s="393" t="str">
        <f>IF(AND(Data!R83&lt;&gt;"",Data!L83="Accepté"),Data!L83,"")</f>
        <v>Accepté</v>
      </c>
      <c r="C84" s="391" t="str">
        <f t="shared" si="4"/>
        <v>S08</v>
      </c>
      <c r="D84" s="392">
        <f>IF(AND(Data!Q83&lt;&gt;"",Data!L83="Accepté"),Data!Q83,"")</f>
        <v>44607</v>
      </c>
      <c r="E84" s="237" t="str">
        <f>IF(AND(Data!R83&lt;&gt;"",Data!L83="Accepté"),Data!R83,"")</f>
        <v>2022-018</v>
      </c>
      <c r="F84" s="326">
        <f>IF(AND(Data!R83&lt;&gt;"",Data!L83="Accepté"),Data!S83,"")</f>
        <v>20320</v>
      </c>
      <c r="G84" s="322">
        <f>IF(Data!R83='Delivery Plan'!E84,Data!U83,"")</f>
        <v>0</v>
      </c>
      <c r="H84" s="259"/>
      <c r="I84" s="391" t="str">
        <f t="shared" si="5"/>
        <v/>
      </c>
      <c r="J84" s="392" t="str">
        <f>IF(AND(E84=Data!R83,Data!AA83&lt;&gt;""),Data!AA83,"")</f>
        <v/>
      </c>
      <c r="K84" s="313">
        <f>IF(AND(E84=Data!R83,Data!AE83&lt;&gt;""),Data!AE83,"")</f>
        <v>44659</v>
      </c>
      <c r="L84" s="318">
        <f>IF(E84=Data!R83,Data!AI83,"")</f>
        <v>1</v>
      </c>
      <c r="M84" s="318" t="str">
        <f>IF(E84=Data!R83,Data!AJ83,"")</f>
        <v>Repair + Test statique sur site client orleans</v>
      </c>
      <c r="N84" s="437" t="str">
        <f>IF(AND(Data!R83&lt;&gt;"",Data!L83="Accepté"),Data!K83,"")</f>
        <v>SERVICE OTHER AIA</v>
      </c>
    </row>
    <row r="85" spans="1:14" x14ac:dyDescent="0.3">
      <c r="A85" s="393" t="str">
        <f>IF(AND(Data!R84&lt;&gt;"",Data!L84="Accepté"),Data!G84,"")</f>
        <v>HYDRO SYSTEMS KG</v>
      </c>
      <c r="B85" s="393" t="str">
        <f>IF(AND(Data!R84&lt;&gt;"",Data!L84="Accepté"),Data!L84,"")</f>
        <v>Accepté</v>
      </c>
      <c r="C85" s="391" t="str">
        <f t="shared" si="4"/>
        <v>S08</v>
      </c>
      <c r="D85" s="392">
        <f>IF(AND(Data!Q84&lt;&gt;"",Data!L84="Accepté"),Data!Q84,"")</f>
        <v>44607</v>
      </c>
      <c r="E85" s="237" t="str">
        <f>IF(AND(Data!R84&lt;&gt;"",Data!L84="Accepté"),Data!R84,"")</f>
        <v>2022-018</v>
      </c>
      <c r="F85" s="326">
        <f>IF(AND(Data!R84&lt;&gt;"",Data!L84="Accepté"),Data!S84,"")</f>
        <v>20320</v>
      </c>
      <c r="G85" s="322">
        <f>IF(Data!R84='Delivery Plan'!E85,Data!U84,"")</f>
        <v>0</v>
      </c>
      <c r="H85" s="259"/>
      <c r="I85" s="391" t="str">
        <f t="shared" si="5"/>
        <v/>
      </c>
      <c r="J85" s="392" t="str">
        <f>IF(AND(E85=Data!R84,Data!AA84&lt;&gt;""),Data!AA84,"")</f>
        <v/>
      </c>
      <c r="K85" s="313">
        <f>IF(AND(E85=Data!R84,Data!AE84&lt;&gt;""),Data!AE84,"")</f>
        <v>44673</v>
      </c>
      <c r="L85" s="318">
        <f>IF(E85=Data!R84,Data!AI84,"")</f>
        <v>1</v>
      </c>
      <c r="M85" s="318" t="str">
        <f>IF(E85=Data!R84,Data!AJ84,"")</f>
        <v>Repair + Test statique sur site client orleans</v>
      </c>
      <c r="N85" s="437" t="str">
        <f>IF(AND(Data!R84&lt;&gt;"",Data!L84="Accepté"),Data!K84,"")</f>
        <v>SERVICE OTHER AIA</v>
      </c>
    </row>
    <row r="86" spans="1:14" x14ac:dyDescent="0.3">
      <c r="A86" s="393" t="str">
        <f>IF(AND(Data!R85&lt;&gt;"",Data!L85="Accepté"),Data!G85,"")</f>
        <v>TARMAC</v>
      </c>
      <c r="B86" s="393" t="str">
        <f>IF(AND(Data!R85&lt;&gt;"",Data!L85="Accepté"),Data!L85,"")</f>
        <v>Accepté</v>
      </c>
      <c r="C86" s="391" t="str">
        <f t="shared" si="4"/>
        <v>S08</v>
      </c>
      <c r="D86" s="392">
        <f>IF(AND(Data!Q85&lt;&gt;"",Data!L85="Accepté"),Data!Q85,"")</f>
        <v>44609</v>
      </c>
      <c r="E86" s="237" t="str">
        <f>IF(AND(Data!R85&lt;&gt;"",Data!L85="Accepté"),Data!R85,"")</f>
        <v>2022-020</v>
      </c>
      <c r="F86" s="326">
        <f>IF(AND(Data!R85&lt;&gt;"",Data!L85="Accepté"),Data!S85,"")</f>
        <v>5851</v>
      </c>
      <c r="G86" s="322">
        <f>IF(Data!R85='Delivery Plan'!E86,Data!U85,"")</f>
        <v>0</v>
      </c>
      <c r="H86" s="259"/>
      <c r="I86" s="391" t="str">
        <f t="shared" si="5"/>
        <v/>
      </c>
      <c r="J86" s="392" t="str">
        <f>IF(AND(E86=Data!R85,Data!AA85&lt;&gt;""),Data!AA85,"")</f>
        <v/>
      </c>
      <c r="K86" s="313">
        <f>IF(AND(E86=Data!R85,Data!AE85&lt;&gt;""),Data!AE85,"")</f>
        <v>44663</v>
      </c>
      <c r="L86" s="318">
        <f>IF(E86=Data!R85,Data!AI85,"")</f>
        <v>4</v>
      </c>
      <c r="M86" s="318" t="str">
        <f>IF(E86=Data!R85,Data!AJ85,"")</f>
        <v>Recertifications moyens on-site Azereix</v>
      </c>
      <c r="N86" s="437" t="str">
        <f>IF(AND(Data!R85&lt;&gt;"",Data!L85="Accepté"),Data!K85,"")</f>
        <v>SERVICE OTHER AIA</v>
      </c>
    </row>
    <row r="87" spans="1:14" x14ac:dyDescent="0.3">
      <c r="A87" s="393" t="str">
        <f>IF(AND(Data!R86&lt;&gt;"",Data!L86="Accepté"),Data!G86,"")</f>
        <v>AIA</v>
      </c>
      <c r="B87" s="393" t="str">
        <f>IF(AND(Data!R86&lt;&gt;"",Data!L86="Accepté"),Data!L86,"")</f>
        <v>Accepté</v>
      </c>
      <c r="C87" s="391" t="str">
        <f t="shared" si="4"/>
        <v>S11</v>
      </c>
      <c r="D87" s="392">
        <f>IF(AND(Data!Q86&lt;&gt;"",Data!L86="Accepté"),Data!Q86,"")</f>
        <v>44627</v>
      </c>
      <c r="E87" s="237" t="str">
        <f>IF(AND(Data!R86&lt;&gt;"",Data!L86="Accepté"),Data!R86,"")</f>
        <v>2022-031</v>
      </c>
      <c r="F87" s="326">
        <f>IF(AND(Data!R86&lt;&gt;"",Data!L86="Accepté"),Data!S86,"")</f>
        <v>1060</v>
      </c>
      <c r="G87" s="322">
        <f>IF(Data!R86='Delivery Plan'!E87,Data!U86,"")</f>
        <v>0</v>
      </c>
      <c r="H87" s="259"/>
      <c r="I87" s="391" t="str">
        <f t="shared" si="5"/>
        <v/>
      </c>
      <c r="J87" s="392" t="str">
        <f>IF(AND(E87=Data!R86,Data!AA86&lt;&gt;""),Data!AA86,"")</f>
        <v/>
      </c>
      <c r="K87" s="313">
        <f>IF(AND(E87=Data!R86,Data!AE86&lt;&gt;""),Data!AE86,"")</f>
        <v>44693</v>
      </c>
      <c r="L87" s="318">
        <f>IF(E87=Data!R86,Data!AI86,"")</f>
        <v>2</v>
      </c>
      <c r="M87" s="318" t="str">
        <f>IF(E87=Data!R86,Data!AJ86,"")</f>
        <v>Remise en service crics et vérins</v>
      </c>
      <c r="N87" s="437" t="str">
        <f>IF(AND(Data!R86&lt;&gt;"",Data!L86="Accepté"),Data!K86,"")</f>
        <v>SERVICE AIA</v>
      </c>
    </row>
    <row r="88" spans="1:14" hidden="1" x14ac:dyDescent="0.3">
      <c r="A88" s="393" t="str">
        <f>IF(AND(Data!R87&lt;&gt;"",Data!L87="Accepté"),Data!G87,"")</f>
        <v>AIA</v>
      </c>
      <c r="B88" s="393" t="str">
        <f>IF(AND(Data!R87&lt;&gt;"",Data!L87="Accepté"),Data!L87,"")</f>
        <v>Accepté</v>
      </c>
      <c r="C88" s="391" t="str">
        <f t="shared" si="4"/>
        <v>S14</v>
      </c>
      <c r="D88" s="392">
        <f>IF(AND(Data!Q87&lt;&gt;"",Data!L87="Accepté"),Data!Q87,"")</f>
        <v>44651</v>
      </c>
      <c r="E88" s="237" t="str">
        <f>IF(AND(Data!R87&lt;&gt;"",Data!L87="Accepté"),Data!R87,"")</f>
        <v>2022-039</v>
      </c>
      <c r="F88" s="326">
        <f>IF(AND(Data!R87&lt;&gt;"",Data!L87="Accepté"),Data!S87,"")</f>
        <v>1200</v>
      </c>
      <c r="G88" s="322">
        <f>IF(Data!R87='Delivery Plan'!E88,Data!U87,"")</f>
        <v>0</v>
      </c>
      <c r="H88" s="259"/>
      <c r="I88" s="391" t="str">
        <f t="shared" si="5"/>
        <v>S15</v>
      </c>
      <c r="J88" s="392">
        <f>IF(AND(E88=Data!R87,Data!AA87&lt;&gt;""),Data!AA87,"")</f>
        <v>44655</v>
      </c>
      <c r="K88" s="313">
        <f>IF(AND(E88=Data!R87,Data!AE87&lt;&gt;""),Data!AE87,"")</f>
        <v>44678</v>
      </c>
      <c r="L88" s="318">
        <f>IF(E88=Data!R87,Data!AI87,"")</f>
        <v>2</v>
      </c>
      <c r="M88" s="318" t="str">
        <f>IF(E88=Data!R87,Data!AJ87,"")</f>
        <v>Maintenance curative crics et vérins</v>
      </c>
      <c r="N88" s="437" t="str">
        <f>IF(AND(Data!R87&lt;&gt;"",Data!L87="Accepté"),Data!K87,"")</f>
        <v>SERVICE AIA</v>
      </c>
    </row>
    <row r="89" spans="1:14" hidden="1" x14ac:dyDescent="0.3">
      <c r="A89" s="393" t="str">
        <f>IF(AND(Data!R88&lt;&gt;"",Data!L88="Accepté"),Data!G88,"")</f>
        <v/>
      </c>
      <c r="B89" s="393" t="str">
        <f>IF(AND(Data!R88&lt;&gt;"",Data!L88="Accepté"),Data!L88,"")</f>
        <v/>
      </c>
      <c r="C89" s="391" t="str">
        <f t="shared" si="4"/>
        <v/>
      </c>
      <c r="D89" s="392" t="str">
        <f>IF(AND(Data!Q88&lt;&gt;"",Data!L88="Accepté"),Data!Q88,"")</f>
        <v/>
      </c>
      <c r="E89" s="237" t="str">
        <f>IF(AND(Data!R88&lt;&gt;"",Data!L88="Accepté"),Data!R88,"")</f>
        <v/>
      </c>
      <c r="F89" s="326" t="str">
        <f>IF(AND(Data!R88&lt;&gt;"",Data!L88="Accepté"),Data!S88,"")</f>
        <v/>
      </c>
      <c r="G89" s="322">
        <f>IF(Data!R88='Delivery Plan'!E89,Data!U88,"")</f>
        <v>0</v>
      </c>
      <c r="H89" s="259"/>
      <c r="I89" s="391" t="str">
        <f t="shared" si="5"/>
        <v/>
      </c>
      <c r="J89" s="392" t="str">
        <f>IF(AND(E89=Data!R88,Data!AA88&lt;&gt;""),Data!AA88,"")</f>
        <v/>
      </c>
      <c r="K89" s="313" t="str">
        <f>IF(AND(E89=Data!R88,Data!AE88&lt;&gt;""),Data!AE88,"")</f>
        <v/>
      </c>
      <c r="L89" s="318">
        <f>IF(E89=Data!R88,Data!AI88,"")</f>
        <v>1</v>
      </c>
      <c r="M89" s="318" t="str">
        <f>IF(E89=Data!R88,Data!AJ88,"")</f>
        <v>Maintenance moyens Hydro sur Airbus SNZ</v>
      </c>
      <c r="N89" s="437" t="str">
        <f>IF(AND(Data!R88&lt;&gt;"",Data!L88="Accepté"),Data!K88,"")</f>
        <v/>
      </c>
    </row>
    <row r="90" spans="1:14" hidden="1" x14ac:dyDescent="0.3">
      <c r="A90" s="393" t="str">
        <f>IF(AND(Data!R89&lt;&gt;"",Data!L89="Accepté"),Data!G89,"")</f>
        <v/>
      </c>
      <c r="B90" s="393" t="str">
        <f>IF(AND(Data!R89&lt;&gt;"",Data!L89="Accepté"),Data!L89,"")</f>
        <v/>
      </c>
      <c r="C90" s="391" t="str">
        <f t="shared" si="4"/>
        <v/>
      </c>
      <c r="D90" s="392" t="str">
        <f>IF(AND(Data!Q89&lt;&gt;"",Data!L89="Accepté"),Data!Q89,"")</f>
        <v/>
      </c>
      <c r="E90" s="237" t="str">
        <f>IF(AND(Data!R89&lt;&gt;"",Data!L89="Accepté"),Data!R89,"")</f>
        <v/>
      </c>
      <c r="F90" s="326" t="str">
        <f>IF(AND(Data!R89&lt;&gt;"",Data!L89="Accepté"),Data!S89,"")</f>
        <v/>
      </c>
      <c r="G90" s="322" t="str">
        <f>IF(Data!R89='Delivery Plan'!E90,Data!U89,"")</f>
        <v/>
      </c>
      <c r="H90" s="259"/>
      <c r="I90" s="391" t="str">
        <f t="shared" si="5"/>
        <v/>
      </c>
      <c r="J90" s="392" t="str">
        <f>IF(AND(E90=Data!R89,Data!AA89&lt;&gt;""),Data!AA89,"")</f>
        <v/>
      </c>
      <c r="K90" s="313" t="str">
        <f>IF(AND(E90=Data!R89,Data!AE89&lt;&gt;""),Data!AE89,"")</f>
        <v/>
      </c>
      <c r="L90" s="318">
        <f>IF(E90=Data!R89,Data!AI89,"")</f>
        <v>1</v>
      </c>
      <c r="M90" s="318" t="str">
        <f>IF(E90=Data!R89,Data!AJ89,"")</f>
        <v>Calibration sling equipment</v>
      </c>
      <c r="N90" s="437" t="str">
        <f>IF(AND(Data!R89&lt;&gt;"",Data!L89="Accepté"),Data!K89,"")</f>
        <v/>
      </c>
    </row>
    <row r="91" spans="1:14" hidden="1" x14ac:dyDescent="0.3">
      <c r="A91" s="393" t="str">
        <f>IF(AND(Data!R90&lt;&gt;"",Data!L90="Accepté"),Data!G90,"")</f>
        <v/>
      </c>
      <c r="B91" s="393" t="str">
        <f>IF(AND(Data!R90&lt;&gt;"",Data!L90="Accepté"),Data!L90,"")</f>
        <v/>
      </c>
      <c r="C91" s="391" t="str">
        <f t="shared" si="4"/>
        <v/>
      </c>
      <c r="D91" s="392" t="str">
        <f>IF(AND(Data!Q90&lt;&gt;"",Data!L90="Accepté"),Data!Q90,"")</f>
        <v/>
      </c>
      <c r="E91" s="237" t="str">
        <f>IF(AND(Data!R90&lt;&gt;"",Data!L90="Accepté"),Data!R90,"")</f>
        <v/>
      </c>
      <c r="F91" s="326" t="str">
        <f>IF(AND(Data!R90&lt;&gt;"",Data!L90="Accepté"),Data!S90,"")</f>
        <v/>
      </c>
      <c r="G91" s="322">
        <f>IF(Data!R90='Delivery Plan'!E91,Data!U90,"")</f>
        <v>0</v>
      </c>
      <c r="H91" s="259"/>
      <c r="I91" s="391" t="str">
        <f t="shared" si="5"/>
        <v/>
      </c>
      <c r="J91" s="392" t="str">
        <f>IF(AND(E91=Data!R90,Data!AA90&lt;&gt;""),Data!AA90,"")</f>
        <v/>
      </c>
      <c r="K91" s="313" t="str">
        <f>IF(AND(E91=Data!R90,Data!AE90&lt;&gt;""),Data!AE90,"")</f>
        <v/>
      </c>
      <c r="L91" s="318">
        <f>IF(E91=Data!R90,Data!AI90,"")</f>
        <v>0</v>
      </c>
      <c r="M91" s="318">
        <f>IF(E91=Data!R90,Data!AJ90,"")</f>
        <v>0</v>
      </c>
      <c r="N91" s="437" t="str">
        <f>IF(AND(Data!R90&lt;&gt;"",Data!L90="Accepté"),Data!K90,"")</f>
        <v/>
      </c>
    </row>
    <row r="92" spans="1:14" hidden="1" x14ac:dyDescent="0.3">
      <c r="A92" s="393" t="str">
        <f>IF(AND(Data!R91&lt;&gt;"",Data!L91="Accepté"),Data!G91,"")</f>
        <v>TARMAC</v>
      </c>
      <c r="B92" s="393" t="str">
        <f>IF(AND(Data!R91&lt;&gt;"",Data!L91="Accepté"),Data!L91,"")</f>
        <v>Accepté</v>
      </c>
      <c r="C92" s="391" t="str">
        <f t="shared" si="4"/>
        <v>S08</v>
      </c>
      <c r="D92" s="392">
        <f>IF(AND(Data!Q91&lt;&gt;"",Data!L91="Accepté"),Data!Q91,"")</f>
        <v>44609</v>
      </c>
      <c r="E92" s="237" t="str">
        <f>IF(AND(Data!R91&lt;&gt;"",Data!L91="Accepté"),Data!R91,"")</f>
        <v>2022-021</v>
      </c>
      <c r="F92" s="326">
        <f>IF(AND(Data!R91&lt;&gt;"",Data!L91="Accepté"),Data!S91,"")</f>
        <v>460</v>
      </c>
      <c r="G92" s="322" t="str">
        <f>IF(Data!R91='Delivery Plan'!E92,Data!U91,"")</f>
        <v/>
      </c>
      <c r="H92" s="259"/>
      <c r="I92" s="391" t="str">
        <f t="shared" si="5"/>
        <v>S09</v>
      </c>
      <c r="J92" s="392">
        <f>IF(AND(E92=Data!R91,Data!AA91&lt;&gt;""),Data!AA91,"")</f>
        <v>44616</v>
      </c>
      <c r="K92" s="313" t="str">
        <f>IF(AND(E92=Data!R91,Data!AE91&lt;&gt;""),Data!AE91,"")</f>
        <v/>
      </c>
      <c r="L92" s="318">
        <f>IF(E92=Data!R91,Data!AI91,"")</f>
        <v>1</v>
      </c>
      <c r="M92" s="318" t="str">
        <f>IF(E92=Data!R91,Data!AJ91,"")</f>
        <v>Recertification cric</v>
      </c>
      <c r="N92" s="437" t="str">
        <f>IF(AND(Data!R91&lt;&gt;"",Data!L91="Accepté"),Data!K91,"")</f>
        <v>SERVICE OTHER AIA</v>
      </c>
    </row>
    <row r="93" spans="1:14" hidden="1" x14ac:dyDescent="0.3">
      <c r="A93" s="393" t="str">
        <f>IF(AND(Data!R92&lt;&gt;"",Data!L92="Accepté"),Data!G92,"")</f>
        <v>TARMAC</v>
      </c>
      <c r="B93" s="393" t="str">
        <f>IF(AND(Data!R92&lt;&gt;"",Data!L92="Accepté"),Data!L92,"")</f>
        <v>Accepté</v>
      </c>
      <c r="C93" s="391" t="str">
        <f t="shared" si="4"/>
        <v>S08</v>
      </c>
      <c r="D93" s="392">
        <f>IF(AND(Data!Q92&lt;&gt;"",Data!L92="Accepté"),Data!Q92,"")</f>
        <v>44609</v>
      </c>
      <c r="E93" s="237" t="str">
        <f>IF(AND(Data!R92&lt;&gt;"",Data!L92="Accepté"),Data!R92,"")</f>
        <v>2022-021</v>
      </c>
      <c r="F93" s="326">
        <f>IF(AND(Data!R92&lt;&gt;"",Data!L92="Accepté"),Data!S92,"")</f>
        <v>90</v>
      </c>
      <c r="G93" s="322">
        <f>IF(Data!R92='Delivery Plan'!E93,Data!U92,"")</f>
        <v>0</v>
      </c>
      <c r="H93" s="259"/>
      <c r="I93" s="391" t="str">
        <f t="shared" si="5"/>
        <v>S11</v>
      </c>
      <c r="J93" s="392">
        <f>IF(AND(E93=Data!R92,Data!AA92&lt;&gt;""),Data!AA92,"")</f>
        <v>44630</v>
      </c>
      <c r="K93" s="313" t="str">
        <f>IF(AND(E93=Data!R92,Data!AE92&lt;&gt;""),Data!AE92,"")</f>
        <v/>
      </c>
      <c r="L93" s="318">
        <f>IF(E93=Data!R92,Data!AI92,"")</f>
        <v>1</v>
      </c>
      <c r="M93" s="318" t="str">
        <f>IF(E93=Data!R92,Data!AJ92,"")</f>
        <v>Réparation palan</v>
      </c>
      <c r="N93" s="437" t="str">
        <f>IF(AND(Data!R92&lt;&gt;"",Data!L92="Accepté"),Data!K92,"")</f>
        <v>SERVICE OTHER AIA</v>
      </c>
    </row>
    <row r="94" spans="1:14" hidden="1" x14ac:dyDescent="0.3">
      <c r="A94" s="393" t="str">
        <f>IF(AND(Data!R93&lt;&gt;"",Data!L93="Accepté"),Data!G93,"")</f>
        <v/>
      </c>
      <c r="B94" s="393" t="str">
        <f>IF(AND(Data!R93&lt;&gt;"",Data!L93="Accepté"),Data!L93,"")</f>
        <v/>
      </c>
      <c r="C94" s="391" t="str">
        <f t="shared" si="4"/>
        <v/>
      </c>
      <c r="D94" s="392" t="str">
        <f>IF(AND(Data!Q93&lt;&gt;"",Data!L93="Accepté"),Data!Q93,"")</f>
        <v/>
      </c>
      <c r="E94" s="237" t="str">
        <f>IF(AND(Data!R93&lt;&gt;"",Data!L93="Accepté"),Data!R93,"")</f>
        <v/>
      </c>
      <c r="F94" s="326" t="str">
        <f>IF(AND(Data!R93&lt;&gt;"",Data!L93="Accepté"),Data!S93,"")</f>
        <v/>
      </c>
      <c r="G94" s="322" t="str">
        <f>IF(Data!R93='Delivery Plan'!E94,Data!U93,"")</f>
        <v/>
      </c>
      <c r="H94" s="259"/>
      <c r="I94" s="391" t="str">
        <f t="shared" si="5"/>
        <v/>
      </c>
      <c r="J94" s="392" t="str">
        <f>IF(AND(E94=Data!R93,Data!AA93&lt;&gt;""),Data!AA93,"")</f>
        <v/>
      </c>
      <c r="K94" s="313" t="str">
        <f>IF(AND(E94=Data!R93,Data!AE93&lt;&gt;""),Data!AE93,"")</f>
        <v/>
      </c>
      <c r="L94" s="318" t="str">
        <f>IF(E94=Data!R93,Data!AI93,"")</f>
        <v/>
      </c>
      <c r="M94" s="318" t="str">
        <f>IF(E94=Data!R93,Data!AJ93,"")</f>
        <v/>
      </c>
      <c r="N94" s="437" t="str">
        <f>IF(AND(Data!R93&lt;&gt;"",Data!L93="Accepté"),Data!K93,"")</f>
        <v/>
      </c>
    </row>
    <row r="95" spans="1:14" hidden="1" x14ac:dyDescent="0.3">
      <c r="A95" s="393" t="str">
        <f>IF(AND(Data!R94&lt;&gt;"",Data!L94="Accepté"),Data!G94,"")</f>
        <v/>
      </c>
      <c r="B95" s="393" t="str">
        <f>IF(AND(Data!R94&lt;&gt;"",Data!L94="Accepté"),Data!L94,"")</f>
        <v/>
      </c>
      <c r="C95" s="391" t="str">
        <f t="shared" si="4"/>
        <v/>
      </c>
      <c r="D95" s="392" t="str">
        <f>IF(AND(Data!Q94&lt;&gt;"",Data!L94="Accepté"),Data!Q94,"")</f>
        <v/>
      </c>
      <c r="E95" s="237" t="str">
        <f>IF(AND(Data!R94&lt;&gt;"",Data!L94="Accepté"),Data!R94,"")</f>
        <v/>
      </c>
      <c r="F95" s="326" t="str">
        <f>IF(AND(Data!R94&lt;&gt;"",Data!L94="Accepté"),Data!S94,"")</f>
        <v/>
      </c>
      <c r="G95" s="322" t="str">
        <f>IF(Data!R94='Delivery Plan'!E95,Data!U94,"")</f>
        <v/>
      </c>
      <c r="H95" s="259"/>
      <c r="I95" s="391" t="str">
        <f t="shared" si="5"/>
        <v/>
      </c>
      <c r="J95" s="392" t="str">
        <f>IF(AND(E95=Data!R94,Data!AA94&lt;&gt;""),Data!AA94,"")</f>
        <v/>
      </c>
      <c r="K95" s="313" t="str">
        <f>IF(AND(E95=Data!R94,Data!AE94&lt;&gt;""),Data!AE94,"")</f>
        <v/>
      </c>
      <c r="L95" s="318" t="str">
        <f>IF(E95=Data!R94,Data!AI94,"")</f>
        <v/>
      </c>
      <c r="M95" s="318" t="str">
        <f>IF(E95=Data!R94,Data!AJ94,"")</f>
        <v/>
      </c>
      <c r="N95" s="437" t="str">
        <f>IF(AND(Data!R94&lt;&gt;"",Data!L94="Accepté"),Data!K94,"")</f>
        <v/>
      </c>
    </row>
    <row r="96" spans="1:14" hidden="1" x14ac:dyDescent="0.3">
      <c r="A96" s="393" t="str">
        <f>IF(AND(Data!R95&lt;&gt;"",Data!L95="Accepté"),Data!G95,"")</f>
        <v/>
      </c>
      <c r="B96" s="393" t="str">
        <f>IF(AND(Data!R95&lt;&gt;"",Data!L95="Accepté"),Data!L95,"")</f>
        <v/>
      </c>
      <c r="C96" s="391" t="str">
        <f t="shared" si="4"/>
        <v/>
      </c>
      <c r="D96" s="392" t="str">
        <f>IF(AND(Data!Q95&lt;&gt;"",Data!L95="Accepté"),Data!Q95,"")</f>
        <v/>
      </c>
      <c r="E96" s="237" t="str">
        <f>IF(AND(Data!R95&lt;&gt;"",Data!L95="Accepté"),Data!R95,"")</f>
        <v/>
      </c>
      <c r="F96" s="326" t="str">
        <f>IF(AND(Data!R95&lt;&gt;"",Data!L95="Accepté"),Data!S95,"")</f>
        <v/>
      </c>
      <c r="G96" s="322" t="str">
        <f>IF(Data!R95='Delivery Plan'!E96,Data!U95,"")</f>
        <v/>
      </c>
      <c r="H96" s="259"/>
      <c r="I96" s="391" t="str">
        <f t="shared" si="5"/>
        <v/>
      </c>
      <c r="J96" s="392" t="str">
        <f>IF(AND(E96=Data!R95,Data!AA95&lt;&gt;""),Data!AA95,"")</f>
        <v/>
      </c>
      <c r="K96" s="313" t="str">
        <f>IF(AND(E96=Data!R95,Data!AE95&lt;&gt;""),Data!AE95,"")</f>
        <v/>
      </c>
      <c r="L96" s="318" t="str">
        <f>IF(E96=Data!R95,Data!AI95,"")</f>
        <v/>
      </c>
      <c r="M96" s="318" t="str">
        <f>IF(E96=Data!R95,Data!AJ95,"")</f>
        <v/>
      </c>
      <c r="N96" s="437" t="str">
        <f>IF(AND(Data!R95&lt;&gt;"",Data!L95="Accepté"),Data!K95,"")</f>
        <v/>
      </c>
    </row>
    <row r="97" spans="1:14" x14ac:dyDescent="0.3">
      <c r="A97" s="393" t="str">
        <f>IF(AND(Data!R96&lt;&gt;"",Data!L96="Accepté"),Data!G96,"")</f>
        <v>IGO</v>
      </c>
      <c r="B97" s="393" t="str">
        <f>IF(AND(Data!R96&lt;&gt;"",Data!L96="Accepté"),Data!L96,"")</f>
        <v>Accepté</v>
      </c>
      <c r="C97" s="391" t="str">
        <f t="shared" si="4"/>
        <v>S08</v>
      </c>
      <c r="D97" s="392">
        <f>IF(AND(Data!Q96&lt;&gt;"",Data!L96="Accepté"),Data!Q96,"")</f>
        <v>44610</v>
      </c>
      <c r="E97" s="237" t="str">
        <f>IF(AND(Data!R96&lt;&gt;"",Data!L96="Accepté"),Data!R96,"")</f>
        <v>2022-022</v>
      </c>
      <c r="F97" s="326">
        <f>IF(AND(Data!R96&lt;&gt;"",Data!L96="Accepté"),Data!S96,"")</f>
        <v>5939</v>
      </c>
      <c r="G97" s="322">
        <f>IF(Data!R96='Delivery Plan'!E97,Data!U96,"")</f>
        <v>0</v>
      </c>
      <c r="H97" s="259"/>
      <c r="I97" s="391" t="str">
        <f t="shared" si="5"/>
        <v/>
      </c>
      <c r="J97" s="392" t="str">
        <f>IF(AND(E97=Data!R96,Data!AA96&lt;&gt;""),Data!AA96,"")</f>
        <v/>
      </c>
      <c r="K97" s="313">
        <f>IF(AND(E97=Data!R96,Data!AE96&lt;&gt;""),Data!AE96,"")</f>
        <v>44706</v>
      </c>
      <c r="L97" s="318">
        <f>IF(E97=Data!R96,Data!AI96,"")</f>
        <v>3</v>
      </c>
      <c r="M97" s="318" t="str">
        <f>IF(E97=Data!R96,Data!AJ96,"")</f>
        <v xml:space="preserve">Réparation et recertification crics in-house </v>
      </c>
      <c r="N97" s="437" t="str">
        <f>IF(AND(Data!R96&lt;&gt;"",Data!L96="Accepté"),Data!K96,"")</f>
        <v>SERVICE OTHER AIA</v>
      </c>
    </row>
    <row r="98" spans="1:14" x14ac:dyDescent="0.3">
      <c r="A98" s="393" t="str">
        <f>IF(AND(Data!R97&lt;&gt;"",Data!L97="Accepté"),Data!G97,"")</f>
        <v>AIA</v>
      </c>
      <c r="B98" s="393" t="str">
        <f>IF(AND(Data!R97&lt;&gt;"",Data!L97="Accepté"),Data!L97,"")</f>
        <v>Accepté</v>
      </c>
      <c r="C98" s="391" t="str">
        <f t="shared" si="4"/>
        <v>S09</v>
      </c>
      <c r="D98" s="392">
        <f>IF(AND(Data!Q97&lt;&gt;"",Data!L97="Accepté"),Data!Q97,"")</f>
        <v>44614</v>
      </c>
      <c r="E98" s="237" t="str">
        <f>IF(AND(Data!R97&lt;&gt;"",Data!L97="Accepté"),Data!R97,"")</f>
        <v>2022-023</v>
      </c>
      <c r="F98" s="326">
        <f>IF(AND(Data!R97&lt;&gt;"",Data!L97="Accepté"),Data!S97,"")</f>
        <v>9590</v>
      </c>
      <c r="G98" s="322" t="str">
        <f>IF(Data!R97='Delivery Plan'!E98,Data!U97,"")</f>
        <v/>
      </c>
      <c r="H98" s="259"/>
      <c r="I98" s="391" t="str">
        <f t="shared" si="5"/>
        <v/>
      </c>
      <c r="J98" s="392" t="str">
        <f>IF(AND(E98=Data!R97,Data!AA97&lt;&gt;""),Data!AA97,"")</f>
        <v/>
      </c>
      <c r="K98" s="313">
        <f>IF(AND(E98=Data!R97,Data!AE97&lt;&gt;""),Data!AE97,"")</f>
        <v>44685</v>
      </c>
      <c r="L98" s="318">
        <f>IF(E98=Data!R97,Data!AI97,"")</f>
        <v>1</v>
      </c>
      <c r="M98" s="318" t="str">
        <f>IF(E98=Data!R97,Data!AJ97,"")</f>
        <v>Réalisation d'un chariot ATL2</v>
      </c>
      <c r="N98" s="437" t="str">
        <f>IF(AND(Data!R97&lt;&gt;"",Data!L97="Accepté"),Data!K97,"")</f>
        <v>FCP AIA</v>
      </c>
    </row>
    <row r="99" spans="1:14" x14ac:dyDescent="0.3">
      <c r="A99" s="393" t="str">
        <f>IF(AND(Data!R98&lt;&gt;"",Data!L98="Accepté"),Data!G98,"")</f>
        <v>SABENA PERPIGNAN</v>
      </c>
      <c r="B99" s="393" t="str">
        <f>IF(AND(Data!R98&lt;&gt;"",Data!L98="Accepté"),Data!L98,"")</f>
        <v>Accepté</v>
      </c>
      <c r="C99" s="391" t="str">
        <f t="shared" si="4"/>
        <v/>
      </c>
      <c r="D99" s="392" t="str">
        <f>IF(AND(Data!Q98&lt;&gt;"",Data!L98="Accepté"),Data!Q98,"")</f>
        <v/>
      </c>
      <c r="E99" s="237" t="str">
        <f>IF(AND(Data!R98&lt;&gt;"",Data!L98="Accepté"),Data!R98,"")</f>
        <v>2022-026</v>
      </c>
      <c r="F99" s="326">
        <f>IF(AND(Data!R98&lt;&gt;"",Data!L98="Accepté"),Data!S98,"")</f>
        <v>1915</v>
      </c>
      <c r="G99" s="322">
        <f>IF(Data!R98='Delivery Plan'!E99,Data!U98,"")</f>
        <v>0</v>
      </c>
      <c r="H99" s="259"/>
      <c r="I99" s="391" t="str">
        <f t="shared" si="5"/>
        <v/>
      </c>
      <c r="J99" s="392" t="str">
        <f>IF(AND(E99=Data!R98,Data!AA98&lt;&gt;""),Data!AA98,"")</f>
        <v/>
      </c>
      <c r="K99" s="313">
        <f>IF(AND(E99=Data!R98,Data!AE98&lt;&gt;""),Data!AE98,"")</f>
        <v>44673</v>
      </c>
      <c r="L99" s="318">
        <f>IF(E99=Data!R98,Data!AI98,"")</f>
        <v>1</v>
      </c>
      <c r="M99" s="318" t="str">
        <f>IF(E99=Data!R98,Data!AJ98,"")</f>
        <v xml:space="preserve">Réparation cric RH1029A1A0A01 in-house </v>
      </c>
      <c r="N99" s="437" t="str">
        <f>IF(AND(Data!R98&lt;&gt;"",Data!L98="Accepté"),Data!K98,"")</f>
        <v>SERVICE OTHER AIA</v>
      </c>
    </row>
    <row r="100" spans="1:14" hidden="1" x14ac:dyDescent="0.3">
      <c r="A100" s="393" t="str">
        <f>IF(AND(Data!R99&lt;&gt;"",Data!L99="Accepté"),Data!G99,"")</f>
        <v/>
      </c>
      <c r="B100" s="393" t="str">
        <f>IF(AND(Data!R99&lt;&gt;"",Data!L99="Accepté"),Data!L99,"")</f>
        <v/>
      </c>
      <c r="C100" s="391" t="str">
        <f t="shared" si="4"/>
        <v/>
      </c>
      <c r="D100" s="392" t="str">
        <f>IF(AND(Data!Q99&lt;&gt;"",Data!L99="Accepté"),Data!Q99,"")</f>
        <v/>
      </c>
      <c r="E100" s="237" t="str">
        <f>IF(AND(Data!R99&lt;&gt;"",Data!L99="Accepté"),Data!R99,"")</f>
        <v/>
      </c>
      <c r="F100" s="326" t="str">
        <f>IF(AND(Data!R99&lt;&gt;"",Data!L99="Accepté"),Data!S99,"")</f>
        <v/>
      </c>
      <c r="G100" s="322">
        <f>IF(Data!R99='Delivery Plan'!E100,Data!U99,"")</f>
        <v>0</v>
      </c>
      <c r="H100" s="259"/>
      <c r="I100" s="391" t="str">
        <f t="shared" si="5"/>
        <v/>
      </c>
      <c r="J100" s="392" t="str">
        <f>IF(AND(E100=Data!R99,Data!AA99&lt;&gt;""),Data!AA99,"")</f>
        <v/>
      </c>
      <c r="K100" s="313" t="str">
        <f>IF(AND(E100=Data!R99,Data!AE99&lt;&gt;""),Data!AE99,"")</f>
        <v/>
      </c>
      <c r="L100" s="318">
        <f>IF(E100=Data!R99,Data!AI99,"")</f>
        <v>1</v>
      </c>
      <c r="M100" s="318" t="str">
        <f>IF(E100=Data!R99,Data!AJ99,"")</f>
        <v>Calibration in-house crics</v>
      </c>
      <c r="N100" s="437" t="str">
        <f>IF(AND(Data!R99&lt;&gt;"",Data!L99="Accepté"),Data!K99,"")</f>
        <v/>
      </c>
    </row>
    <row r="101" spans="1:14" hidden="1" x14ac:dyDescent="0.3">
      <c r="A101" s="393" t="str">
        <f>IF(AND(Data!R100&lt;&gt;"",Data!L100="Accepté"),Data!G100,"")</f>
        <v/>
      </c>
      <c r="B101" s="393" t="str">
        <f>IF(AND(Data!R100&lt;&gt;"",Data!L100="Accepté"),Data!L100,"")</f>
        <v/>
      </c>
      <c r="C101" s="391" t="str">
        <f t="shared" si="4"/>
        <v/>
      </c>
      <c r="D101" s="392" t="str">
        <f>IF(AND(Data!Q100&lt;&gt;"",Data!L100="Accepté"),Data!Q100,"")</f>
        <v/>
      </c>
      <c r="E101" s="237" t="str">
        <f>IF(AND(Data!R100&lt;&gt;"",Data!L100="Accepté"),Data!R100,"")</f>
        <v/>
      </c>
      <c r="F101" s="326" t="str">
        <f>IF(AND(Data!R100&lt;&gt;"",Data!L100="Accepté"),Data!S100,"")</f>
        <v/>
      </c>
      <c r="G101" s="322">
        <f>IF(Data!R100='Delivery Plan'!E101,Data!U100,"")</f>
        <v>0</v>
      </c>
      <c r="H101" s="259"/>
      <c r="I101" s="391" t="str">
        <f t="shared" si="5"/>
        <v/>
      </c>
      <c r="J101" s="392" t="str">
        <f>IF(AND(E101=Data!R100,Data!AA100&lt;&gt;""),Data!AA100,"")</f>
        <v/>
      </c>
      <c r="K101" s="313" t="str">
        <f>IF(AND(E101=Data!R100,Data!AE100&lt;&gt;""),Data!AE100,"")</f>
        <v/>
      </c>
      <c r="L101" s="318">
        <f>IF(E101=Data!R100,Data!AI100,"")</f>
        <v>1</v>
      </c>
      <c r="M101" s="318" t="str">
        <f>IF(E101=Data!R100,Data!AJ100,"")</f>
        <v>Calibration on-site vérins</v>
      </c>
      <c r="N101" s="437" t="str">
        <f>IF(AND(Data!R100&lt;&gt;"",Data!L100="Accepté"),Data!K100,"")</f>
        <v/>
      </c>
    </row>
    <row r="102" spans="1:14" hidden="1" x14ac:dyDescent="0.3">
      <c r="A102" s="393" t="str">
        <f>IF(AND(Data!R101&lt;&gt;"",Data!L101="Accepté"),Data!G101,"")</f>
        <v>AIA</v>
      </c>
      <c r="B102" s="393" t="str">
        <f>IF(AND(Data!R101&lt;&gt;"",Data!L101="Accepté"),Data!L101,"")</f>
        <v>Accepté</v>
      </c>
      <c r="C102" s="391" t="str">
        <f t="shared" si="4"/>
        <v>S14</v>
      </c>
      <c r="D102" s="392">
        <f>IF(AND(Data!Q101&lt;&gt;"",Data!L101="Accepté"),Data!Q101,"")</f>
        <v>44648</v>
      </c>
      <c r="E102" s="237" t="str">
        <f>IF(AND(Data!R101&lt;&gt;"",Data!L101="Accepté"),Data!R101,"")</f>
        <v>2022-041</v>
      </c>
      <c r="F102" s="326">
        <f>IF(AND(Data!R101&lt;&gt;"",Data!L101="Accepté"),Data!S101,"")</f>
        <v>186</v>
      </c>
      <c r="G102" s="322">
        <f>IF(Data!R101='Delivery Plan'!E102,Data!U101,"")</f>
        <v>0</v>
      </c>
      <c r="H102" s="259"/>
      <c r="I102" s="391" t="str">
        <f t="shared" si="5"/>
        <v>S15</v>
      </c>
      <c r="J102" s="392">
        <f>IF(AND(E102=Data!R101,Data!AA101&lt;&gt;""),Data!AA101,"")</f>
        <v>44657</v>
      </c>
      <c r="K102" s="313">
        <f>IF(AND(E102=Data!R101,Data!AE101&lt;&gt;""),Data!AE101,"")</f>
        <v>44666</v>
      </c>
      <c r="L102" s="318">
        <f>IF(E102=Data!R101,Data!AI101,"")</f>
        <v>3</v>
      </c>
      <c r="M102" s="318" t="str">
        <f>IF(E102=Data!R101,Data!AJ101,"")</f>
        <v>Fourniture shearpins</v>
      </c>
      <c r="N102" s="437" t="str">
        <f>IF(AND(Data!R101&lt;&gt;"",Data!L101="Accepté"),Data!K101,"")</f>
        <v>TOOLING AIA</v>
      </c>
    </row>
    <row r="103" spans="1:14" x14ac:dyDescent="0.3">
      <c r="A103" s="393" t="str">
        <f>IF(AND(Data!R102&lt;&gt;"",Data!L102="Accepté"),Data!G102,"")</f>
        <v>AIR CORSICA</v>
      </c>
      <c r="B103" s="393" t="str">
        <f>IF(AND(Data!R102&lt;&gt;"",Data!L102="Accepté"),Data!L102,"")</f>
        <v>Accepté</v>
      </c>
      <c r="C103" s="391" t="str">
        <f t="shared" si="4"/>
        <v>S10</v>
      </c>
      <c r="D103" s="392">
        <f>IF(AND(Data!Q102&lt;&gt;"",Data!L102="Accepté"),Data!Q102,"")</f>
        <v>44621</v>
      </c>
      <c r="E103" s="237" t="str">
        <f>IF(AND(Data!R102&lt;&gt;"",Data!L102="Accepté"),Data!R102,"")</f>
        <v>2022-029</v>
      </c>
      <c r="F103" s="326">
        <f>IF(AND(Data!R102&lt;&gt;"",Data!L102="Accepté"),Data!S102,"")</f>
        <v>660</v>
      </c>
      <c r="G103" s="322" t="str">
        <f>IF(Data!R102='Delivery Plan'!E103,Data!U102,"")</f>
        <v/>
      </c>
      <c r="H103" s="259"/>
      <c r="I103" s="391" t="str">
        <f t="shared" si="5"/>
        <v/>
      </c>
      <c r="J103" s="392" t="str">
        <f>IF(AND(E103=Data!R102,Data!AA102&lt;&gt;""),Data!AA102,"")</f>
        <v/>
      </c>
      <c r="K103" s="313">
        <f>IF(AND(E103=Data!R102,Data!AE102&lt;&gt;""),Data!AE102,"")</f>
        <v>44739</v>
      </c>
      <c r="L103" s="318">
        <f>IF(E103=Data!R102,Data!AI102,"")</f>
        <v>1</v>
      </c>
      <c r="M103" s="318" t="str">
        <f>IF(E103=Data!R102,Data!AJ102,"")</f>
        <v>Calibration cric RA4510K2A0A10</v>
      </c>
      <c r="N103" s="437" t="str">
        <f>IF(AND(Data!R102&lt;&gt;"",Data!L102="Accepté"),Data!K102,"")</f>
        <v>SERVICE OTHER AIA</v>
      </c>
    </row>
    <row r="104" spans="1:14" hidden="1" x14ac:dyDescent="0.3">
      <c r="A104" s="393" t="str">
        <f>IF(AND(Data!R103&lt;&gt;"",Data!L103="Accepté"),Data!G103,"")</f>
        <v>HOP</v>
      </c>
      <c r="B104" s="393" t="str">
        <f>IF(AND(Data!R103&lt;&gt;"",Data!L103="Accepté"),Data!L103,"")</f>
        <v>Accepté</v>
      </c>
      <c r="C104" s="391" t="str">
        <f t="shared" si="4"/>
        <v>S10</v>
      </c>
      <c r="D104" s="392">
        <f>IF(AND(Data!Q103&lt;&gt;"",Data!L103="Accepté"),Data!Q103,"")</f>
        <v>44621</v>
      </c>
      <c r="E104" s="237" t="str">
        <f>IF(AND(Data!R103&lt;&gt;"",Data!L103="Accepté"),Data!R103,"")</f>
        <v>2022-028</v>
      </c>
      <c r="F104" s="326">
        <f>IF(AND(Data!R103&lt;&gt;"",Data!L103="Accepté"),Data!S103,"")</f>
        <v>660</v>
      </c>
      <c r="G104" s="322">
        <f>IF(Data!R103='Delivery Plan'!E104,Data!U103,"")</f>
        <v>0</v>
      </c>
      <c r="H104" s="259"/>
      <c r="I104" s="391" t="str">
        <f t="shared" si="5"/>
        <v>S12</v>
      </c>
      <c r="J104" s="392">
        <f>IF(AND(E104=Data!R103,Data!AA103&lt;&gt;""),Data!AA103,"")</f>
        <v>44636</v>
      </c>
      <c r="K104" s="313">
        <f>IF(AND(E104=Data!R103,Data!AE103&lt;&gt;""),Data!AE103,"")</f>
        <v>44652</v>
      </c>
      <c r="L104" s="318">
        <f>IF(E104=Data!R103,Data!AI103,"")</f>
        <v>1</v>
      </c>
      <c r="M104" s="318" t="str">
        <f>IF(E104=Data!R103,Data!AJ103,"")</f>
        <v xml:space="preserve">Calibration cric RT4550-001 in-house </v>
      </c>
      <c r="N104" s="437" t="str">
        <f>IF(AND(Data!R103&lt;&gt;"",Data!L103="Accepté"),Data!K103,"")</f>
        <v>SERVICE OTHER AIA</v>
      </c>
    </row>
    <row r="105" spans="1:14" hidden="1" x14ac:dyDescent="0.3">
      <c r="A105" s="393" t="str">
        <f>IF(AND(Data!R104&lt;&gt;"",Data!L104="Accepté"),Data!G104,"")</f>
        <v>AIA</v>
      </c>
      <c r="B105" s="393" t="str">
        <f>IF(AND(Data!R104&lt;&gt;"",Data!L104="Accepté"),Data!L104,"")</f>
        <v>Accepté</v>
      </c>
      <c r="C105" s="391" t="str">
        <f t="shared" si="4"/>
        <v>S07</v>
      </c>
      <c r="D105" s="392">
        <f>IF(AND(Data!Q104&lt;&gt;"",Data!L104="Accepté"),Data!Q104,"")</f>
        <v>44601</v>
      </c>
      <c r="E105" s="237" t="str">
        <f>IF(AND(Data!R104&lt;&gt;"",Data!L104="Accepté"),Data!R104,"")</f>
        <v>2022-016</v>
      </c>
      <c r="F105" s="326">
        <f>IF(AND(Data!R104&lt;&gt;"",Data!L104="Accepté"),Data!S104,"")</f>
        <v>530</v>
      </c>
      <c r="G105" s="322" t="str">
        <f>IF(Data!R104='Delivery Plan'!E105,Data!U104,"")</f>
        <v/>
      </c>
      <c r="H105" s="259"/>
      <c r="I105" s="391" t="str">
        <f t="shared" si="5"/>
        <v>S10</v>
      </c>
      <c r="J105" s="392">
        <f>IF(AND(E105=Data!R104,Data!AA104&lt;&gt;""),Data!AA104,"")</f>
        <v>44622</v>
      </c>
      <c r="K105" s="313" t="str">
        <f>IF(AND(E105=Data!R104,Data!AE104&lt;&gt;""),Data!AE104,"")</f>
        <v/>
      </c>
      <c r="L105" s="318">
        <f>IF(E105=Data!R104,Data!AI104,"")</f>
        <v>1</v>
      </c>
      <c r="M105" s="318" t="str">
        <f>IF(E105=Data!R104,Data!AJ104,"")</f>
        <v>Remise en service crics et vérins</v>
      </c>
      <c r="N105" s="437" t="str">
        <f>IF(AND(Data!R104&lt;&gt;"",Data!L104="Accepté"),Data!K104,"")</f>
        <v>SERVICE AIA</v>
      </c>
    </row>
    <row r="106" spans="1:14" hidden="1" x14ac:dyDescent="0.3">
      <c r="A106" s="393" t="str">
        <f>IF(AND(Data!R105&lt;&gt;"",Data!L105="Accepté"),Data!G105,"")</f>
        <v/>
      </c>
      <c r="B106" s="393" t="str">
        <f>IF(AND(Data!R105&lt;&gt;"",Data!L105="Accepté"),Data!L105,"")</f>
        <v/>
      </c>
      <c r="C106" s="391" t="str">
        <f t="shared" si="4"/>
        <v/>
      </c>
      <c r="D106" s="392" t="str">
        <f>IF(AND(Data!Q105&lt;&gt;"",Data!L105="Accepté"),Data!Q105,"")</f>
        <v/>
      </c>
      <c r="E106" s="237" t="str">
        <f>IF(AND(Data!R105&lt;&gt;"",Data!L105="Accepté"),Data!R105,"")</f>
        <v/>
      </c>
      <c r="F106" s="326" t="str">
        <f>IF(AND(Data!R105&lt;&gt;"",Data!L105="Accepté"),Data!S105,"")</f>
        <v/>
      </c>
      <c r="G106" s="322" t="str">
        <f>IF(Data!R105='Delivery Plan'!E106,Data!U105,"")</f>
        <v/>
      </c>
      <c r="H106" s="259"/>
      <c r="I106" s="391" t="str">
        <f t="shared" si="5"/>
        <v/>
      </c>
      <c r="J106" s="392" t="str">
        <f>IF(AND(E106=Data!R105,Data!AA105&lt;&gt;""),Data!AA105,"")</f>
        <v/>
      </c>
      <c r="K106" s="313" t="str">
        <f>IF(AND(E106=Data!R105,Data!AE105&lt;&gt;""),Data!AE105,"")</f>
        <v/>
      </c>
      <c r="L106" s="318">
        <f>IF(E106=Data!R105,Data!AI105,"")</f>
        <v>5</v>
      </c>
      <c r="M106" s="318" t="str">
        <f>IF(E106=Data!R105,Data!AJ105,"")</f>
        <v xml:space="preserve">Calibration outillages in-house </v>
      </c>
      <c r="N106" s="437" t="str">
        <f>IF(AND(Data!R105&lt;&gt;"",Data!L105="Accepté"),Data!K105,"")</f>
        <v/>
      </c>
    </row>
    <row r="107" spans="1:14" hidden="1" x14ac:dyDescent="0.3">
      <c r="A107" s="393" t="str">
        <f>IF(AND(Data!R106&lt;&gt;"",Data!L106="Accepté"),Data!G106,"")</f>
        <v>ASL AIRLINES</v>
      </c>
      <c r="B107" s="393" t="str">
        <f>IF(AND(Data!R106&lt;&gt;"",Data!L106="Accepté"),Data!L106,"")</f>
        <v>Accepté</v>
      </c>
      <c r="C107" s="391" t="str">
        <f t="shared" si="4"/>
        <v>S11</v>
      </c>
      <c r="D107" s="392">
        <f>IF(AND(Data!Q106&lt;&gt;"",Data!L106="Accepté"),Data!Q106,"")</f>
        <v>44630</v>
      </c>
      <c r="E107" s="237" t="str">
        <f>IF(AND(Data!R106&lt;&gt;"",Data!L106="Accepté"),Data!R106,"")</f>
        <v>2022-030</v>
      </c>
      <c r="F107" s="326">
        <f>IF(AND(Data!R106&lt;&gt;"",Data!L106="Accepté"),Data!S106,"")</f>
        <v>2230</v>
      </c>
      <c r="G107" s="322">
        <f>IF(Data!R106='Delivery Plan'!E107,Data!U106,"")</f>
        <v>0</v>
      </c>
      <c r="H107" s="259"/>
      <c r="I107" s="391" t="str">
        <f t="shared" si="5"/>
        <v>S13</v>
      </c>
      <c r="J107" s="392">
        <f>IF(AND(E107=Data!R106,Data!AA106&lt;&gt;""),Data!AA106,"")</f>
        <v>44644</v>
      </c>
      <c r="K107" s="313">
        <f>IF(AND(E107=Data!R106,Data!AE106&lt;&gt;""),Data!AE106,"")</f>
        <v>44645</v>
      </c>
      <c r="L107" s="318">
        <f>IF(E107=Data!R106,Data!AI106,"")</f>
        <v>4</v>
      </c>
      <c r="M107" s="318" t="str">
        <f>IF(E107=Data!R106,Data!AJ106,"")</f>
        <v xml:space="preserve">Réparation et calibration circs in-house </v>
      </c>
      <c r="N107" s="437" t="str">
        <f>IF(AND(Data!R106&lt;&gt;"",Data!L106="Accepté"),Data!K106,"")</f>
        <v>SERVICE OTHER AIA</v>
      </c>
    </row>
    <row r="108" spans="1:14" hidden="1" x14ac:dyDescent="0.3">
      <c r="A108" s="393" t="str">
        <f>IF(AND(Data!R107&lt;&gt;"",Data!L107="Accepté"),Data!G107,"")</f>
        <v>TARMAC</v>
      </c>
      <c r="B108" s="393" t="str">
        <f>IF(AND(Data!R107&lt;&gt;"",Data!L107="Accepté"),Data!L107,"")</f>
        <v>Accepté</v>
      </c>
      <c r="C108" s="391" t="str">
        <f t="shared" si="4"/>
        <v>S11</v>
      </c>
      <c r="D108" s="392">
        <f>IF(AND(Data!Q107&lt;&gt;"",Data!L107="Accepté"),Data!Q107,"")</f>
        <v>44627</v>
      </c>
      <c r="E108" s="237" t="str">
        <f>IF(AND(Data!R107&lt;&gt;"",Data!L107="Accepté"),Data!R107,"")</f>
        <v>2022-032</v>
      </c>
      <c r="F108" s="326">
        <f>IF(AND(Data!R107&lt;&gt;"",Data!L107="Accepté"),Data!S107,"")</f>
        <v>460</v>
      </c>
      <c r="G108" s="322">
        <f>IF(Data!R107='Delivery Plan'!E108,Data!U107,"")</f>
        <v>0</v>
      </c>
      <c r="H108" s="259"/>
      <c r="I108" s="391" t="str">
        <f t="shared" si="5"/>
        <v>S13</v>
      </c>
      <c r="J108" s="392">
        <f>IF(AND(E108=Data!R107,Data!AA107&lt;&gt;""),Data!AA107,"")</f>
        <v>44642</v>
      </c>
      <c r="K108" s="313">
        <f>IF(AND(E108=Data!R107,Data!AE107&lt;&gt;""),Data!AE107,"")</f>
        <v>44645</v>
      </c>
      <c r="L108" s="318">
        <f>IF(E108=Data!R107,Data!AI107,"")</f>
        <v>1</v>
      </c>
      <c r="M108" s="318" t="str">
        <f>IF(E108=Data!R107,Data!AJ107,"")</f>
        <v xml:space="preserve">Calibration TR19-00-00 in-house </v>
      </c>
      <c r="N108" s="437" t="str">
        <f>IF(AND(Data!R107&lt;&gt;"",Data!L107="Accepté"),Data!K107,"")</f>
        <v>SERVICE OTHER AIA</v>
      </c>
    </row>
    <row r="109" spans="1:14" hidden="1" x14ac:dyDescent="0.3">
      <c r="A109" s="393" t="str">
        <f>IF(AND(Data!R108&lt;&gt;"",Data!L108="Accepté"),Data!G108,"")</f>
        <v>HOP</v>
      </c>
      <c r="B109" s="393" t="str">
        <f>IF(AND(Data!R108&lt;&gt;"",Data!L108="Accepté"),Data!L108,"")</f>
        <v>Accepté</v>
      </c>
      <c r="C109" s="391" t="str">
        <f t="shared" si="4"/>
        <v>S10</v>
      </c>
      <c r="D109" s="392">
        <f>IF(AND(Data!Q108&lt;&gt;"",Data!L108="Accepté"),Data!Q108,"")</f>
        <v>44621</v>
      </c>
      <c r="E109" s="237" t="str">
        <f>IF(AND(Data!R108&lt;&gt;"",Data!L108="Accepté"),Data!R108,"")</f>
        <v>2022-028</v>
      </c>
      <c r="F109" s="326">
        <f>IF(AND(Data!R108&lt;&gt;"",Data!L108="Accepté"),Data!S108,"")</f>
        <v>597</v>
      </c>
      <c r="G109" s="322">
        <f>IF(Data!R108='Delivery Plan'!E109,Data!U108,"")</f>
        <v>0</v>
      </c>
      <c r="H109" s="259"/>
      <c r="I109" s="391" t="str">
        <f t="shared" si="5"/>
        <v>S12</v>
      </c>
      <c r="J109" s="392">
        <f>IF(AND(E109=Data!R108,Data!AA108&lt;&gt;""),Data!AA108,"")</f>
        <v>44636</v>
      </c>
      <c r="K109" s="313">
        <f>IF(AND(E109=Data!R108,Data!AE108&lt;&gt;""),Data!AE108,"")</f>
        <v>44652</v>
      </c>
      <c r="L109" s="318">
        <f>IF(E109=Data!R108,Data!AI108,"")</f>
        <v>1</v>
      </c>
      <c r="M109" s="318" t="str">
        <f>IF(E109=Data!R108,Data!AJ108,"")</f>
        <v>Changement flexibles et vidange suite calibration RT4550-001</v>
      </c>
      <c r="N109" s="437" t="str">
        <f>IF(AND(Data!R108&lt;&gt;"",Data!L108="Accepté"),Data!K108,"")</f>
        <v>SERVICE OTHER AIA</v>
      </c>
    </row>
    <row r="110" spans="1:14" hidden="1" x14ac:dyDescent="0.3">
      <c r="A110" s="393" t="str">
        <f>IF(AND(Data!R109&lt;&gt;"",Data!L109="Accepté"),Data!G109,"")</f>
        <v>AIR CORSICA</v>
      </c>
      <c r="B110" s="393" t="str">
        <f>IF(AND(Data!R109&lt;&gt;"",Data!L109="Accepté"),Data!L109,"")</f>
        <v>Accepté</v>
      </c>
      <c r="C110" s="391" t="str">
        <f t="shared" si="4"/>
        <v>S11</v>
      </c>
      <c r="D110" s="392">
        <f>IF(AND(Data!Q109&lt;&gt;"",Data!L109="Accepté"),Data!Q109,"")</f>
        <v>44628</v>
      </c>
      <c r="E110" s="237" t="str">
        <f>IF(AND(Data!R109&lt;&gt;"",Data!L109="Accepté"),Data!R109,"")</f>
        <v>2022-034</v>
      </c>
      <c r="F110" s="326">
        <f>IF(AND(Data!R109&lt;&gt;"",Data!L109="Accepté"),Data!S109,"")</f>
        <v>385</v>
      </c>
      <c r="G110" s="322">
        <f>IF(Data!R109='Delivery Plan'!E110,Data!U109,"")</f>
        <v>0</v>
      </c>
      <c r="H110" s="259"/>
      <c r="I110" s="391" t="str">
        <f t="shared" si="5"/>
        <v>S13</v>
      </c>
      <c r="J110" s="392">
        <f>IF(AND(E110=Data!R109,Data!AA109&lt;&gt;""),Data!AA109,"")</f>
        <v>44643</v>
      </c>
      <c r="K110" s="313">
        <f>IF(AND(E110=Data!R109,Data!AE109&lt;&gt;""),Data!AE109,"")</f>
        <v>44645</v>
      </c>
      <c r="L110" s="318">
        <f>IF(E110=Data!R109,Data!AI109,"")</f>
        <v>1</v>
      </c>
      <c r="M110" s="318" t="str">
        <f>IF(E110=Data!R109,Data!AJ109,"")</f>
        <v xml:space="preserve">Recertification cric in-house </v>
      </c>
      <c r="N110" s="437" t="str">
        <f>IF(AND(Data!R109&lt;&gt;"",Data!L109="Accepté"),Data!K109,"")</f>
        <v>SERVICE AIA</v>
      </c>
    </row>
    <row r="111" spans="1:14" hidden="1" x14ac:dyDescent="0.3">
      <c r="A111" s="393" t="str">
        <f>IF(AND(Data!R110&lt;&gt;"",Data!L110="Accepté"),Data!G110,"")</f>
        <v>AIR CORSICA</v>
      </c>
      <c r="B111" s="393" t="str">
        <f>IF(AND(Data!R110&lt;&gt;"",Data!L110="Accepté"),Data!L110,"")</f>
        <v>Accepté</v>
      </c>
      <c r="C111" s="391" t="str">
        <f t="shared" si="4"/>
        <v>S11</v>
      </c>
      <c r="D111" s="392">
        <f>IF(AND(Data!Q110&lt;&gt;"",Data!L110="Accepté"),Data!Q110,"")</f>
        <v>44628</v>
      </c>
      <c r="E111" s="237" t="str">
        <f>IF(AND(Data!R110&lt;&gt;"",Data!L110="Accepté"),Data!R110,"")</f>
        <v>2022-035</v>
      </c>
      <c r="F111" s="326">
        <f>IF(AND(Data!R110&lt;&gt;"",Data!L110="Accepté"),Data!S110,"")</f>
        <v>385</v>
      </c>
      <c r="G111" s="322">
        <f>IF(Data!R110='Delivery Plan'!E111,Data!U110,"")</f>
        <v>0</v>
      </c>
      <c r="H111" s="259"/>
      <c r="I111" s="391" t="str">
        <f t="shared" si="5"/>
        <v>S13</v>
      </c>
      <c r="J111" s="392">
        <f>IF(AND(E111=Data!R110,Data!AA110&lt;&gt;""),Data!AA110,"")</f>
        <v>44643</v>
      </c>
      <c r="K111" s="313">
        <f>IF(AND(E111=Data!R110,Data!AE110&lt;&gt;""),Data!AE110,"")</f>
        <v>44645</v>
      </c>
      <c r="L111" s="318">
        <f>IF(E111=Data!R110,Data!AI110,"")</f>
        <v>1</v>
      </c>
      <c r="M111" s="318" t="str">
        <f>IF(E111=Data!R110,Data!AJ110,"")</f>
        <v xml:space="preserve">Recertification cric in-house </v>
      </c>
      <c r="N111" s="437" t="str">
        <f>IF(AND(Data!R110&lt;&gt;"",Data!L110="Accepté"),Data!K110,"")</f>
        <v>SERVICE AIA</v>
      </c>
    </row>
    <row r="112" spans="1:14" x14ac:dyDescent="0.3">
      <c r="A112" s="393" t="str">
        <f>IF(AND(Data!R111&lt;&gt;"",Data!L111="Accepté"),Data!G111,"")</f>
        <v>AIA</v>
      </c>
      <c r="B112" s="393" t="str">
        <f>IF(AND(Data!R111&lt;&gt;"",Data!L111="Accepté"),Data!L111,"")</f>
        <v>Accepté</v>
      </c>
      <c r="C112" s="391" t="str">
        <f t="shared" si="4"/>
        <v>S13</v>
      </c>
      <c r="D112" s="392">
        <f>IF(AND(Data!Q111&lt;&gt;"",Data!L111="Accepté"),Data!Q111,"")</f>
        <v>44644</v>
      </c>
      <c r="E112" s="237" t="str">
        <f>IF(AND(Data!R111&lt;&gt;"",Data!L111="Accepté"),Data!R111,"")</f>
        <v>2022-038</v>
      </c>
      <c r="F112" s="326">
        <f>IF(AND(Data!R111&lt;&gt;"",Data!L111="Accepté"),Data!S111,"")</f>
        <v>3180</v>
      </c>
      <c r="G112" s="322">
        <f>IF(Data!R111='Delivery Plan'!E112,Data!U111,"")</f>
        <v>0</v>
      </c>
      <c r="H112" s="259"/>
      <c r="I112" s="391" t="str">
        <f t="shared" si="5"/>
        <v/>
      </c>
      <c r="J112" s="392" t="str">
        <f>IF(AND(E112=Data!R111,Data!AA111&lt;&gt;""),Data!AA111,"")</f>
        <v/>
      </c>
      <c r="K112" s="313" t="str">
        <f>IF(AND(E112=Data!R111,Data!AE111&lt;&gt;""),Data!AE111,"")</f>
        <v/>
      </c>
      <c r="L112" s="318">
        <f>IF(E112=Data!R111,Data!AI111,"")</f>
        <v>6</v>
      </c>
      <c r="M112" s="318" t="str">
        <f>IF(E112=Data!R111,Data!AJ111,"")</f>
        <v>Remise en service crics et vérins</v>
      </c>
      <c r="N112" s="437" t="str">
        <f>IF(AND(Data!R111&lt;&gt;"",Data!L111="Accepté"),Data!K111,"")</f>
        <v>SERVICE AIA</v>
      </c>
    </row>
    <row r="113" spans="1:14" hidden="1" x14ac:dyDescent="0.3">
      <c r="A113" s="393" t="str">
        <f>IF(AND(Data!R112&lt;&gt;"",Data!L112="Accepté"),Data!G112,"")</f>
        <v/>
      </c>
      <c r="B113" s="393" t="str">
        <f>IF(AND(Data!R112&lt;&gt;"",Data!L112="Accepté"),Data!L112,"")</f>
        <v/>
      </c>
      <c r="C113" s="391" t="str">
        <f t="shared" si="4"/>
        <v/>
      </c>
      <c r="D113" s="392" t="str">
        <f>IF(AND(Data!Q112&lt;&gt;"",Data!L112="Accepté"),Data!Q112,"")</f>
        <v/>
      </c>
      <c r="E113" s="237" t="str">
        <f>IF(AND(Data!R112&lt;&gt;"",Data!L112="Accepté"),Data!R112,"")</f>
        <v/>
      </c>
      <c r="F113" s="326" t="str">
        <f>IF(AND(Data!R112&lt;&gt;"",Data!L112="Accepté"),Data!S112,"")</f>
        <v/>
      </c>
      <c r="G113" s="322">
        <f>IF(Data!R112='Delivery Plan'!E113,Data!U112,"")</f>
        <v>0</v>
      </c>
      <c r="H113" s="259"/>
      <c r="I113" s="391" t="str">
        <f t="shared" si="5"/>
        <v/>
      </c>
      <c r="J113" s="392" t="str">
        <f>IF(AND(E113=Data!R112,Data!AA112&lt;&gt;""),Data!AA112,"")</f>
        <v/>
      </c>
      <c r="K113" s="313" t="str">
        <f>IF(AND(E113=Data!R112,Data!AE112&lt;&gt;""),Data!AE112,"")</f>
        <v/>
      </c>
      <c r="L113" s="318">
        <f>IF(E113=Data!R112,Data!AI112,"")</f>
        <v>6</v>
      </c>
      <c r="M113" s="318" t="str">
        <f>IF(E113=Data!R112,Data!AJ112,"")</f>
        <v>Maintenance curative crics et vérins</v>
      </c>
      <c r="N113" s="437" t="str">
        <f>IF(AND(Data!R112&lt;&gt;"",Data!L112="Accepté"),Data!K112,"")</f>
        <v/>
      </c>
    </row>
    <row r="114" spans="1:14" x14ac:dyDescent="0.3">
      <c r="A114" s="393" t="str">
        <f>IF(AND(Data!R113&lt;&gt;"",Data!L113="Accepté"),Data!G113,"")</f>
        <v>IGO</v>
      </c>
      <c r="B114" s="393" t="str">
        <f>IF(AND(Data!R113&lt;&gt;"",Data!L113="Accepté"),Data!L113,"")</f>
        <v>Accepté</v>
      </c>
      <c r="C114" s="391" t="str">
        <f t="shared" si="4"/>
        <v>S15</v>
      </c>
      <c r="D114" s="392">
        <f>IF(AND(Data!Q113&lt;&gt;"",Data!L113="Accepté"),Data!Q113,"")</f>
        <v>44656</v>
      </c>
      <c r="E114" s="237" t="str">
        <f>IF(AND(Data!R113&lt;&gt;"",Data!L113="Accepté"),Data!R113,"")</f>
        <v>2022-022</v>
      </c>
      <c r="F114" s="326">
        <f>IF(AND(Data!R113&lt;&gt;"",Data!L113="Accepté"),Data!S113,"")</f>
        <v>2393</v>
      </c>
      <c r="G114" s="322">
        <f>IF(Data!R113='Delivery Plan'!E114,Data!U113,"")</f>
        <v>0</v>
      </c>
      <c r="H114" s="259"/>
      <c r="I114" s="391" t="str">
        <f t="shared" si="5"/>
        <v/>
      </c>
      <c r="J114" s="392" t="str">
        <f>IF(AND(E114=Data!R113,Data!AA113&lt;&gt;""),Data!AA113,"")</f>
        <v/>
      </c>
      <c r="K114" s="313">
        <f>IF(AND(E114=Data!R113,Data!AE113&lt;&gt;""),Data!AE113,"")</f>
        <v>44694</v>
      </c>
      <c r="L114" s="318">
        <f>IF(E114=Data!R113,Data!AI113,"")</f>
        <v>1</v>
      </c>
      <c r="M114" s="318" t="str">
        <f>IF(E114=Data!R113,Data!AJ113,"")</f>
        <v xml:space="preserve">Réparation palans in-house </v>
      </c>
      <c r="N114" s="437" t="str">
        <f>IF(AND(Data!R113&lt;&gt;"",Data!L113="Accepté"),Data!K113,"")</f>
        <v>SERVICE OTHER AIA</v>
      </c>
    </row>
    <row r="115" spans="1:14" hidden="1" x14ac:dyDescent="0.3">
      <c r="A115" s="393" t="str">
        <f>IF(AND(Data!R114&lt;&gt;"",Data!L114="Accepté"),Data!G114,"")</f>
        <v/>
      </c>
      <c r="B115" s="393" t="str">
        <f>IF(AND(Data!R114&lt;&gt;"",Data!L114="Accepté"),Data!L114,"")</f>
        <v/>
      </c>
      <c r="C115" s="391" t="str">
        <f t="shared" si="4"/>
        <v/>
      </c>
      <c r="D115" s="392" t="str">
        <f>IF(AND(Data!Q114&lt;&gt;"",Data!L114="Accepté"),Data!Q114,"")</f>
        <v/>
      </c>
      <c r="E115" s="237" t="str">
        <f>IF(AND(Data!R114&lt;&gt;"",Data!L114="Accepté"),Data!R114,"")</f>
        <v/>
      </c>
      <c r="F115" s="326" t="str">
        <f>IF(AND(Data!R114&lt;&gt;"",Data!L114="Accepté"),Data!S114,"")</f>
        <v/>
      </c>
      <c r="G115" s="322">
        <f>IF(Data!R114='Delivery Plan'!E115,Data!U114,"")</f>
        <v>0</v>
      </c>
      <c r="H115" s="259"/>
      <c r="I115" s="391" t="str">
        <f t="shared" si="5"/>
        <v/>
      </c>
      <c r="J115" s="392" t="str">
        <f>IF(AND(E115=Data!R114,Data!AA114&lt;&gt;""),Data!AA114,"")</f>
        <v/>
      </c>
      <c r="K115" s="313" t="str">
        <f>IF(AND(E115=Data!R114,Data!AE114&lt;&gt;""),Data!AE114,"")</f>
        <v/>
      </c>
      <c r="L115" s="318">
        <f>IF(E115=Data!R114,Data!AI114,"")</f>
        <v>1</v>
      </c>
      <c r="M115" s="318" t="str">
        <f>IF(E115=Data!R114,Data!AJ114,"")</f>
        <v xml:space="preserve">Calibration TR-36 in-house </v>
      </c>
      <c r="N115" s="437" t="str">
        <f>IF(AND(Data!R114&lt;&gt;"",Data!L114="Accepté"),Data!K114,"")</f>
        <v/>
      </c>
    </row>
    <row r="116" spans="1:14" hidden="1" x14ac:dyDescent="0.3">
      <c r="A116" s="393" t="str">
        <f>IF(AND(Data!R115&lt;&gt;"",Data!L115="Accepté"),Data!G115,"")</f>
        <v/>
      </c>
      <c r="B116" s="393" t="str">
        <f>IF(AND(Data!R115&lt;&gt;"",Data!L115="Accepté"),Data!L115,"")</f>
        <v/>
      </c>
      <c r="C116" s="391" t="str">
        <f t="shared" si="4"/>
        <v/>
      </c>
      <c r="D116" s="392" t="str">
        <f>IF(AND(Data!Q115&lt;&gt;"",Data!L115="Accepté"),Data!Q115,"")</f>
        <v/>
      </c>
      <c r="E116" s="237" t="str">
        <f>IF(AND(Data!R115&lt;&gt;"",Data!L115="Accepté"),Data!R115,"")</f>
        <v/>
      </c>
      <c r="F116" s="326" t="str">
        <f>IF(AND(Data!R115&lt;&gt;"",Data!L115="Accepté"),Data!S115,"")</f>
        <v/>
      </c>
      <c r="G116" s="322">
        <f>IF(Data!R115='Delivery Plan'!E116,Data!U115,"")</f>
        <v>0</v>
      </c>
      <c r="H116" s="259"/>
      <c r="I116" s="391" t="str">
        <f t="shared" si="5"/>
        <v/>
      </c>
      <c r="J116" s="392" t="str">
        <f>IF(AND(E116=Data!R115,Data!AA115&lt;&gt;""),Data!AA115,"")</f>
        <v/>
      </c>
      <c r="K116" s="313" t="str">
        <f>IF(AND(E116=Data!R115,Data!AE115&lt;&gt;""),Data!AE115,"")</f>
        <v/>
      </c>
      <c r="L116" s="318">
        <f>IF(E116=Data!R115,Data!AI115,"")</f>
        <v>1</v>
      </c>
      <c r="M116" s="318" t="str">
        <f>IF(E116=Data!R115,Data!AJ115,"")</f>
        <v xml:space="preserve">Calibration 43 in-house </v>
      </c>
      <c r="N116" s="437" t="str">
        <f>IF(AND(Data!R115&lt;&gt;"",Data!L115="Accepté"),Data!K115,"")</f>
        <v/>
      </c>
    </row>
    <row r="117" spans="1:14" hidden="1" x14ac:dyDescent="0.3">
      <c r="A117" s="393" t="str">
        <f>IF(AND(Data!R116&lt;&gt;"",Data!L116="Accepté"),Data!G116,"")</f>
        <v/>
      </c>
      <c r="B117" s="393" t="str">
        <f>IF(AND(Data!R116&lt;&gt;"",Data!L116="Accepté"),Data!L116,"")</f>
        <v/>
      </c>
      <c r="C117" s="391" t="str">
        <f t="shared" si="4"/>
        <v/>
      </c>
      <c r="D117" s="392" t="str">
        <f>IF(AND(Data!Q116&lt;&gt;"",Data!L116="Accepté"),Data!Q116,"")</f>
        <v/>
      </c>
      <c r="E117" s="237" t="str">
        <f>IF(AND(Data!R116&lt;&gt;"",Data!L116="Accepté"),Data!R116,"")</f>
        <v/>
      </c>
      <c r="F117" s="326" t="str">
        <f>IF(AND(Data!R116&lt;&gt;"",Data!L116="Accepté"),Data!S116,"")</f>
        <v/>
      </c>
      <c r="G117" s="322">
        <f>IF(Data!R116='Delivery Plan'!E117,Data!U116,"")</f>
        <v>0</v>
      </c>
      <c r="H117" s="259"/>
      <c r="I117" s="391" t="str">
        <f t="shared" si="5"/>
        <v/>
      </c>
      <c r="J117" s="392" t="str">
        <f>IF(AND(E117=Data!R116,Data!AA116&lt;&gt;""),Data!AA116,"")</f>
        <v/>
      </c>
      <c r="K117" s="313" t="str">
        <f>IF(AND(E117=Data!R116,Data!AE116&lt;&gt;""),Data!AE116,"")</f>
        <v/>
      </c>
      <c r="L117" s="318">
        <f>IF(E117=Data!R116,Data!AI116,"")</f>
        <v>1</v>
      </c>
      <c r="M117" s="318" t="str">
        <f>IF(E117=Data!R116,Data!AJ116,"")</f>
        <v xml:space="preserve">Caliration AP6108 in-house </v>
      </c>
      <c r="N117" s="437" t="str">
        <f>IF(AND(Data!R116&lt;&gt;"",Data!L116="Accepté"),Data!K116,"")</f>
        <v/>
      </c>
    </row>
    <row r="118" spans="1:14" hidden="1" x14ac:dyDescent="0.3">
      <c r="A118" s="393" t="str">
        <f>IF(AND(Data!R117&lt;&gt;"",Data!L117="Accepté"),Data!G117,"")</f>
        <v/>
      </c>
      <c r="B118" s="393" t="str">
        <f>IF(AND(Data!R117&lt;&gt;"",Data!L117="Accepté"),Data!L117,"")</f>
        <v/>
      </c>
      <c r="C118" s="391" t="str">
        <f t="shared" si="4"/>
        <v/>
      </c>
      <c r="D118" s="392" t="str">
        <f>IF(AND(Data!Q117&lt;&gt;"",Data!L117="Accepté"),Data!Q117,"")</f>
        <v/>
      </c>
      <c r="E118" s="237" t="str">
        <f>IF(AND(Data!R117&lt;&gt;"",Data!L117="Accepté"),Data!R117,"")</f>
        <v/>
      </c>
      <c r="F118" s="326" t="str">
        <f>IF(AND(Data!R117&lt;&gt;"",Data!L117="Accepté"),Data!S117,"")</f>
        <v/>
      </c>
      <c r="G118" s="322">
        <f>IF(Data!R117='Delivery Plan'!E118,Data!U117,"")</f>
        <v>0</v>
      </c>
      <c r="H118" s="259"/>
      <c r="I118" s="391" t="str">
        <f t="shared" si="5"/>
        <v/>
      </c>
      <c r="J118" s="392" t="str">
        <f>IF(AND(E118=Data!R117,Data!AA117&lt;&gt;""),Data!AA117,"")</f>
        <v/>
      </c>
      <c r="K118" s="313" t="str">
        <f>IF(AND(E118=Data!R117,Data!AE117&lt;&gt;""),Data!AE117,"")</f>
        <v/>
      </c>
      <c r="L118" s="318">
        <f>IF(E118=Data!R117,Data!AI117,"")</f>
        <v>1</v>
      </c>
      <c r="M118" s="318" t="str">
        <f>IF(E118=Data!R117,Data!AJ117,"")</f>
        <v xml:space="preserve">Calibration DRA707 in-house </v>
      </c>
      <c r="N118" s="437" t="str">
        <f>IF(AND(Data!R117&lt;&gt;"",Data!L117="Accepté"),Data!K117,"")</f>
        <v/>
      </c>
    </row>
    <row r="119" spans="1:14" x14ac:dyDescent="0.3">
      <c r="A119" s="393" t="str">
        <f>IF(AND(Data!R118&lt;&gt;"",Data!L118="Accepté"),Data!G118,"")</f>
        <v>HOP</v>
      </c>
      <c r="B119" s="393" t="str">
        <f>IF(AND(Data!R118&lt;&gt;"",Data!L118="Accepté"),Data!L118,"")</f>
        <v>Accepté</v>
      </c>
      <c r="C119" s="391" t="str">
        <f t="shared" si="4"/>
        <v>S12</v>
      </c>
      <c r="D119" s="392">
        <f>IF(AND(Data!Q118&lt;&gt;"",Data!L118="Accepté"),Data!Q118,"")</f>
        <v>44634</v>
      </c>
      <c r="E119" s="237" t="str">
        <f>IF(AND(Data!R118&lt;&gt;"",Data!L118="Accepté"),Data!R118,"")</f>
        <v>2022-036</v>
      </c>
      <c r="F119" s="326">
        <f>IF(AND(Data!R118&lt;&gt;"",Data!L118="Accepté"),Data!S118,"")</f>
        <v>2396</v>
      </c>
      <c r="G119" s="322">
        <f>IF(Data!R118='Delivery Plan'!E119,Data!U118,"")</f>
        <v>0</v>
      </c>
      <c r="H119" s="259"/>
      <c r="I119" s="391" t="str">
        <f t="shared" si="5"/>
        <v/>
      </c>
      <c r="J119" s="392" t="str">
        <f>IF(AND(E119=Data!R118,Data!AA118&lt;&gt;""),Data!AA118,"")</f>
        <v/>
      </c>
      <c r="K119" s="313">
        <f>IF(AND(E119=Data!R118,Data!AE118&lt;&gt;""),Data!AE118,"")</f>
        <v>44673</v>
      </c>
      <c r="L119" s="318">
        <f>IF(E119=Data!R118,Data!AI118,"")</f>
        <v>1</v>
      </c>
      <c r="M119" s="318" t="str">
        <f>IF(E119=Data!R118,Data!AJ118,"")</f>
        <v xml:space="preserve">Réparation RT4550-001 in-house </v>
      </c>
      <c r="N119" s="437" t="str">
        <f>IF(AND(Data!R118&lt;&gt;"",Data!L118="Accepté"),Data!K118,"")</f>
        <v>SERVICE OTHER AIA</v>
      </c>
    </row>
    <row r="120" spans="1:14" hidden="1" x14ac:dyDescent="0.3">
      <c r="A120" s="393" t="str">
        <f>IF(AND(Data!R119&lt;&gt;"",Data!L119="Accepté"),Data!G119,"")</f>
        <v/>
      </c>
      <c r="B120" s="393" t="str">
        <f>IF(AND(Data!R119&lt;&gt;"",Data!L119="Accepté"),Data!L119,"")</f>
        <v/>
      </c>
      <c r="C120" s="391" t="str">
        <f t="shared" si="4"/>
        <v/>
      </c>
      <c r="D120" s="392" t="str">
        <f>IF(AND(Data!Q119&lt;&gt;"",Data!L119="Accepté"),Data!Q119,"")</f>
        <v/>
      </c>
      <c r="E120" s="237" t="str">
        <f>IF(AND(Data!R119&lt;&gt;"",Data!L119="Accepté"),Data!R119,"")</f>
        <v/>
      </c>
      <c r="F120" s="326" t="str">
        <f>IF(AND(Data!R119&lt;&gt;"",Data!L119="Accepté"),Data!S119,"")</f>
        <v/>
      </c>
      <c r="G120" s="322">
        <f>IF(Data!R119='Delivery Plan'!E120,Data!U119,"")</f>
        <v>0</v>
      </c>
      <c r="H120" s="259"/>
      <c r="I120" s="391" t="str">
        <f t="shared" si="5"/>
        <v/>
      </c>
      <c r="J120" s="392" t="str">
        <f>IF(AND(E120=Data!R119,Data!AA119&lt;&gt;""),Data!AA119,"")</f>
        <v/>
      </c>
      <c r="K120" s="313" t="str">
        <f>IF(AND(E120=Data!R119,Data!AE119&lt;&gt;""),Data!AE119,"")</f>
        <v/>
      </c>
      <c r="L120" s="318">
        <f>IF(E120=Data!R119,Data!AI119,"")</f>
        <v>2</v>
      </c>
      <c r="M120" s="318" t="str">
        <f>IF(E120=Data!R119,Data!AJ119,"")</f>
        <v>Réparation vérin in-house D00406C1B1A02A0</v>
      </c>
      <c r="N120" s="437" t="str">
        <f>IF(AND(Data!R119&lt;&gt;"",Data!L119="Accepté"),Data!K119,"")</f>
        <v/>
      </c>
    </row>
    <row r="121" spans="1:14" x14ac:dyDescent="0.3">
      <c r="A121" s="393" t="str">
        <f>IF(AND(Data!R120&lt;&gt;"",Data!L120="Accepté"),Data!G120,"")</f>
        <v>AIR CORSICA</v>
      </c>
      <c r="B121" s="393" t="str">
        <f>IF(AND(Data!R120&lt;&gt;"",Data!L120="Accepté"),Data!L120,"")</f>
        <v>Accepté</v>
      </c>
      <c r="C121" s="391" t="str">
        <f t="shared" si="4"/>
        <v>S13</v>
      </c>
      <c r="D121" s="392">
        <f>IF(AND(Data!Q120&lt;&gt;"",Data!L120="Accepté"),Data!Q120,"")</f>
        <v>44641</v>
      </c>
      <c r="E121" s="237" t="str">
        <f>IF(AND(Data!R120&lt;&gt;"",Data!L120="Accepté"),Data!R120,"")</f>
        <v>2022-029</v>
      </c>
      <c r="F121" s="326">
        <f>IF(AND(Data!R120&lt;&gt;"",Data!L120="Accepté"),Data!S120,"")</f>
        <v>7303</v>
      </c>
      <c r="G121" s="322">
        <f>IF(Data!R120='Delivery Plan'!E121,Data!U120,"")</f>
        <v>0</v>
      </c>
      <c r="H121" s="259"/>
      <c r="I121" s="391" t="str">
        <f t="shared" si="5"/>
        <v/>
      </c>
      <c r="J121" s="392" t="str">
        <f>IF(AND(E121=Data!R120,Data!AA120&lt;&gt;""),Data!AA120,"")</f>
        <v/>
      </c>
      <c r="K121" s="313">
        <f>IF(AND(E121=Data!R120,Data!AE120&lt;&gt;""),Data!AE120,"")</f>
        <v>44739</v>
      </c>
      <c r="L121" s="318">
        <f>IF(E121=Data!R120,Data!AI120,"")</f>
        <v>1</v>
      </c>
      <c r="M121" s="318" t="str">
        <f>IF(E121=Data!R120,Data!AJ120,"")</f>
        <v>Réparation cric RA4510K2A0A10</v>
      </c>
      <c r="N121" s="437" t="str">
        <f>IF(AND(Data!R120&lt;&gt;"",Data!L120="Accepté"),Data!K120,"")</f>
        <v>SERVICE OTHER AIA</v>
      </c>
    </row>
    <row r="122" spans="1:14" hidden="1" x14ac:dyDescent="0.3">
      <c r="A122" s="393" t="str">
        <f>IF(AND(Data!R121&lt;&gt;"",Data!L121="Accepté"),Data!G121,"")</f>
        <v/>
      </c>
      <c r="B122" s="393" t="str">
        <f>IF(AND(Data!R121&lt;&gt;"",Data!L121="Accepté"),Data!L121,"")</f>
        <v/>
      </c>
      <c r="C122" s="391" t="str">
        <f t="shared" si="4"/>
        <v/>
      </c>
      <c r="D122" s="392" t="str">
        <f>IF(AND(Data!Q121&lt;&gt;"",Data!L121="Accepté"),Data!Q121,"")</f>
        <v/>
      </c>
      <c r="E122" s="237" t="str">
        <f>IF(AND(Data!R121&lt;&gt;"",Data!L121="Accepté"),Data!R121,"")</f>
        <v/>
      </c>
      <c r="F122" s="326" t="str">
        <f>IF(AND(Data!R121&lt;&gt;"",Data!L121="Accepté"),Data!S121,"")</f>
        <v/>
      </c>
      <c r="G122" s="322">
        <f>IF(Data!R121='Delivery Plan'!E122,Data!U121,"")</f>
        <v>0</v>
      </c>
      <c r="H122" s="259"/>
      <c r="I122" s="391" t="str">
        <f t="shared" si="5"/>
        <v/>
      </c>
      <c r="J122" s="392" t="str">
        <f>IF(AND(E122=Data!R121,Data!AA121&lt;&gt;""),Data!AA121,"")</f>
        <v/>
      </c>
      <c r="K122" s="313" t="str">
        <f>IF(AND(E122=Data!R121,Data!AE121&lt;&gt;""),Data!AE121,"")</f>
        <v/>
      </c>
      <c r="L122" s="318">
        <f>IF(E122=Data!R121,Data!AI121,"")</f>
        <v>1</v>
      </c>
      <c r="M122" s="318" t="str">
        <f>IF(E122=Data!R121,Data!AJ121,"")</f>
        <v>DT0623K1D1B01A0 en remplacement D01258</v>
      </c>
      <c r="N122" s="437" t="str">
        <f>IF(AND(Data!R121&lt;&gt;"",Data!L121="Accepté"),Data!K121,"")</f>
        <v/>
      </c>
    </row>
    <row r="123" spans="1:14" x14ac:dyDescent="0.3">
      <c r="A123" s="393" t="str">
        <f>IF(AND(Data!R122&lt;&gt;"",Data!L122="Accepté"),Data!G122,"")</f>
        <v>ASL AIRLINES</v>
      </c>
      <c r="B123" s="393" t="str">
        <f>IF(AND(Data!R122&lt;&gt;"",Data!L122="Accepté"),Data!L122,"")</f>
        <v>Accepté</v>
      </c>
      <c r="C123" s="391" t="str">
        <f t="shared" si="4"/>
        <v>S11</v>
      </c>
      <c r="D123" s="392">
        <f>IF(AND(Data!Q122&lt;&gt;"",Data!L122="Accepté"),Data!Q122,"")</f>
        <v>44630</v>
      </c>
      <c r="E123" s="237" t="str">
        <f>IF(AND(Data!R122&lt;&gt;"",Data!L122="Accepté"),Data!R122,"")</f>
        <v>2022-030</v>
      </c>
      <c r="F123" s="326">
        <f>IF(AND(Data!R122&lt;&gt;"",Data!L122="Accepté"),Data!S122,"")</f>
        <v>707</v>
      </c>
      <c r="G123" s="322">
        <f>IF(Data!R122='Delivery Plan'!E123,Data!U122,"")</f>
        <v>0</v>
      </c>
      <c r="H123" s="396"/>
      <c r="I123" s="391" t="str">
        <f t="shared" si="5"/>
        <v/>
      </c>
      <c r="J123" s="392" t="str">
        <f>IF(AND(E123=Data!R122,Data!AA122&lt;&gt;""),Data!AA122,"")</f>
        <v/>
      </c>
      <c r="K123" s="313" t="str">
        <f>IF(AND(E123=Data!R122,Data!AE122&lt;&gt;""),Data!AE122,"")</f>
        <v/>
      </c>
      <c r="L123" s="318">
        <f>IF(E123=Data!R122,Data!AI122,"")</f>
        <v>1</v>
      </c>
      <c r="M123" s="318" t="str">
        <f>IF(E123=Data!R122,Data!AJ122,"")</f>
        <v xml:space="preserve">Réparation et calibration circ in-house </v>
      </c>
      <c r="N123" s="437" t="str">
        <f>IF(AND(Data!R122&lt;&gt;"",Data!L122="Accepté"),Data!K122,"")</f>
        <v>SERVICE OTHER AIA</v>
      </c>
    </row>
    <row r="124" spans="1:14" hidden="1" x14ac:dyDescent="0.3">
      <c r="A124" s="393" t="str">
        <f>IF(AND(Data!R123&lt;&gt;"",Data!L123="Accepté"),Data!G123,"")</f>
        <v>AIA</v>
      </c>
      <c r="B124" s="393" t="str">
        <f>IF(AND(Data!R123&lt;&gt;"",Data!L123="Accepté"),Data!L123,"")</f>
        <v>Accepté</v>
      </c>
      <c r="C124" s="391" t="str">
        <f t="shared" si="4"/>
        <v>S07</v>
      </c>
      <c r="D124" s="392">
        <f>IF(AND(Data!Q123&lt;&gt;"",Data!L123="Accepté"),Data!Q123,"")</f>
        <v>44601</v>
      </c>
      <c r="E124" s="237" t="str">
        <f>IF(AND(Data!R123&lt;&gt;"",Data!L123="Accepté"),Data!R123,"")</f>
        <v>2022-016</v>
      </c>
      <c r="F124" s="326">
        <f>IF(AND(Data!R123&lt;&gt;"",Data!L123="Accepté"),Data!S123,"")</f>
        <v>530</v>
      </c>
      <c r="G124" s="322">
        <f>IF(Data!R123='Delivery Plan'!E124,Data!U123,"")</f>
        <v>0</v>
      </c>
      <c r="H124" s="396"/>
      <c r="I124" s="391" t="str">
        <f t="shared" si="5"/>
        <v>S13</v>
      </c>
      <c r="J124" s="392">
        <f>IF(AND(E124=Data!R123,Data!AA123&lt;&gt;""),Data!AA123,"")</f>
        <v>44644</v>
      </c>
      <c r="K124" s="313" t="str">
        <f>IF(AND(E124=Data!R123,Data!AE123&lt;&gt;""),Data!AE123,"")</f>
        <v/>
      </c>
      <c r="L124" s="318">
        <f>IF(E124=Data!R123,Data!AI123,"")</f>
        <v>1</v>
      </c>
      <c r="M124" s="318" t="str">
        <f>IF(E124=Data!R123,Data!AJ123,"")</f>
        <v>Remise en service crics et vérins</v>
      </c>
      <c r="N124" s="437" t="str">
        <f>IF(AND(Data!R123&lt;&gt;"",Data!L123="Accepté"),Data!K123,"")</f>
        <v>SERVICE AIA</v>
      </c>
    </row>
    <row r="125" spans="1:14" hidden="1" x14ac:dyDescent="0.3">
      <c r="A125" s="393" t="str">
        <f>IF(AND(Data!R124&lt;&gt;"",Data!L124="Accepté"),Data!G124,"")</f>
        <v>AIA</v>
      </c>
      <c r="B125" s="393" t="str">
        <f>IF(AND(Data!R124&lt;&gt;"",Data!L124="Accepté"),Data!L124,"")</f>
        <v>Accepté</v>
      </c>
      <c r="C125" s="391" t="str">
        <f t="shared" si="4"/>
        <v>S11</v>
      </c>
      <c r="D125" s="392">
        <f>IF(AND(Data!Q124&lt;&gt;"",Data!L124="Accepté"),Data!Q124,"")</f>
        <v>44627</v>
      </c>
      <c r="E125" s="237" t="str">
        <f>IF(AND(Data!R124&lt;&gt;"",Data!L124="Accepté"),Data!R124,"")</f>
        <v>2022-031</v>
      </c>
      <c r="F125" s="326">
        <f>IF(AND(Data!R124&lt;&gt;"",Data!L124="Accepté"),Data!S124,"")</f>
        <v>1590</v>
      </c>
      <c r="G125" s="322">
        <f>IF(Data!R124='Delivery Plan'!E125,Data!U124,"")</f>
        <v>0</v>
      </c>
      <c r="H125" s="396"/>
      <c r="I125" s="391" t="str">
        <f t="shared" si="5"/>
        <v>S13</v>
      </c>
      <c r="J125" s="392">
        <f>IF(AND(E125=Data!R124,Data!AA124&lt;&gt;""),Data!AA124,"")</f>
        <v>44644</v>
      </c>
      <c r="K125" s="313" t="str">
        <f>IF(AND(E125=Data!R124,Data!AE124&lt;&gt;""),Data!AE124,"")</f>
        <v/>
      </c>
      <c r="L125" s="318">
        <f>IF(E125=Data!R124,Data!AI124,"")</f>
        <v>3</v>
      </c>
      <c r="M125" s="318" t="str">
        <f>IF(E125=Data!R124,Data!AJ124,"")</f>
        <v>Remise en service crics et vérins</v>
      </c>
      <c r="N125" s="437" t="str">
        <f>IF(AND(Data!R124&lt;&gt;"",Data!L124="Accepté"),Data!K124,"")</f>
        <v>SERVICE AIA</v>
      </c>
    </row>
    <row r="126" spans="1:14" hidden="1" x14ac:dyDescent="0.3">
      <c r="A126" s="393" t="str">
        <f>IF(AND(Data!R125&lt;&gt;"",Data!L125="Accepté"),Data!G125,"")</f>
        <v>AIA</v>
      </c>
      <c r="B126" s="393" t="str">
        <f>IF(AND(Data!R125&lt;&gt;"",Data!L125="Accepté"),Data!L125,"")</f>
        <v>Accepté</v>
      </c>
      <c r="C126" s="391" t="str">
        <f t="shared" si="4"/>
        <v>S10</v>
      </c>
      <c r="D126" s="392">
        <f>IF(AND(Data!Q125&lt;&gt;"",Data!L125="Accepté"),Data!Q125,"")</f>
        <v>44621</v>
      </c>
      <c r="E126" s="237" t="str">
        <f>IF(AND(Data!R125&lt;&gt;"",Data!L125="Accepté"),Data!R125,"")</f>
        <v>2022-027</v>
      </c>
      <c r="F126" s="326">
        <f>IF(AND(Data!R125&lt;&gt;"",Data!L125="Accepté"),Data!S125,"")</f>
        <v>5950</v>
      </c>
      <c r="G126" s="322">
        <f>IF(Data!R125='Delivery Plan'!E126,Data!U125,"")</f>
        <v>0</v>
      </c>
      <c r="H126" s="396"/>
      <c r="I126" s="391" t="str">
        <f t="shared" si="5"/>
        <v>S15</v>
      </c>
      <c r="J126" s="392">
        <f>IF(AND(E126=Data!R125,Data!AA125&lt;&gt;""),Data!AA125,"")</f>
        <v>44657</v>
      </c>
      <c r="K126" s="313">
        <f>IF(AND(E126=Data!R125,Data!AE125&lt;&gt;""),Data!AE125,"")</f>
        <v>44677</v>
      </c>
      <c r="L126" s="318">
        <f>IF(E126=Data!R125,Data!AI125,"")</f>
        <v>4</v>
      </c>
      <c r="M126" s="318" t="str">
        <f>IF(E126=Data!R125,Data!AJ125,"")</f>
        <v>Maintenance curative crics et vérins</v>
      </c>
      <c r="N126" s="437" t="str">
        <f>IF(AND(Data!R125&lt;&gt;"",Data!L125="Accepté"),Data!K125,"")</f>
        <v>SERVICE AIA</v>
      </c>
    </row>
    <row r="127" spans="1:14" x14ac:dyDescent="0.3">
      <c r="A127" s="393" t="str">
        <f>IF(AND(Data!R126&lt;&gt;"",Data!L126="Accepté"),Data!G126,"")</f>
        <v>AIA</v>
      </c>
      <c r="B127" s="393" t="str">
        <f>IF(AND(Data!R126&lt;&gt;"",Data!L126="Accepté"),Data!L126,"")</f>
        <v>Accepté</v>
      </c>
      <c r="C127" s="391" t="str">
        <f t="shared" si="4"/>
        <v>S15</v>
      </c>
      <c r="D127" s="392">
        <f>IF(AND(Data!Q126&lt;&gt;"",Data!L126="Accepté"),Data!Q126,"")</f>
        <v>44659</v>
      </c>
      <c r="E127" s="237" t="str">
        <f>IF(AND(Data!R126&lt;&gt;"",Data!L126="Accepté"),Data!R126,"")</f>
        <v>2022-047</v>
      </c>
      <c r="F127" s="326">
        <f>IF(AND(Data!R126&lt;&gt;"",Data!L126="Accepté"),Data!S126,"")</f>
        <v>3180</v>
      </c>
      <c r="G127" s="322">
        <f>IF(Data!R126='Delivery Plan'!E127,Data!U126,"")</f>
        <v>0</v>
      </c>
      <c r="H127" s="396"/>
      <c r="I127" s="391" t="str">
        <f t="shared" si="5"/>
        <v/>
      </c>
      <c r="J127" s="392" t="str">
        <f>IF(AND(E127=Data!R126,Data!AA126&lt;&gt;""),Data!AA126,"")</f>
        <v/>
      </c>
      <c r="K127" s="313">
        <f>IF(AND(E127=Data!R126,Data!AE126&lt;&gt;""),Data!AE126,"")</f>
        <v>44727</v>
      </c>
      <c r="L127" s="318">
        <f>IF(E127=Data!R126,Data!AI126,"")</f>
        <v>6</v>
      </c>
      <c r="M127" s="318" t="str">
        <f>IF(E127=Data!R126,Data!AJ126,"")</f>
        <v>Remise en service crics et vérins</v>
      </c>
      <c r="N127" s="437" t="str">
        <f>IF(AND(Data!R126&lt;&gt;"",Data!L126="Accepté"),Data!K126,"")</f>
        <v>SERVICE AIA</v>
      </c>
    </row>
    <row r="128" spans="1:14" hidden="1" x14ac:dyDescent="0.3">
      <c r="A128" s="393" t="str">
        <f>IF(AND(Data!R127&lt;&gt;"",Data!L127="Accepté"),Data!G127,"")</f>
        <v/>
      </c>
      <c r="B128" s="393" t="str">
        <f>IF(AND(Data!R127&lt;&gt;"",Data!L127="Accepté"),Data!L127,"")</f>
        <v/>
      </c>
      <c r="C128" s="391" t="str">
        <f t="shared" si="4"/>
        <v/>
      </c>
      <c r="D128" s="392" t="str">
        <f>IF(AND(Data!Q127&lt;&gt;"",Data!L127="Accepté"),Data!Q127,"")</f>
        <v/>
      </c>
      <c r="E128" s="237" t="str">
        <f>IF(AND(Data!R127&lt;&gt;"",Data!L127="Accepté"),Data!R127,"")</f>
        <v/>
      </c>
      <c r="F128" s="326" t="str">
        <f>IF(AND(Data!R127&lt;&gt;"",Data!L127="Accepté"),Data!S127,"")</f>
        <v/>
      </c>
      <c r="G128" s="322">
        <f>IF(Data!R127='Delivery Plan'!E128,Data!U127,"")</f>
        <v>0</v>
      </c>
      <c r="H128" s="396"/>
      <c r="I128" s="391" t="str">
        <f t="shared" si="5"/>
        <v/>
      </c>
      <c r="J128" s="392" t="str">
        <f>IF(AND(E128=Data!R127,Data!AA127&lt;&gt;""),Data!AA127,"")</f>
        <v/>
      </c>
      <c r="K128" s="313" t="str">
        <f>IF(AND(E128=Data!R127,Data!AE127&lt;&gt;""),Data!AE127,"")</f>
        <v/>
      </c>
      <c r="L128" s="318">
        <f>IF(E128=Data!R127,Data!AI127,"")</f>
        <v>6</v>
      </c>
      <c r="M128" s="318" t="str">
        <f>IF(E128=Data!R127,Data!AJ127,"")</f>
        <v>Maintenance curative crics et vérins</v>
      </c>
      <c r="N128" s="437" t="str">
        <f>IF(AND(Data!R127&lt;&gt;"",Data!L127="Accepté"),Data!K127,"")</f>
        <v/>
      </c>
    </row>
    <row r="129" spans="1:14" hidden="1" x14ac:dyDescent="0.3">
      <c r="A129" s="393" t="str">
        <f>IF(AND(Data!R128&lt;&gt;"",Data!L128="Accepté"),Data!G128,"")</f>
        <v/>
      </c>
      <c r="B129" s="393" t="str">
        <f>IF(AND(Data!R128&lt;&gt;"",Data!L128="Accepté"),Data!L128,"")</f>
        <v/>
      </c>
      <c r="C129" s="391" t="str">
        <f t="shared" si="4"/>
        <v/>
      </c>
      <c r="D129" s="392" t="str">
        <f>IF(AND(Data!Q128&lt;&gt;"",Data!L128="Accepté"),Data!Q128,"")</f>
        <v/>
      </c>
      <c r="E129" s="237" t="str">
        <f>IF(AND(Data!R128&lt;&gt;"",Data!L128="Accepté"),Data!R128,"")</f>
        <v/>
      </c>
      <c r="F129" s="326" t="str">
        <f>IF(AND(Data!R128&lt;&gt;"",Data!L128="Accepté"),Data!S128,"")</f>
        <v/>
      </c>
      <c r="G129" s="322" t="str">
        <f>IF(Data!R128='Delivery Plan'!E129,Data!U128,"")</f>
        <v/>
      </c>
      <c r="H129" s="259"/>
      <c r="I129" s="391" t="str">
        <f t="shared" si="5"/>
        <v/>
      </c>
      <c r="J129" s="392" t="str">
        <f>IF(AND(E129=Data!R128,Data!AA128&lt;&gt;""),Data!AA128,"")</f>
        <v/>
      </c>
      <c r="K129" s="313" t="str">
        <f>IF(AND(E129=Data!R128,Data!AE128&lt;&gt;""),Data!AE128,"")</f>
        <v/>
      </c>
      <c r="L129" s="318" t="str">
        <f>IF(E129=Data!R128,Data!AI128,"")</f>
        <v/>
      </c>
      <c r="M129" s="318" t="str">
        <f>IF(E129=Data!R128,Data!AJ128,"")</f>
        <v/>
      </c>
      <c r="N129" s="437" t="str">
        <f>IF(AND(Data!R128&lt;&gt;"",Data!L128="Accepté"),Data!K128,"")</f>
        <v/>
      </c>
    </row>
    <row r="130" spans="1:14" hidden="1" x14ac:dyDescent="0.3">
      <c r="A130" s="393" t="str">
        <f>IF(AND(Data!R129&lt;&gt;"",Data!L129="Accepté"),Data!G129,"")</f>
        <v/>
      </c>
      <c r="B130" s="393" t="str">
        <f>IF(AND(Data!R129&lt;&gt;"",Data!L129="Accepté"),Data!L129,"")</f>
        <v/>
      </c>
      <c r="C130" s="391" t="str">
        <f t="shared" si="4"/>
        <v/>
      </c>
      <c r="D130" s="392" t="str">
        <f>IF(AND(Data!Q129&lt;&gt;"",Data!L129="Accepté"),Data!Q129,"")</f>
        <v/>
      </c>
      <c r="E130" s="237" t="str">
        <f>IF(AND(Data!R129&lt;&gt;"",Data!L129="Accepté"),Data!R129,"")</f>
        <v/>
      </c>
      <c r="F130" s="326" t="str">
        <f>IF(AND(Data!R129&lt;&gt;"",Data!L129="Accepté"),Data!S129,"")</f>
        <v/>
      </c>
      <c r="G130" s="322" t="str">
        <f>IF(Data!R129='Delivery Plan'!E130,Data!U129,"")</f>
        <v/>
      </c>
      <c r="H130" s="259"/>
      <c r="I130" s="391" t="str">
        <f t="shared" si="5"/>
        <v/>
      </c>
      <c r="J130" s="392" t="str">
        <f>IF(AND(E130=Data!R129,Data!AA129&lt;&gt;""),Data!AA129,"")</f>
        <v/>
      </c>
      <c r="K130" s="313" t="str">
        <f>IF(AND(E130=Data!R129,Data!AE129&lt;&gt;""),Data!AE129,"")</f>
        <v/>
      </c>
      <c r="L130" s="318" t="str">
        <f>IF(E130=Data!R129,Data!AI129,"")</f>
        <v/>
      </c>
      <c r="M130" s="318" t="str">
        <f>IF(E130=Data!R129,Data!AJ129,"")</f>
        <v/>
      </c>
      <c r="N130" s="437" t="str">
        <f>IF(AND(Data!R129&lt;&gt;"",Data!L129="Accepté"),Data!K129,"")</f>
        <v/>
      </c>
    </row>
    <row r="131" spans="1:14" hidden="1" x14ac:dyDescent="0.3">
      <c r="A131" s="393" t="str">
        <f>IF(AND(Data!R130&lt;&gt;"",Data!L130="Accepté"),Data!G130,"")</f>
        <v/>
      </c>
      <c r="B131" s="393" t="str">
        <f>IF(AND(Data!R130&lt;&gt;"",Data!L130="Accepté"),Data!L130,"")</f>
        <v/>
      </c>
      <c r="C131" s="391" t="str">
        <f t="shared" si="4"/>
        <v/>
      </c>
      <c r="D131" s="392" t="str">
        <f>IF(AND(Data!Q130&lt;&gt;"",Data!L130="Accepté"),Data!Q130,"")</f>
        <v/>
      </c>
      <c r="E131" s="237" t="str">
        <f>IF(AND(Data!R130&lt;&gt;"",Data!L130="Accepté"),Data!R130,"")</f>
        <v/>
      </c>
      <c r="F131" s="326" t="str">
        <f>IF(AND(Data!R130&lt;&gt;"",Data!L130="Accepté"),Data!S130,"")</f>
        <v/>
      </c>
      <c r="G131" s="322" t="str">
        <f>IF(Data!R130='Delivery Plan'!E131,Data!U130,"")</f>
        <v/>
      </c>
      <c r="H131" s="259"/>
      <c r="I131" s="391" t="str">
        <f t="shared" si="5"/>
        <v/>
      </c>
      <c r="J131" s="392" t="str">
        <f>IF(AND(E131=Data!R130,Data!AA130&lt;&gt;""),Data!AA130,"")</f>
        <v/>
      </c>
      <c r="K131" s="313" t="str">
        <f>IF(AND(E131=Data!R130,Data!AE130&lt;&gt;""),Data!AE130,"")</f>
        <v/>
      </c>
      <c r="L131" s="318" t="str">
        <f>IF(E131=Data!R130,Data!AI130,"")</f>
        <v/>
      </c>
      <c r="M131" s="318" t="str">
        <f>IF(E131=Data!R130,Data!AJ130,"")</f>
        <v/>
      </c>
      <c r="N131" s="437" t="str">
        <f>IF(AND(Data!R130&lt;&gt;"",Data!L130="Accepté"),Data!K130,"")</f>
        <v/>
      </c>
    </row>
    <row r="132" spans="1:14" hidden="1" x14ac:dyDescent="0.3">
      <c r="A132" s="393" t="str">
        <f>IF(AND(Data!R131&lt;&gt;"",Data!L131="Accepté"),Data!G131,"")</f>
        <v/>
      </c>
      <c r="B132" s="393" t="str">
        <f>IF(AND(Data!R131&lt;&gt;"",Data!L131="Accepté"),Data!L131,"")</f>
        <v/>
      </c>
      <c r="C132" s="391" t="str">
        <f t="shared" si="4"/>
        <v/>
      </c>
      <c r="D132" s="392" t="str">
        <f>IF(AND(Data!Q131&lt;&gt;"",Data!L131="Accepté"),Data!Q131,"")</f>
        <v/>
      </c>
      <c r="E132" s="237" t="str">
        <f>IF(AND(Data!R131&lt;&gt;"",Data!L131="Accepté"),Data!R131,"")</f>
        <v/>
      </c>
      <c r="F132" s="326" t="str">
        <f>IF(AND(Data!R131&lt;&gt;"",Data!L131="Accepté"),Data!S131,"")</f>
        <v/>
      </c>
      <c r="G132" s="322">
        <f>IF(Data!R131='Delivery Plan'!E132,Data!U131,"")</f>
        <v>0</v>
      </c>
      <c r="H132" s="259"/>
      <c r="I132" s="391" t="str">
        <f t="shared" si="5"/>
        <v/>
      </c>
      <c r="J132" s="392" t="str">
        <f>IF(AND(E132=Data!R131,Data!AA131&lt;&gt;""),Data!AA131,"")</f>
        <v/>
      </c>
      <c r="K132" s="313" t="str">
        <f>IF(AND(E132=Data!R131,Data!AE131&lt;&gt;""),Data!AE131,"")</f>
        <v/>
      </c>
      <c r="L132" s="318">
        <f>IF(E132=Data!R131,Data!AI131,"")</f>
        <v>1</v>
      </c>
      <c r="M132" s="318" t="str">
        <f>IF(E132=Data!R131,Data!AJ131,"")</f>
        <v>Changement joints pompes + VGP sur site client</v>
      </c>
      <c r="N132" s="437" t="str">
        <f>IF(AND(Data!R131&lt;&gt;"",Data!L131="Accepté"),Data!K131,"")</f>
        <v/>
      </c>
    </row>
    <row r="133" spans="1:14" x14ac:dyDescent="0.3">
      <c r="A133" s="393" t="str">
        <f>IF(AND(Data!R132&lt;&gt;"",Data!L132="Accepté"),Data!G132,"")</f>
        <v>IGO</v>
      </c>
      <c r="B133" s="393" t="str">
        <f>IF(AND(Data!R132&lt;&gt;"",Data!L132="Accepté"),Data!L132,"")</f>
        <v>Accepté</v>
      </c>
      <c r="C133" s="391" t="str">
        <f t="shared" ref="C133:C196" si="6">IF(D133&lt;&gt;"","S"&amp;TEXT(WEEKNUM(D133),"00"),"")</f>
        <v>S15</v>
      </c>
      <c r="D133" s="392">
        <f>IF(AND(Data!Q132&lt;&gt;"",Data!L132="Accepté"),Data!Q132,"")</f>
        <v>44656</v>
      </c>
      <c r="E133" s="237" t="str">
        <f>IF(AND(Data!R132&lt;&gt;"",Data!L132="Accepté"),Data!R132,"")</f>
        <v>2022-022</v>
      </c>
      <c r="F133" s="326">
        <f>IF(AND(Data!R132&lt;&gt;"",Data!L132="Accepté"),Data!S132,"")</f>
        <v>385</v>
      </c>
      <c r="G133" s="322">
        <f>IF(Data!R132='Delivery Plan'!E133,Data!U132,"")</f>
        <v>0</v>
      </c>
      <c r="H133" s="259"/>
      <c r="I133" s="391" t="str">
        <f t="shared" ref="I133:I196" si="7">IF(J133&lt;&gt;"","S"&amp;TEXT(WEEKNUM(J133),"00"),"")</f>
        <v>S15</v>
      </c>
      <c r="J133" s="392">
        <f>IF(AND(E133=Data!R132,Data!AA132&lt;&gt;""),Data!AA132,"")</f>
        <v>44657</v>
      </c>
      <c r="K133" s="313">
        <f>IF(AND(E133=Data!R132,Data!AE132&lt;&gt;""),Data!AE132,"")</f>
        <v>44659</v>
      </c>
      <c r="L133" s="318">
        <f>IF(E133=Data!R132,Data!AI132,"")</f>
        <v>1</v>
      </c>
      <c r="M133" s="318" t="str">
        <f>IF(E133=Data!R132,Data!AJ132,"")</f>
        <v xml:space="preserve">Recertification palans in-house </v>
      </c>
      <c r="N133" s="437" t="str">
        <f>IF(AND(Data!R132&lt;&gt;"",Data!L132="Accepté"),Data!K132,"")</f>
        <v>SERVICE OTHER AIA</v>
      </c>
    </row>
    <row r="134" spans="1:14" x14ac:dyDescent="0.3">
      <c r="A134" s="393" t="str">
        <f>IF(AND(Data!R133&lt;&gt;"",Data!L133="Accepté"),Data!G133,"")</f>
        <v>ADF</v>
      </c>
      <c r="B134" s="393" t="str">
        <f>IF(AND(Data!R133&lt;&gt;"",Data!L133="Accepté"),Data!L133,"")</f>
        <v>Accepté</v>
      </c>
      <c r="C134" s="391" t="str">
        <f t="shared" si="6"/>
        <v>S15</v>
      </c>
      <c r="D134" s="392">
        <f>IF(AND(Data!Q133&lt;&gt;"",Data!L133="Accepté"),Data!Q133,"")</f>
        <v>44656</v>
      </c>
      <c r="E134" s="237" t="str">
        <f>IF(AND(Data!R133&lt;&gt;"",Data!L133="Accepté"),Data!R133,"")</f>
        <v>2022-046</v>
      </c>
      <c r="F134" s="326">
        <f>IF(AND(Data!R133&lt;&gt;"",Data!L133="Accepté"),Data!S133,"")</f>
        <v>9173</v>
      </c>
      <c r="G134" s="322">
        <f>IF(Data!R133='Delivery Plan'!E134,Data!U133,"")</f>
        <v>0</v>
      </c>
      <c r="H134" s="259"/>
      <c r="I134" s="391" t="str">
        <f t="shared" si="7"/>
        <v/>
      </c>
      <c r="J134" s="392" t="str">
        <f>IF(AND(E134=Data!R133,Data!AA133&lt;&gt;""),Data!AA133,"")</f>
        <v/>
      </c>
      <c r="K134" s="313">
        <f>IF(AND(E134=Data!R133,Data!AE133&lt;&gt;""),Data!AE133,"")</f>
        <v>44722</v>
      </c>
      <c r="L134" s="318">
        <f>IF(E134=Data!R133,Data!AI133,"")</f>
        <v>1</v>
      </c>
      <c r="M134" s="318" t="str">
        <f>IF(E134=Data!R133,Data!AJ133,"")</f>
        <v>Changement joints pompes + VGP sur site client</v>
      </c>
      <c r="N134" s="437" t="str">
        <f>IF(AND(Data!R133&lt;&gt;"",Data!L133="Accepté"),Data!K133,"")</f>
        <v>SERVICE OTHER AIA</v>
      </c>
    </row>
    <row r="135" spans="1:14" hidden="1" x14ac:dyDescent="0.3">
      <c r="A135" s="393" t="str">
        <f>IF(AND(Data!R134&lt;&gt;"",Data!L134="Accepté"),Data!G134,"")</f>
        <v/>
      </c>
      <c r="B135" s="393" t="str">
        <f>IF(AND(Data!R134&lt;&gt;"",Data!L134="Accepté"),Data!L134,"")</f>
        <v/>
      </c>
      <c r="C135" s="391" t="str">
        <f t="shared" si="6"/>
        <v/>
      </c>
      <c r="D135" s="392" t="str">
        <f>IF(AND(Data!Q134&lt;&gt;"",Data!L134="Accepté"),Data!Q134,"")</f>
        <v/>
      </c>
      <c r="E135" s="237" t="str">
        <f>IF(AND(Data!R134&lt;&gt;"",Data!L134="Accepté"),Data!R134,"")</f>
        <v/>
      </c>
      <c r="F135" s="326" t="str">
        <f>IF(AND(Data!R134&lt;&gt;"",Data!L134="Accepté"),Data!S134,"")</f>
        <v/>
      </c>
      <c r="G135" s="322">
        <f>IF(Data!R134='Delivery Plan'!E135,Data!U134,"")</f>
        <v>0</v>
      </c>
      <c r="H135" s="259"/>
      <c r="I135" s="391" t="str">
        <f t="shared" si="7"/>
        <v/>
      </c>
      <c r="J135" s="392" t="str">
        <f>IF(AND(E135=Data!R134,Data!AA134&lt;&gt;""),Data!AA134,"")</f>
        <v/>
      </c>
      <c r="K135" s="313" t="str">
        <f>IF(AND(E135=Data!R134,Data!AE134&lt;&gt;""),Data!AE134,"")</f>
        <v/>
      </c>
      <c r="L135" s="318">
        <f>IF(E135=Data!R134,Data!AI134,"")</f>
        <v>0</v>
      </c>
      <c r="M135" s="318">
        <f>IF(E135=Data!R134,Data!AJ134,"")</f>
        <v>0</v>
      </c>
      <c r="N135" s="437" t="str">
        <f>IF(AND(Data!R134&lt;&gt;"",Data!L134="Accepté"),Data!K134,"")</f>
        <v/>
      </c>
    </row>
    <row r="136" spans="1:14" hidden="1" x14ac:dyDescent="0.3">
      <c r="A136" s="393" t="str">
        <f>IF(AND(Data!R135&lt;&gt;"",Data!L135="Accepté"),Data!G135,"")</f>
        <v/>
      </c>
      <c r="B136" s="393" t="str">
        <f>IF(AND(Data!R135&lt;&gt;"",Data!L135="Accepté"),Data!L135,"")</f>
        <v/>
      </c>
      <c r="C136" s="391" t="str">
        <f t="shared" si="6"/>
        <v/>
      </c>
      <c r="D136" s="392" t="str">
        <f>IF(AND(Data!Q135&lt;&gt;"",Data!L135="Accepté"),Data!Q135,"")</f>
        <v/>
      </c>
      <c r="E136" s="237" t="str">
        <f>IF(AND(Data!R135&lt;&gt;"",Data!L135="Accepté"),Data!R135,"")</f>
        <v/>
      </c>
      <c r="F136" s="326" t="str">
        <f>IF(AND(Data!R135&lt;&gt;"",Data!L135="Accepté"),Data!S135,"")</f>
        <v/>
      </c>
      <c r="G136" s="322">
        <f>IF(Data!R135='Delivery Plan'!E136,Data!U135,"")</f>
        <v>0</v>
      </c>
      <c r="H136" s="259"/>
      <c r="I136" s="391" t="str">
        <f t="shared" si="7"/>
        <v/>
      </c>
      <c r="J136" s="392" t="str">
        <f>IF(AND(E136=Data!R135,Data!AA135&lt;&gt;""),Data!AA135,"")</f>
        <v/>
      </c>
      <c r="K136" s="313" t="str">
        <f>IF(AND(E136=Data!R135,Data!AE135&lt;&gt;""),Data!AE135,"")</f>
        <v/>
      </c>
      <c r="L136" s="318">
        <f>IF(E136=Data!R135,Data!AI135,"")</f>
        <v>0</v>
      </c>
      <c r="M136" s="318">
        <f>IF(E136=Data!R135,Data!AJ135,"")</f>
        <v>0</v>
      </c>
      <c r="N136" s="437" t="str">
        <f>IF(AND(Data!R135&lt;&gt;"",Data!L135="Accepté"),Data!K135,"")</f>
        <v/>
      </c>
    </row>
    <row r="137" spans="1:14" hidden="1" x14ac:dyDescent="0.3">
      <c r="A137" s="393" t="str">
        <f>IF(AND(Data!R136&lt;&gt;"",Data!L136="Accepté"),Data!G136,"")</f>
        <v/>
      </c>
      <c r="B137" s="393" t="str">
        <f>IF(AND(Data!R136&lt;&gt;"",Data!L136="Accepté"),Data!L136,"")</f>
        <v/>
      </c>
      <c r="C137" s="391" t="str">
        <f t="shared" si="6"/>
        <v/>
      </c>
      <c r="D137" s="392" t="str">
        <f>IF(AND(Data!Q136&lt;&gt;"",Data!L136="Accepté"),Data!Q136,"")</f>
        <v/>
      </c>
      <c r="E137" s="237" t="str">
        <f>IF(AND(Data!R136&lt;&gt;"",Data!L136="Accepté"),Data!R136,"")</f>
        <v/>
      </c>
      <c r="F137" s="326" t="str">
        <f>IF(AND(Data!R136&lt;&gt;"",Data!L136="Accepté"),Data!S136,"")</f>
        <v/>
      </c>
      <c r="G137" s="322">
        <f>IF(Data!R136='Delivery Plan'!E137,Data!U136,"")</f>
        <v>0</v>
      </c>
      <c r="H137" s="259"/>
      <c r="I137" s="391" t="str">
        <f t="shared" si="7"/>
        <v/>
      </c>
      <c r="J137" s="392" t="str">
        <f>IF(AND(E137=Data!R136,Data!AA136&lt;&gt;""),Data!AA136,"")</f>
        <v/>
      </c>
      <c r="K137" s="313" t="str">
        <f>IF(AND(E137=Data!R136,Data!AE136&lt;&gt;""),Data!AE136,"")</f>
        <v/>
      </c>
      <c r="L137" s="318">
        <f>IF(E137=Data!R136,Data!AI136,"")</f>
        <v>0</v>
      </c>
      <c r="M137" s="318">
        <f>IF(E137=Data!R136,Data!AJ136,"")</f>
        <v>0</v>
      </c>
      <c r="N137" s="437" t="str">
        <f>IF(AND(Data!R136&lt;&gt;"",Data!L136="Accepté"),Data!K136,"")</f>
        <v/>
      </c>
    </row>
    <row r="138" spans="1:14" hidden="1" x14ac:dyDescent="0.3">
      <c r="A138" s="393" t="str">
        <f>IF(AND(Data!R137&lt;&gt;"",Data!L137="Accepté"),Data!G137,"")</f>
        <v/>
      </c>
      <c r="B138" s="393" t="str">
        <f>IF(AND(Data!R137&lt;&gt;"",Data!L137="Accepté"),Data!L137,"")</f>
        <v/>
      </c>
      <c r="C138" s="391" t="str">
        <f t="shared" si="6"/>
        <v/>
      </c>
      <c r="D138" s="392" t="str">
        <f>IF(AND(Data!Q137&lt;&gt;"",Data!L137="Accepté"),Data!Q137,"")</f>
        <v/>
      </c>
      <c r="E138" s="237" t="str">
        <f>IF(AND(Data!R137&lt;&gt;"",Data!L137="Accepté"),Data!R137,"")</f>
        <v/>
      </c>
      <c r="F138" s="326" t="str">
        <f>IF(AND(Data!R137&lt;&gt;"",Data!L137="Accepté"),Data!S137,"")</f>
        <v/>
      </c>
      <c r="G138" s="322">
        <f>IF(Data!R137='Delivery Plan'!E138,Data!U137,"")</f>
        <v>0</v>
      </c>
      <c r="H138" s="259"/>
      <c r="I138" s="391" t="str">
        <f t="shared" si="7"/>
        <v/>
      </c>
      <c r="J138" s="392" t="str">
        <f>IF(AND(E138=Data!R137,Data!AA137&lt;&gt;""),Data!AA137,"")</f>
        <v/>
      </c>
      <c r="K138" s="313" t="str">
        <f>IF(AND(E138=Data!R137,Data!AE137&lt;&gt;""),Data!AE137,"")</f>
        <v/>
      </c>
      <c r="L138" s="318">
        <f>IF(E138=Data!R137,Data!AI137,"")</f>
        <v>0</v>
      </c>
      <c r="M138" s="318">
        <f>IF(E138=Data!R137,Data!AJ137,"")</f>
        <v>0</v>
      </c>
      <c r="N138" s="437" t="str">
        <f>IF(AND(Data!R137&lt;&gt;"",Data!L137="Accepté"),Data!K137,"")</f>
        <v/>
      </c>
    </row>
    <row r="139" spans="1:14" hidden="1" x14ac:dyDescent="0.3">
      <c r="A139" s="393" t="str">
        <f>IF(AND(Data!R138&lt;&gt;"",Data!L138="Accepté"),Data!G138,"")</f>
        <v/>
      </c>
      <c r="B139" s="393" t="str">
        <f>IF(AND(Data!R138&lt;&gt;"",Data!L138="Accepté"),Data!L138,"")</f>
        <v/>
      </c>
      <c r="C139" s="391" t="str">
        <f t="shared" si="6"/>
        <v/>
      </c>
      <c r="D139" s="392" t="str">
        <f>IF(AND(Data!Q138&lt;&gt;"",Data!L138="Accepté"),Data!Q138,"")</f>
        <v/>
      </c>
      <c r="E139" s="237" t="str">
        <f>IF(AND(Data!R138&lt;&gt;"",Data!L138="Accepté"),Data!R138,"")</f>
        <v/>
      </c>
      <c r="F139" s="326" t="str">
        <f>IF(AND(Data!R138&lt;&gt;"",Data!L138="Accepté"),Data!S138,"")</f>
        <v/>
      </c>
      <c r="G139" s="322">
        <f>IF(Data!R138='Delivery Plan'!E139,Data!U138,"")</f>
        <v>0</v>
      </c>
      <c r="H139" s="259"/>
      <c r="I139" s="391" t="str">
        <f t="shared" si="7"/>
        <v/>
      </c>
      <c r="J139" s="392" t="str">
        <f>IF(AND(E139=Data!R138,Data!AA138&lt;&gt;""),Data!AA138,"")</f>
        <v/>
      </c>
      <c r="K139" s="313" t="str">
        <f>IF(AND(E139=Data!R138,Data!AE138&lt;&gt;""),Data!AE138,"")</f>
        <v/>
      </c>
      <c r="L139" s="318">
        <f>IF(E139=Data!R138,Data!AI138,"")</f>
        <v>0</v>
      </c>
      <c r="M139" s="318">
        <f>IF(E139=Data!R138,Data!AJ138,"")</f>
        <v>0</v>
      </c>
      <c r="N139" s="437" t="str">
        <f>IF(AND(Data!R138&lt;&gt;"",Data!L138="Accepté"),Data!K138,"")</f>
        <v/>
      </c>
    </row>
    <row r="140" spans="1:14" hidden="1" x14ac:dyDescent="0.3">
      <c r="A140" s="393" t="str">
        <f>IF(AND(Data!R139&lt;&gt;"",Data!L139="Accepté"),Data!G139,"")</f>
        <v/>
      </c>
      <c r="B140" s="393" t="str">
        <f>IF(AND(Data!R139&lt;&gt;"",Data!L139="Accepté"),Data!L139,"")</f>
        <v/>
      </c>
      <c r="C140" s="391" t="str">
        <f t="shared" si="6"/>
        <v/>
      </c>
      <c r="D140" s="392" t="str">
        <f>IF(AND(Data!Q139&lt;&gt;"",Data!L139="Accepté"),Data!Q139,"")</f>
        <v/>
      </c>
      <c r="E140" s="237" t="str">
        <f>IF(AND(Data!R139&lt;&gt;"",Data!L139="Accepté"),Data!R139,"")</f>
        <v/>
      </c>
      <c r="F140" s="326" t="str">
        <f>IF(AND(Data!R139&lt;&gt;"",Data!L139="Accepté"),Data!S139,"")</f>
        <v/>
      </c>
      <c r="G140" s="322">
        <f>IF(Data!R139='Delivery Plan'!E140,Data!U139,"")</f>
        <v>0</v>
      </c>
      <c r="H140" s="259"/>
      <c r="I140" s="391" t="str">
        <f t="shared" si="7"/>
        <v/>
      </c>
      <c r="J140" s="392" t="str">
        <f>IF(AND(E140=Data!R139,Data!AA139&lt;&gt;""),Data!AA139,"")</f>
        <v/>
      </c>
      <c r="K140" s="313" t="str">
        <f>IF(AND(E140=Data!R139,Data!AE139&lt;&gt;""),Data!AE139,"")</f>
        <v/>
      </c>
      <c r="L140" s="318">
        <f>IF(E140=Data!R139,Data!AI139,"")</f>
        <v>0</v>
      </c>
      <c r="M140" s="318">
        <f>IF(E140=Data!R139,Data!AJ139,"")</f>
        <v>0</v>
      </c>
      <c r="N140" s="437" t="str">
        <f>IF(AND(Data!R139&lt;&gt;"",Data!L139="Accepté"),Data!K139,"")</f>
        <v/>
      </c>
    </row>
    <row r="141" spans="1:14" hidden="1" x14ac:dyDescent="0.3">
      <c r="A141" s="393" t="str">
        <f>IF(AND(Data!R140&lt;&gt;"",Data!L140="Accepté"),Data!G140,"")</f>
        <v/>
      </c>
      <c r="B141" s="393" t="str">
        <f>IF(AND(Data!R140&lt;&gt;"",Data!L140="Accepté"),Data!L140,"")</f>
        <v/>
      </c>
      <c r="C141" s="391" t="str">
        <f t="shared" si="6"/>
        <v/>
      </c>
      <c r="D141" s="392" t="str">
        <f>IF(AND(Data!Q140&lt;&gt;"",Data!L140="Accepté"),Data!Q140,"")</f>
        <v/>
      </c>
      <c r="E141" s="237" t="str">
        <f>IF(AND(Data!R140&lt;&gt;"",Data!L140="Accepté"),Data!R140,"")</f>
        <v/>
      </c>
      <c r="F141" s="326" t="str">
        <f>IF(AND(Data!R140&lt;&gt;"",Data!L140="Accepté"),Data!S140,"")</f>
        <v/>
      </c>
      <c r="G141" s="322">
        <f>IF(Data!R140='Delivery Plan'!E141,Data!U140,"")</f>
        <v>0</v>
      </c>
      <c r="H141" s="259"/>
      <c r="I141" s="391" t="str">
        <f t="shared" si="7"/>
        <v/>
      </c>
      <c r="J141" s="392" t="str">
        <f>IF(AND(E141=Data!R140,Data!AA140&lt;&gt;""),Data!AA140,"")</f>
        <v/>
      </c>
      <c r="K141" s="313" t="str">
        <f>IF(AND(E141=Data!R140,Data!AE140&lt;&gt;""),Data!AE140,"")</f>
        <v/>
      </c>
      <c r="L141" s="318">
        <f>IF(E141=Data!R140,Data!AI140,"")</f>
        <v>0</v>
      </c>
      <c r="M141" s="318">
        <f>IF(E141=Data!R140,Data!AJ140,"")</f>
        <v>0</v>
      </c>
      <c r="N141" s="437" t="str">
        <f>IF(AND(Data!R140&lt;&gt;"",Data!L140="Accepté"),Data!K140,"")</f>
        <v/>
      </c>
    </row>
    <row r="142" spans="1:14" hidden="1" x14ac:dyDescent="0.3">
      <c r="A142" s="393" t="str">
        <f>IF(AND(Data!R141&lt;&gt;"",Data!L141="Accepté"),Data!G141,"")</f>
        <v/>
      </c>
      <c r="B142" s="393" t="str">
        <f>IF(AND(Data!R141&lt;&gt;"",Data!L141="Accepté"),Data!L141,"")</f>
        <v/>
      </c>
      <c r="C142" s="391" t="str">
        <f t="shared" si="6"/>
        <v/>
      </c>
      <c r="D142" s="392" t="str">
        <f>IF(AND(Data!Q141&lt;&gt;"",Data!L141="Accepté"),Data!Q141,"")</f>
        <v/>
      </c>
      <c r="E142" s="237" t="str">
        <f>IF(AND(Data!R141&lt;&gt;"",Data!L141="Accepté"),Data!R141,"")</f>
        <v/>
      </c>
      <c r="F142" s="326" t="str">
        <f>IF(AND(Data!R141&lt;&gt;"",Data!L141="Accepté"),Data!S141,"")</f>
        <v/>
      </c>
      <c r="G142" s="322">
        <f>IF(Data!R141='Delivery Plan'!E142,Data!U141,"")</f>
        <v>0</v>
      </c>
      <c r="H142" s="259"/>
      <c r="I142" s="391" t="str">
        <f t="shared" si="7"/>
        <v/>
      </c>
      <c r="J142" s="392" t="str">
        <f>IF(AND(E142=Data!R141,Data!AA141&lt;&gt;""),Data!AA141,"")</f>
        <v/>
      </c>
      <c r="K142" s="313" t="str">
        <f>IF(AND(E142=Data!R141,Data!AE141&lt;&gt;""),Data!AE141,"")</f>
        <v/>
      </c>
      <c r="L142" s="318">
        <f>IF(E142=Data!R141,Data!AI141,"")</f>
        <v>0</v>
      </c>
      <c r="M142" s="318">
        <f>IF(E142=Data!R141,Data!AJ141,"")</f>
        <v>0</v>
      </c>
      <c r="N142" s="437" t="str">
        <f>IF(AND(Data!R141&lt;&gt;"",Data!L141="Accepté"),Data!K141,"")</f>
        <v/>
      </c>
    </row>
    <row r="143" spans="1:14" hidden="1" x14ac:dyDescent="0.3">
      <c r="A143" s="393" t="str">
        <f>IF(AND(Data!R142&lt;&gt;"",Data!L142="Accepté"),Data!G142,"")</f>
        <v/>
      </c>
      <c r="B143" s="393" t="str">
        <f>IF(AND(Data!R142&lt;&gt;"",Data!L142="Accepté"),Data!L142,"")</f>
        <v/>
      </c>
      <c r="C143" s="391" t="str">
        <f t="shared" si="6"/>
        <v/>
      </c>
      <c r="D143" s="392" t="str">
        <f>IF(AND(Data!Q142&lt;&gt;"",Data!L142="Accepté"),Data!Q142,"")</f>
        <v/>
      </c>
      <c r="E143" s="237" t="str">
        <f>IF(AND(Data!R142&lt;&gt;"",Data!L142="Accepté"),Data!R142,"")</f>
        <v/>
      </c>
      <c r="F143" s="326" t="str">
        <f>IF(AND(Data!R142&lt;&gt;"",Data!L142="Accepté"),Data!S142,"")</f>
        <v/>
      </c>
      <c r="G143" s="322">
        <f>IF(Data!R142='Delivery Plan'!E143,Data!U142,"")</f>
        <v>0</v>
      </c>
      <c r="H143" s="259"/>
      <c r="I143" s="391" t="str">
        <f t="shared" si="7"/>
        <v/>
      </c>
      <c r="J143" s="392" t="str">
        <f>IF(AND(E143=Data!R142,Data!AA142&lt;&gt;""),Data!AA142,"")</f>
        <v/>
      </c>
      <c r="K143" s="313" t="str">
        <f>IF(AND(E143=Data!R142,Data!AE142&lt;&gt;""),Data!AE142,"")</f>
        <v/>
      </c>
      <c r="L143" s="318">
        <f>IF(E143=Data!R142,Data!AI142,"")</f>
        <v>0</v>
      </c>
      <c r="M143" s="318">
        <f>IF(E143=Data!R142,Data!AJ142,"")</f>
        <v>0</v>
      </c>
      <c r="N143" s="437" t="str">
        <f>IF(AND(Data!R142&lt;&gt;"",Data!L142="Accepté"),Data!K142,"")</f>
        <v/>
      </c>
    </row>
    <row r="144" spans="1:14" hidden="1" x14ac:dyDescent="0.3">
      <c r="A144" s="393" t="str">
        <f>IF(AND(Data!R143&lt;&gt;"",Data!L143="Accepté"),Data!G143,"")</f>
        <v/>
      </c>
      <c r="B144" s="393" t="str">
        <f>IF(AND(Data!R143&lt;&gt;"",Data!L143="Accepté"),Data!L143,"")</f>
        <v/>
      </c>
      <c r="C144" s="391" t="str">
        <f t="shared" si="6"/>
        <v/>
      </c>
      <c r="D144" s="392" t="str">
        <f>IF(AND(Data!Q143&lt;&gt;"",Data!L143="Accepté"),Data!Q143,"")</f>
        <v/>
      </c>
      <c r="E144" s="237" t="str">
        <f>IF(AND(Data!R143&lt;&gt;"",Data!L143="Accepté"),Data!R143,"")</f>
        <v/>
      </c>
      <c r="F144" s="326" t="str">
        <f>IF(AND(Data!R143&lt;&gt;"",Data!L143="Accepté"),Data!S143,"")</f>
        <v/>
      </c>
      <c r="G144" s="322">
        <f>IF(Data!R143='Delivery Plan'!E144,Data!U143,"")</f>
        <v>0</v>
      </c>
      <c r="H144" s="259"/>
      <c r="I144" s="391" t="str">
        <f t="shared" si="7"/>
        <v/>
      </c>
      <c r="J144" s="392" t="str">
        <f>IF(AND(E144=Data!R143,Data!AA143&lt;&gt;""),Data!AA143,"")</f>
        <v/>
      </c>
      <c r="K144" s="313" t="str">
        <f>IF(AND(E144=Data!R143,Data!AE143&lt;&gt;""),Data!AE143,"")</f>
        <v/>
      </c>
      <c r="L144" s="318">
        <f>IF(E144=Data!R143,Data!AI143,"")</f>
        <v>0</v>
      </c>
      <c r="M144" s="318">
        <f>IF(E144=Data!R143,Data!AJ143,"")</f>
        <v>0</v>
      </c>
      <c r="N144" s="437" t="str">
        <f>IF(AND(Data!R143&lt;&gt;"",Data!L143="Accepté"),Data!K143,"")</f>
        <v/>
      </c>
    </row>
    <row r="145" spans="1:14" hidden="1" x14ac:dyDescent="0.3">
      <c r="A145" s="393" t="str">
        <f>IF(AND(Data!R144&lt;&gt;"",Data!L144="Accepté"),Data!G144,"")</f>
        <v/>
      </c>
      <c r="B145" s="393" t="str">
        <f>IF(AND(Data!R144&lt;&gt;"",Data!L144="Accepté"),Data!L144,"")</f>
        <v/>
      </c>
      <c r="C145" s="391" t="str">
        <f t="shared" si="6"/>
        <v/>
      </c>
      <c r="D145" s="392" t="str">
        <f>IF(AND(Data!Q144&lt;&gt;"",Data!L144="Accepté"),Data!Q144,"")</f>
        <v/>
      </c>
      <c r="E145" s="237" t="str">
        <f>IF(AND(Data!R144&lt;&gt;"",Data!L144="Accepté"),Data!R144,"")</f>
        <v/>
      </c>
      <c r="F145" s="326" t="str">
        <f>IF(AND(Data!R144&lt;&gt;"",Data!L144="Accepté"),Data!S144,"")</f>
        <v/>
      </c>
      <c r="G145" s="322">
        <f>IF(Data!R144='Delivery Plan'!E145,Data!U144,"")</f>
        <v>0</v>
      </c>
      <c r="H145" s="259"/>
      <c r="I145" s="391" t="str">
        <f t="shared" si="7"/>
        <v/>
      </c>
      <c r="J145" s="392" t="str">
        <f>IF(AND(E145=Data!R144,Data!AA144&lt;&gt;""),Data!AA144,"")</f>
        <v/>
      </c>
      <c r="K145" s="313" t="str">
        <f>IF(AND(E145=Data!R144,Data!AE144&lt;&gt;""),Data!AE144,"")</f>
        <v/>
      </c>
      <c r="L145" s="318">
        <f>IF(E145=Data!R144,Data!AI144,"")</f>
        <v>0</v>
      </c>
      <c r="M145" s="318">
        <f>IF(E145=Data!R144,Data!AJ144,"")</f>
        <v>0</v>
      </c>
      <c r="N145" s="437" t="str">
        <f>IF(AND(Data!R144&lt;&gt;"",Data!L144="Accepté"),Data!K144,"")</f>
        <v/>
      </c>
    </row>
    <row r="146" spans="1:14" hidden="1" x14ac:dyDescent="0.3">
      <c r="A146" s="393" t="str">
        <f>IF(AND(Data!R145&lt;&gt;"",Data!L145="Accepté"),Data!G145,"")</f>
        <v/>
      </c>
      <c r="B146" s="393" t="str">
        <f>IF(AND(Data!R145&lt;&gt;"",Data!L145="Accepté"),Data!L145,"")</f>
        <v/>
      </c>
      <c r="C146" s="391" t="str">
        <f t="shared" si="6"/>
        <v/>
      </c>
      <c r="D146" s="392" t="str">
        <f>IF(AND(Data!Q145&lt;&gt;"",Data!L145="Accepté"),Data!Q145,"")</f>
        <v/>
      </c>
      <c r="E146" s="237" t="str">
        <f>IF(AND(Data!R145&lt;&gt;"",Data!L145="Accepté"),Data!R145,"")</f>
        <v/>
      </c>
      <c r="F146" s="326" t="str">
        <f>IF(AND(Data!R145&lt;&gt;"",Data!L145="Accepté"),Data!S145,"")</f>
        <v/>
      </c>
      <c r="G146" s="322">
        <f>IF(Data!R145='Delivery Plan'!E146,Data!U145,"")</f>
        <v>0</v>
      </c>
      <c r="H146" s="259"/>
      <c r="I146" s="391" t="str">
        <f t="shared" si="7"/>
        <v/>
      </c>
      <c r="J146" s="392" t="str">
        <f>IF(AND(E146=Data!R145,Data!AA145&lt;&gt;""),Data!AA145,"")</f>
        <v/>
      </c>
      <c r="K146" s="313" t="str">
        <f>IF(AND(E146=Data!R145,Data!AE145&lt;&gt;""),Data!AE145,"")</f>
        <v/>
      </c>
      <c r="L146" s="318">
        <f>IF(E146=Data!R145,Data!AI145,"")</f>
        <v>0</v>
      </c>
      <c r="M146" s="318">
        <f>IF(E146=Data!R145,Data!AJ145,"")</f>
        <v>0</v>
      </c>
      <c r="N146" s="437" t="str">
        <f>IF(AND(Data!R145&lt;&gt;"",Data!L145="Accepté"),Data!K145,"")</f>
        <v/>
      </c>
    </row>
    <row r="147" spans="1:14" hidden="1" x14ac:dyDescent="0.3">
      <c r="A147" s="393" t="str">
        <f>IF(AND(Data!R146&lt;&gt;"",Data!L146="Accepté"),Data!G146,"")</f>
        <v/>
      </c>
      <c r="B147" s="393" t="str">
        <f>IF(AND(Data!R146&lt;&gt;"",Data!L146="Accepté"),Data!L146,"")</f>
        <v/>
      </c>
      <c r="C147" s="391" t="str">
        <f t="shared" si="6"/>
        <v/>
      </c>
      <c r="D147" s="392" t="str">
        <f>IF(AND(Data!Q146&lt;&gt;"",Data!L146="Accepté"),Data!Q146,"")</f>
        <v/>
      </c>
      <c r="E147" s="237" t="str">
        <f>IF(AND(Data!R146&lt;&gt;"",Data!L146="Accepté"),Data!R146,"")</f>
        <v/>
      </c>
      <c r="F147" s="326" t="str">
        <f>IF(AND(Data!R146&lt;&gt;"",Data!L146="Accepté"),Data!S146,"")</f>
        <v/>
      </c>
      <c r="G147" s="322">
        <f>IF(Data!R146='Delivery Plan'!E147,Data!U146,"")</f>
        <v>0</v>
      </c>
      <c r="H147" s="259"/>
      <c r="I147" s="391" t="str">
        <f t="shared" si="7"/>
        <v/>
      </c>
      <c r="J147" s="392" t="str">
        <f>IF(AND(E147=Data!R146,Data!AA146&lt;&gt;""),Data!AA146,"")</f>
        <v/>
      </c>
      <c r="K147" s="313" t="str">
        <f>IF(AND(E147=Data!R146,Data!AE146&lt;&gt;""),Data!AE146,"")</f>
        <v/>
      </c>
      <c r="L147" s="318">
        <f>IF(E147=Data!R146,Data!AI146,"")</f>
        <v>0</v>
      </c>
      <c r="M147" s="318">
        <f>IF(E147=Data!R146,Data!AJ146,"")</f>
        <v>0</v>
      </c>
      <c r="N147" s="437" t="str">
        <f>IF(AND(Data!R146&lt;&gt;"",Data!L146="Accepté"),Data!K146,"")</f>
        <v/>
      </c>
    </row>
    <row r="148" spans="1:14" hidden="1" x14ac:dyDescent="0.3">
      <c r="A148" s="393" t="str">
        <f>IF(AND(Data!R147&lt;&gt;"",Data!L147="Accepté"),Data!G147,"")</f>
        <v/>
      </c>
      <c r="B148" s="393" t="str">
        <f>IF(AND(Data!R147&lt;&gt;"",Data!L147="Accepté"),Data!L147,"")</f>
        <v/>
      </c>
      <c r="C148" s="391" t="str">
        <f t="shared" si="6"/>
        <v/>
      </c>
      <c r="D148" s="392" t="str">
        <f>IF(AND(Data!Q147&lt;&gt;"",Data!L147="Accepté"),Data!Q147,"")</f>
        <v/>
      </c>
      <c r="E148" s="237" t="str">
        <f>IF(AND(Data!R147&lt;&gt;"",Data!L147="Accepté"),Data!R147,"")</f>
        <v/>
      </c>
      <c r="F148" s="326" t="str">
        <f>IF(AND(Data!R147&lt;&gt;"",Data!L147="Accepté"),Data!S147,"")</f>
        <v/>
      </c>
      <c r="G148" s="322">
        <f>IF(Data!R147='Delivery Plan'!E148,Data!U147,"")</f>
        <v>0</v>
      </c>
      <c r="H148" s="259"/>
      <c r="I148" s="391" t="str">
        <f t="shared" si="7"/>
        <v/>
      </c>
      <c r="J148" s="392" t="str">
        <f>IF(AND(E148=Data!R147,Data!AA147&lt;&gt;""),Data!AA147,"")</f>
        <v/>
      </c>
      <c r="K148" s="313" t="str">
        <f>IF(AND(E148=Data!R147,Data!AE147&lt;&gt;""),Data!AE147,"")</f>
        <v/>
      </c>
      <c r="L148" s="318">
        <f>IF(E148=Data!R147,Data!AI147,"")</f>
        <v>0</v>
      </c>
      <c r="M148" s="318">
        <f>IF(E148=Data!R147,Data!AJ147,"")</f>
        <v>0</v>
      </c>
      <c r="N148" s="437" t="str">
        <f>IF(AND(Data!R147&lt;&gt;"",Data!L147="Accepté"),Data!K147,"")</f>
        <v/>
      </c>
    </row>
    <row r="149" spans="1:14" hidden="1" x14ac:dyDescent="0.3">
      <c r="A149" s="393" t="str">
        <f>IF(AND(Data!R148&lt;&gt;"",Data!L148="Accepté"),Data!G148,"")</f>
        <v/>
      </c>
      <c r="B149" s="393" t="str">
        <f>IF(AND(Data!R148&lt;&gt;"",Data!L148="Accepté"),Data!L148,"")</f>
        <v/>
      </c>
      <c r="C149" s="391" t="str">
        <f t="shared" si="6"/>
        <v/>
      </c>
      <c r="D149" s="392" t="str">
        <f>IF(AND(Data!Q148&lt;&gt;"",Data!L148="Accepté"),Data!Q148,"")</f>
        <v/>
      </c>
      <c r="E149" s="237" t="str">
        <f>IF(AND(Data!R148&lt;&gt;"",Data!L148="Accepté"),Data!R148,"")</f>
        <v/>
      </c>
      <c r="F149" s="326" t="str">
        <f>IF(AND(Data!R148&lt;&gt;"",Data!L148="Accepté"),Data!S148,"")</f>
        <v/>
      </c>
      <c r="G149" s="322">
        <f>IF(Data!R148='Delivery Plan'!E149,Data!U148,"")</f>
        <v>0</v>
      </c>
      <c r="H149" s="259"/>
      <c r="I149" s="391" t="str">
        <f t="shared" si="7"/>
        <v/>
      </c>
      <c r="J149" s="392" t="str">
        <f>IF(AND(E149=Data!R148,Data!AA148&lt;&gt;""),Data!AA148,"")</f>
        <v/>
      </c>
      <c r="K149" s="313" t="str">
        <f>IF(AND(E149=Data!R148,Data!AE148&lt;&gt;""),Data!AE148,"")</f>
        <v/>
      </c>
      <c r="L149" s="318">
        <f>IF(E149=Data!R148,Data!AI148,"")</f>
        <v>0</v>
      </c>
      <c r="M149" s="318">
        <f>IF(E149=Data!R148,Data!AJ148,"")</f>
        <v>0</v>
      </c>
      <c r="N149" s="437" t="str">
        <f>IF(AND(Data!R148&lt;&gt;"",Data!L148="Accepté"),Data!K148,"")</f>
        <v/>
      </c>
    </row>
    <row r="150" spans="1:14" hidden="1" x14ac:dyDescent="0.3">
      <c r="A150" s="393" t="str">
        <f>IF(AND(Data!R149&lt;&gt;"",Data!L149="Accepté"),Data!G149,"")</f>
        <v/>
      </c>
      <c r="B150" s="393" t="str">
        <f>IF(AND(Data!R149&lt;&gt;"",Data!L149="Accepté"),Data!L149,"")</f>
        <v/>
      </c>
      <c r="C150" s="391" t="str">
        <f t="shared" si="6"/>
        <v/>
      </c>
      <c r="D150" s="392" t="str">
        <f>IF(AND(Data!Q149&lt;&gt;"",Data!L149="Accepté"),Data!Q149,"")</f>
        <v/>
      </c>
      <c r="E150" s="237" t="str">
        <f>IF(AND(Data!R149&lt;&gt;"",Data!L149="Accepté"),Data!R149,"")</f>
        <v/>
      </c>
      <c r="F150" s="326" t="str">
        <f>IF(AND(Data!R149&lt;&gt;"",Data!L149="Accepté"),Data!S149,"")</f>
        <v/>
      </c>
      <c r="G150" s="322">
        <f>IF(Data!R149='Delivery Plan'!E150,Data!U149,"")</f>
        <v>0</v>
      </c>
      <c r="H150" s="259"/>
      <c r="I150" s="391" t="str">
        <f t="shared" si="7"/>
        <v/>
      </c>
      <c r="J150" s="392" t="str">
        <f>IF(AND(E150=Data!R149,Data!AA149&lt;&gt;""),Data!AA149,"")</f>
        <v/>
      </c>
      <c r="K150" s="313" t="str">
        <f>IF(AND(E150=Data!R149,Data!AE149&lt;&gt;""),Data!AE149,"")</f>
        <v/>
      </c>
      <c r="L150" s="318">
        <f>IF(E150=Data!R149,Data!AI149,"")</f>
        <v>0</v>
      </c>
      <c r="M150" s="318">
        <f>IF(E150=Data!R149,Data!AJ149,"")</f>
        <v>0</v>
      </c>
      <c r="N150" s="437" t="str">
        <f>IF(AND(Data!R149&lt;&gt;"",Data!L149="Accepté"),Data!K149,"")</f>
        <v/>
      </c>
    </row>
    <row r="151" spans="1:14" hidden="1" x14ac:dyDescent="0.3">
      <c r="A151" s="393" t="str">
        <f>IF(AND(Data!R150&lt;&gt;"",Data!L150="Accepté"),Data!G150,"")</f>
        <v/>
      </c>
      <c r="B151" s="393" t="str">
        <f>IF(AND(Data!R150&lt;&gt;"",Data!L150="Accepté"),Data!L150,"")</f>
        <v/>
      </c>
      <c r="C151" s="391" t="str">
        <f t="shared" si="6"/>
        <v/>
      </c>
      <c r="D151" s="392" t="str">
        <f>IF(AND(Data!Q150&lt;&gt;"",Data!L150="Accepté"),Data!Q150,"")</f>
        <v/>
      </c>
      <c r="E151" s="237" t="str">
        <f>IF(AND(Data!R150&lt;&gt;"",Data!L150="Accepté"),Data!R150,"")</f>
        <v/>
      </c>
      <c r="F151" s="326" t="str">
        <f>IF(AND(Data!R150&lt;&gt;"",Data!L150="Accepté"),Data!S150,"")</f>
        <v/>
      </c>
      <c r="G151" s="322">
        <f>IF(Data!R150='Delivery Plan'!E151,Data!U150,"")</f>
        <v>0</v>
      </c>
      <c r="H151" s="259"/>
      <c r="I151" s="391" t="str">
        <f t="shared" si="7"/>
        <v/>
      </c>
      <c r="J151" s="392" t="str">
        <f>IF(AND(E151=Data!R150,Data!AA150&lt;&gt;""),Data!AA150,"")</f>
        <v/>
      </c>
      <c r="K151" s="313" t="str">
        <f>IF(AND(E151=Data!R150,Data!AE150&lt;&gt;""),Data!AE150,"")</f>
        <v/>
      </c>
      <c r="L151" s="318">
        <f>IF(E151=Data!R150,Data!AI150,"")</f>
        <v>0</v>
      </c>
      <c r="M151" s="318">
        <f>IF(E151=Data!R150,Data!AJ150,"")</f>
        <v>0</v>
      </c>
      <c r="N151" s="437" t="str">
        <f>IF(AND(Data!R150&lt;&gt;"",Data!L150="Accepté"),Data!K150,"")</f>
        <v/>
      </c>
    </row>
    <row r="152" spans="1:14" hidden="1" x14ac:dyDescent="0.3">
      <c r="A152" s="393" t="str">
        <f>IF(AND(Data!R151&lt;&gt;"",Data!L151="Accepté"),Data!G151,"")</f>
        <v/>
      </c>
      <c r="B152" s="393" t="str">
        <f>IF(AND(Data!R151&lt;&gt;"",Data!L151="Accepté"),Data!L151,"")</f>
        <v/>
      </c>
      <c r="C152" s="391" t="str">
        <f t="shared" si="6"/>
        <v/>
      </c>
      <c r="D152" s="392" t="str">
        <f>IF(AND(Data!Q151&lt;&gt;"",Data!L151="Accepté"),Data!Q151,"")</f>
        <v/>
      </c>
      <c r="E152" s="237" t="str">
        <f>IF(AND(Data!R151&lt;&gt;"",Data!L151="Accepté"),Data!R151,"")</f>
        <v/>
      </c>
      <c r="F152" s="326" t="str">
        <f>IF(AND(Data!R151&lt;&gt;"",Data!L151="Accepté"),Data!S151,"")</f>
        <v/>
      </c>
      <c r="G152" s="322">
        <f>IF(Data!R151='Delivery Plan'!E152,Data!U151,"")</f>
        <v>0</v>
      </c>
      <c r="H152" s="259"/>
      <c r="I152" s="391" t="str">
        <f t="shared" si="7"/>
        <v/>
      </c>
      <c r="J152" s="392" t="str">
        <f>IF(AND(E152=Data!R151,Data!AA151&lt;&gt;""),Data!AA151,"")</f>
        <v/>
      </c>
      <c r="K152" s="313" t="str">
        <f>IF(AND(E152=Data!R151,Data!AE151&lt;&gt;""),Data!AE151,"")</f>
        <v/>
      </c>
      <c r="L152" s="318">
        <f>IF(E152=Data!R151,Data!AI151,"")</f>
        <v>0</v>
      </c>
      <c r="M152" s="318">
        <f>IF(E152=Data!R151,Data!AJ151,"")</f>
        <v>0</v>
      </c>
      <c r="N152" s="437" t="str">
        <f>IF(AND(Data!R151&lt;&gt;"",Data!L151="Accepté"),Data!K151,"")</f>
        <v/>
      </c>
    </row>
    <row r="153" spans="1:14" hidden="1" x14ac:dyDescent="0.3">
      <c r="A153" s="393" t="str">
        <f>IF(AND(Data!R152&lt;&gt;"",Data!L152="Accepté"),Data!G152,"")</f>
        <v/>
      </c>
      <c r="B153" s="393" t="str">
        <f>IF(AND(Data!R152&lt;&gt;"",Data!L152="Accepté"),Data!L152,"")</f>
        <v/>
      </c>
      <c r="C153" s="391" t="str">
        <f t="shared" si="6"/>
        <v/>
      </c>
      <c r="D153" s="392" t="str">
        <f>IF(AND(Data!Q152&lt;&gt;"",Data!L152="Accepté"),Data!Q152,"")</f>
        <v/>
      </c>
      <c r="E153" s="237" t="str">
        <f>IF(AND(Data!R152&lt;&gt;"",Data!L152="Accepté"),Data!R152,"")</f>
        <v/>
      </c>
      <c r="F153" s="326" t="str">
        <f>IF(AND(Data!R152&lt;&gt;"",Data!L152="Accepté"),Data!S152,"")</f>
        <v/>
      </c>
      <c r="G153" s="322">
        <f>IF(Data!R152='Delivery Plan'!E153,Data!U152,"")</f>
        <v>0</v>
      </c>
      <c r="H153" s="259"/>
      <c r="I153" s="391" t="str">
        <f t="shared" si="7"/>
        <v/>
      </c>
      <c r="J153" s="392" t="str">
        <f>IF(AND(E153=Data!R152,Data!AA152&lt;&gt;""),Data!AA152,"")</f>
        <v/>
      </c>
      <c r="K153" s="313" t="str">
        <f>IF(AND(E153=Data!R152,Data!AE152&lt;&gt;""),Data!AE152,"")</f>
        <v/>
      </c>
      <c r="L153" s="318">
        <f>IF(E153=Data!R152,Data!AI152,"")</f>
        <v>0</v>
      </c>
      <c r="M153" s="318">
        <f>IF(E153=Data!R152,Data!AJ152,"")</f>
        <v>0</v>
      </c>
      <c r="N153" s="437" t="str">
        <f>IF(AND(Data!R152&lt;&gt;"",Data!L152="Accepté"),Data!K152,"")</f>
        <v/>
      </c>
    </row>
    <row r="154" spans="1:14" hidden="1" x14ac:dyDescent="0.3">
      <c r="A154" s="393" t="str">
        <f>IF(AND(Data!R153&lt;&gt;"",Data!L153="Accepté"),Data!G153,"")</f>
        <v/>
      </c>
      <c r="B154" s="393" t="str">
        <f>IF(AND(Data!R153&lt;&gt;"",Data!L153="Accepté"),Data!L153,"")</f>
        <v/>
      </c>
      <c r="C154" s="391" t="str">
        <f t="shared" si="6"/>
        <v/>
      </c>
      <c r="D154" s="392" t="str">
        <f>IF(AND(Data!Q153&lt;&gt;"",Data!L153="Accepté"),Data!Q153,"")</f>
        <v/>
      </c>
      <c r="E154" s="237" t="str">
        <f>IF(AND(Data!R153&lt;&gt;"",Data!L153="Accepté"),Data!R153,"")</f>
        <v/>
      </c>
      <c r="F154" s="326" t="str">
        <f>IF(AND(Data!R153&lt;&gt;"",Data!L153="Accepté"),Data!S153,"")</f>
        <v/>
      </c>
      <c r="G154" s="322">
        <f>IF(Data!R153='Delivery Plan'!E154,Data!U153,"")</f>
        <v>0</v>
      </c>
      <c r="H154" s="259"/>
      <c r="I154" s="391" t="str">
        <f t="shared" si="7"/>
        <v/>
      </c>
      <c r="J154" s="392" t="str">
        <f>IF(AND(E154=Data!R153,Data!AA153&lt;&gt;""),Data!AA153,"")</f>
        <v/>
      </c>
      <c r="K154" s="313" t="str">
        <f>IF(AND(E154=Data!R153,Data!AE153&lt;&gt;""),Data!AE153,"")</f>
        <v/>
      </c>
      <c r="L154" s="318">
        <f>IF(E154=Data!R153,Data!AI153,"")</f>
        <v>0</v>
      </c>
      <c r="M154" s="318">
        <f>IF(E154=Data!R153,Data!AJ153,"")</f>
        <v>0</v>
      </c>
      <c r="N154" s="437" t="str">
        <f>IF(AND(Data!R153&lt;&gt;"",Data!L153="Accepté"),Data!K153,"")</f>
        <v/>
      </c>
    </row>
    <row r="155" spans="1:14" hidden="1" x14ac:dyDescent="0.3">
      <c r="A155" s="393" t="str">
        <f>IF(AND(Data!R154&lt;&gt;"",Data!L154="Accepté"),Data!G154,"")</f>
        <v/>
      </c>
      <c r="B155" s="393" t="str">
        <f>IF(AND(Data!R154&lt;&gt;"",Data!L154="Accepté"),Data!L154,"")</f>
        <v/>
      </c>
      <c r="C155" s="391" t="str">
        <f t="shared" si="6"/>
        <v/>
      </c>
      <c r="D155" s="392" t="str">
        <f>IF(AND(Data!Q154&lt;&gt;"",Data!L154="Accepté"),Data!Q154,"")</f>
        <v/>
      </c>
      <c r="E155" s="237" t="str">
        <f>IF(AND(Data!R154&lt;&gt;"",Data!L154="Accepté"),Data!R154,"")</f>
        <v/>
      </c>
      <c r="F155" s="326" t="str">
        <f>IF(AND(Data!R154&lt;&gt;"",Data!L154="Accepté"),Data!S154,"")</f>
        <v/>
      </c>
      <c r="G155" s="322">
        <f>IF(Data!R154='Delivery Plan'!E155,Data!U154,"")</f>
        <v>0</v>
      </c>
      <c r="H155" s="259"/>
      <c r="I155" s="391" t="str">
        <f t="shared" si="7"/>
        <v/>
      </c>
      <c r="J155" s="392" t="str">
        <f>IF(AND(E155=Data!R154,Data!AA154&lt;&gt;""),Data!AA154,"")</f>
        <v/>
      </c>
      <c r="K155" s="313" t="str">
        <f>IF(AND(E155=Data!R154,Data!AE154&lt;&gt;""),Data!AE154,"")</f>
        <v/>
      </c>
      <c r="L155" s="318">
        <f>IF(E155=Data!R154,Data!AI154,"")</f>
        <v>0</v>
      </c>
      <c r="M155" s="318">
        <f>IF(E155=Data!R154,Data!AJ154,"")</f>
        <v>0</v>
      </c>
      <c r="N155" s="437" t="str">
        <f>IF(AND(Data!R154&lt;&gt;"",Data!L154="Accepté"),Data!K154,"")</f>
        <v/>
      </c>
    </row>
    <row r="156" spans="1:14" hidden="1" x14ac:dyDescent="0.3">
      <c r="A156" s="393" t="str">
        <f>IF(AND(Data!R155&lt;&gt;"",Data!L155="Accepté"),Data!G155,"")</f>
        <v/>
      </c>
      <c r="B156" s="393" t="str">
        <f>IF(AND(Data!R155&lt;&gt;"",Data!L155="Accepté"),Data!L155,"")</f>
        <v/>
      </c>
      <c r="C156" s="391" t="str">
        <f t="shared" si="6"/>
        <v/>
      </c>
      <c r="D156" s="392" t="str">
        <f>IF(AND(Data!Q155&lt;&gt;"",Data!L155="Accepté"),Data!Q155,"")</f>
        <v/>
      </c>
      <c r="E156" s="237" t="str">
        <f>IF(AND(Data!R155&lt;&gt;"",Data!L155="Accepté"),Data!R155,"")</f>
        <v/>
      </c>
      <c r="F156" s="326" t="str">
        <f>IF(AND(Data!R155&lt;&gt;"",Data!L155="Accepté"),Data!S155,"")</f>
        <v/>
      </c>
      <c r="G156" s="322">
        <f>IF(Data!R155='Delivery Plan'!E156,Data!U155,"")</f>
        <v>0</v>
      </c>
      <c r="H156" s="259"/>
      <c r="I156" s="391" t="str">
        <f t="shared" si="7"/>
        <v/>
      </c>
      <c r="J156" s="392" t="str">
        <f>IF(AND(E156=Data!R155,Data!AA155&lt;&gt;""),Data!AA155,"")</f>
        <v/>
      </c>
      <c r="K156" s="313" t="str">
        <f>IF(AND(E156=Data!R155,Data!AE155&lt;&gt;""),Data!AE155,"")</f>
        <v/>
      </c>
      <c r="L156" s="318">
        <f>IF(E156=Data!R155,Data!AI155,"")</f>
        <v>0</v>
      </c>
      <c r="M156" s="318">
        <f>IF(E156=Data!R155,Data!AJ155,"")</f>
        <v>0</v>
      </c>
      <c r="N156" s="437" t="str">
        <f>IF(AND(Data!R155&lt;&gt;"",Data!L155="Accepté"),Data!K155,"")</f>
        <v/>
      </c>
    </row>
    <row r="157" spans="1:14" hidden="1" x14ac:dyDescent="0.3">
      <c r="A157" s="393" t="str">
        <f>IF(AND(Data!R156&lt;&gt;"",Data!L156="Accepté"),Data!G156,"")</f>
        <v/>
      </c>
      <c r="B157" s="393" t="str">
        <f>IF(AND(Data!R156&lt;&gt;"",Data!L156="Accepté"),Data!L156,"")</f>
        <v/>
      </c>
      <c r="C157" s="391" t="str">
        <f t="shared" si="6"/>
        <v/>
      </c>
      <c r="D157" s="392" t="str">
        <f>IF(AND(Data!Q156&lt;&gt;"",Data!L156="Accepté"),Data!Q156,"")</f>
        <v/>
      </c>
      <c r="E157" s="237" t="str">
        <f>IF(AND(Data!R156&lt;&gt;"",Data!L156="Accepté"),Data!R156,"")</f>
        <v/>
      </c>
      <c r="F157" s="326" t="str">
        <f>IF(AND(Data!R156&lt;&gt;"",Data!L156="Accepté"),Data!S156,"")</f>
        <v/>
      </c>
      <c r="G157" s="322">
        <f>IF(Data!R156='Delivery Plan'!E157,Data!U156,"")</f>
        <v>0</v>
      </c>
      <c r="H157" s="259"/>
      <c r="I157" s="391" t="str">
        <f t="shared" si="7"/>
        <v/>
      </c>
      <c r="J157" s="392" t="str">
        <f>IF(AND(E157=Data!R156,Data!AA156&lt;&gt;""),Data!AA156,"")</f>
        <v/>
      </c>
      <c r="K157" s="313" t="str">
        <f>IF(AND(E157=Data!R156,Data!AE156&lt;&gt;""),Data!AE156,"")</f>
        <v/>
      </c>
      <c r="L157" s="318">
        <f>IF(E157=Data!R156,Data!AI156,"")</f>
        <v>0</v>
      </c>
      <c r="M157" s="318">
        <f>IF(E157=Data!R156,Data!AJ156,"")</f>
        <v>0</v>
      </c>
      <c r="N157" s="437" t="str">
        <f>IF(AND(Data!R156&lt;&gt;"",Data!L156="Accepté"),Data!K156,"")</f>
        <v/>
      </c>
    </row>
    <row r="158" spans="1:14" hidden="1" x14ac:dyDescent="0.3">
      <c r="A158" s="393" t="str">
        <f>IF(AND(Data!R157&lt;&gt;"",Data!L157="Accepté"),Data!G157,"")</f>
        <v/>
      </c>
      <c r="B158" s="393" t="str">
        <f>IF(AND(Data!R157&lt;&gt;"",Data!L157="Accepté"),Data!L157,"")</f>
        <v/>
      </c>
      <c r="C158" s="391" t="str">
        <f t="shared" si="6"/>
        <v/>
      </c>
      <c r="D158" s="392" t="str">
        <f>IF(AND(Data!Q157&lt;&gt;"",Data!L157="Accepté"),Data!Q157,"")</f>
        <v/>
      </c>
      <c r="E158" s="237" t="str">
        <f>IF(AND(Data!R157&lt;&gt;"",Data!L157="Accepté"),Data!R157,"")</f>
        <v/>
      </c>
      <c r="F158" s="326" t="str">
        <f>IF(AND(Data!R157&lt;&gt;"",Data!L157="Accepté"),Data!S157,"")</f>
        <v/>
      </c>
      <c r="G158" s="322">
        <f>IF(Data!R157='Delivery Plan'!E158,Data!U157,"")</f>
        <v>0</v>
      </c>
      <c r="H158" s="259"/>
      <c r="I158" s="391" t="str">
        <f t="shared" si="7"/>
        <v/>
      </c>
      <c r="J158" s="392" t="str">
        <f>IF(AND(E158=Data!R157,Data!AA157&lt;&gt;""),Data!AA157,"")</f>
        <v/>
      </c>
      <c r="K158" s="313" t="str">
        <f>IF(AND(E158=Data!R157,Data!AE157&lt;&gt;""),Data!AE157,"")</f>
        <v/>
      </c>
      <c r="L158" s="318">
        <f>IF(E158=Data!R157,Data!AI157,"")</f>
        <v>0</v>
      </c>
      <c r="M158" s="318">
        <f>IF(E158=Data!R157,Data!AJ157,"")</f>
        <v>0</v>
      </c>
      <c r="N158" s="437" t="str">
        <f>IF(AND(Data!R157&lt;&gt;"",Data!L157="Accepté"),Data!K157,"")</f>
        <v/>
      </c>
    </row>
    <row r="159" spans="1:14" hidden="1" x14ac:dyDescent="0.3">
      <c r="A159" s="393" t="str">
        <f>IF(AND(Data!R158&lt;&gt;"",Data!L158="Accepté"),Data!G158,"")</f>
        <v/>
      </c>
      <c r="B159" s="393" t="str">
        <f>IF(AND(Data!R158&lt;&gt;"",Data!L158="Accepté"),Data!L158,"")</f>
        <v/>
      </c>
      <c r="C159" s="391" t="str">
        <f t="shared" si="6"/>
        <v/>
      </c>
      <c r="D159" s="392" t="str">
        <f>IF(AND(Data!Q158&lt;&gt;"",Data!L158="Accepté"),Data!Q158,"")</f>
        <v/>
      </c>
      <c r="E159" s="237" t="str">
        <f>IF(AND(Data!R158&lt;&gt;"",Data!L158="Accepté"),Data!R158,"")</f>
        <v/>
      </c>
      <c r="F159" s="326" t="str">
        <f>IF(AND(Data!R158&lt;&gt;"",Data!L158="Accepté"),Data!S158,"")</f>
        <v/>
      </c>
      <c r="G159" s="322">
        <f>IF(Data!R158='Delivery Plan'!E159,Data!U158,"")</f>
        <v>0</v>
      </c>
      <c r="H159" s="259"/>
      <c r="I159" s="391" t="str">
        <f t="shared" si="7"/>
        <v/>
      </c>
      <c r="J159" s="392" t="str">
        <f>IF(AND(E159=Data!R158,Data!AA158&lt;&gt;""),Data!AA158,"")</f>
        <v/>
      </c>
      <c r="K159" s="313" t="str">
        <f>IF(AND(E159=Data!R158,Data!AE158&lt;&gt;""),Data!AE158,"")</f>
        <v/>
      </c>
      <c r="L159" s="318">
        <f>IF(E159=Data!R158,Data!AI158,"")</f>
        <v>0</v>
      </c>
      <c r="M159" s="318">
        <f>IF(E159=Data!R158,Data!AJ158,"")</f>
        <v>0</v>
      </c>
      <c r="N159" s="437" t="str">
        <f>IF(AND(Data!R158&lt;&gt;"",Data!L158="Accepté"),Data!K158,"")</f>
        <v/>
      </c>
    </row>
    <row r="160" spans="1:14" hidden="1" x14ac:dyDescent="0.3">
      <c r="A160" s="393" t="str">
        <f>IF(AND(Data!R159&lt;&gt;"",Data!L159="Accepté"),Data!G159,"")</f>
        <v/>
      </c>
      <c r="B160" s="393" t="str">
        <f>IF(AND(Data!R159&lt;&gt;"",Data!L159="Accepté"),Data!L159,"")</f>
        <v/>
      </c>
      <c r="C160" s="391" t="str">
        <f t="shared" si="6"/>
        <v/>
      </c>
      <c r="D160" s="392" t="str">
        <f>IF(AND(Data!Q159&lt;&gt;"",Data!L159="Accepté"),Data!Q159,"")</f>
        <v/>
      </c>
      <c r="E160" s="237" t="str">
        <f>IF(AND(Data!R159&lt;&gt;"",Data!L159="Accepté"),Data!R159,"")</f>
        <v/>
      </c>
      <c r="F160" s="326" t="str">
        <f>IF(AND(Data!R159&lt;&gt;"",Data!L159="Accepté"),Data!S159,"")</f>
        <v/>
      </c>
      <c r="G160" s="322">
        <f>IF(Data!R159='Delivery Plan'!E160,Data!U159,"")</f>
        <v>0</v>
      </c>
      <c r="H160" s="259"/>
      <c r="I160" s="391" t="str">
        <f t="shared" si="7"/>
        <v/>
      </c>
      <c r="J160" s="392" t="str">
        <f>IF(AND(E160=Data!R159,Data!AA159&lt;&gt;""),Data!AA159,"")</f>
        <v/>
      </c>
      <c r="K160" s="313" t="str">
        <f>IF(AND(E160=Data!R159,Data!AE159&lt;&gt;""),Data!AE159,"")</f>
        <v/>
      </c>
      <c r="L160" s="318">
        <f>IF(E160=Data!R161,Data!AI161,"")</f>
        <v>0</v>
      </c>
      <c r="M160" s="318">
        <f>IF(E160=Data!R161,Data!AJ161,"")</f>
        <v>0</v>
      </c>
      <c r="N160" s="437" t="str">
        <f>IF(AND(Data!R161&lt;&gt;"",Data!L161="Accepté"),Data!K161,"")</f>
        <v/>
      </c>
    </row>
    <row r="161" spans="1:14" hidden="1" x14ac:dyDescent="0.3">
      <c r="A161" s="393" t="str">
        <f>IF(AND(Data!R160&lt;&gt;"",Data!L160="Accepté"),Data!G160,"")</f>
        <v/>
      </c>
      <c r="B161" s="393" t="str">
        <f>IF(AND(Data!R160&lt;&gt;"",Data!L160="Accepté"),Data!L160,"")</f>
        <v/>
      </c>
      <c r="C161" s="391" t="str">
        <f t="shared" si="6"/>
        <v/>
      </c>
      <c r="D161" s="392" t="str">
        <f>IF(AND(Data!Q160&lt;&gt;"",Data!L160="Accepté"),Data!Q160,"")</f>
        <v/>
      </c>
      <c r="E161" s="237" t="str">
        <f>IF(AND(Data!R160&lt;&gt;"",Data!L160="Accepté"),Data!R160,"")</f>
        <v/>
      </c>
      <c r="F161" s="326" t="str">
        <f>IF(AND(Data!R160&lt;&gt;"",Data!L160="Accepté"),Data!S160,"")</f>
        <v/>
      </c>
      <c r="G161" s="322">
        <f>IF(Data!R160='Delivery Plan'!E161,Data!U160,"")</f>
        <v>0</v>
      </c>
      <c r="H161" s="259"/>
      <c r="I161" s="391" t="str">
        <f t="shared" si="7"/>
        <v/>
      </c>
      <c r="J161" s="392" t="str">
        <f>IF(AND(E161=Data!R160,Data!AA160&lt;&gt;""),Data!AA160,"")</f>
        <v/>
      </c>
      <c r="K161" s="313" t="str">
        <f>IF(AND(E161=Data!R160,Data!AE160&lt;&gt;""),Data!AE160,"")</f>
        <v/>
      </c>
      <c r="L161" s="318">
        <f>IF(E161=Data!R162,Data!AI162,"")</f>
        <v>0</v>
      </c>
      <c r="M161" s="318">
        <f>IF(E161=Data!R162,Data!AJ162,"")</f>
        <v>0</v>
      </c>
      <c r="N161" s="437" t="str">
        <f>IF(AND(Data!R162&lt;&gt;"",Data!L162="Accepté"),Data!K162,"")</f>
        <v/>
      </c>
    </row>
    <row r="162" spans="1:14" hidden="1" x14ac:dyDescent="0.3">
      <c r="A162" s="393" t="str">
        <f>IF(AND(Data!R161&lt;&gt;"",Data!L161="Accepté"),Data!G161,"")</f>
        <v/>
      </c>
      <c r="B162" s="393" t="str">
        <f>IF(AND(Data!R161&lt;&gt;"",Data!L161="Accepté"),Data!L161,"")</f>
        <v/>
      </c>
      <c r="C162" s="391" t="str">
        <f t="shared" si="6"/>
        <v/>
      </c>
      <c r="D162" s="392" t="str">
        <f>IF(AND(Data!Q161&lt;&gt;"",Data!L161="Accepté"),Data!Q161,"")</f>
        <v/>
      </c>
      <c r="E162" s="237" t="str">
        <f>IF(AND(Data!R161&lt;&gt;"",Data!L161="Accepté"),Data!R161,"")</f>
        <v/>
      </c>
      <c r="F162" s="326" t="str">
        <f>IF(AND(Data!R161&lt;&gt;"",Data!L161="Accepté"),Data!S161,"")</f>
        <v/>
      </c>
      <c r="G162" s="322">
        <f>IF(Data!R161='Delivery Plan'!E162,Data!U161,"")</f>
        <v>0</v>
      </c>
      <c r="H162" s="259"/>
      <c r="I162" s="391" t="str">
        <f t="shared" si="7"/>
        <v/>
      </c>
      <c r="J162" s="392" t="str">
        <f>IF(AND(E162=Data!R161,Data!AA161&lt;&gt;""),Data!AA161,"")</f>
        <v/>
      </c>
      <c r="K162" s="313" t="str">
        <f>IF(AND(E162=Data!R161,Data!AE161&lt;&gt;""),Data!AE161,"")</f>
        <v/>
      </c>
      <c r="L162" s="318">
        <f>IF(E162=Data!R163,Data!AI163,"")</f>
        <v>0</v>
      </c>
      <c r="M162" s="318">
        <f>IF(E162=Data!R163,Data!AJ163,"")</f>
        <v>0</v>
      </c>
      <c r="N162" s="437" t="str">
        <f>IF(AND(Data!R163&lt;&gt;"",Data!L163="Accepté"),Data!K163,"")</f>
        <v/>
      </c>
    </row>
    <row r="163" spans="1:14" hidden="1" x14ac:dyDescent="0.3">
      <c r="A163" s="393" t="str">
        <f>IF(AND(Data!R162&lt;&gt;"",Data!L162="Accepté"),Data!G162,"")</f>
        <v/>
      </c>
      <c r="B163" s="393" t="str">
        <f>IF(AND(Data!R162&lt;&gt;"",Data!L162="Accepté"),Data!L162,"")</f>
        <v/>
      </c>
      <c r="C163" s="391" t="str">
        <f t="shared" si="6"/>
        <v/>
      </c>
      <c r="D163" s="392" t="str">
        <f>IF(AND(Data!Q162&lt;&gt;"",Data!L162="Accepté"),Data!Q162,"")</f>
        <v/>
      </c>
      <c r="E163" s="237" t="str">
        <f>IF(AND(Data!R162&lt;&gt;"",Data!L162="Accepté"),Data!R162,"")</f>
        <v/>
      </c>
      <c r="F163" s="326" t="str">
        <f>IF(AND(Data!R162&lt;&gt;"",Data!L162="Accepté"),Data!S162,"")</f>
        <v/>
      </c>
      <c r="G163" s="322">
        <f>IF(Data!R162='Delivery Plan'!E163,Data!U162,"")</f>
        <v>0</v>
      </c>
      <c r="H163" s="259"/>
      <c r="I163" s="391" t="str">
        <f t="shared" si="7"/>
        <v/>
      </c>
      <c r="J163" s="392" t="str">
        <f>IF(AND(E163=Data!R162,Data!AA162&lt;&gt;""),Data!AA162,"")</f>
        <v/>
      </c>
      <c r="K163" s="313" t="str">
        <f>IF(AND(E163=Data!R162,Data!AE162&lt;&gt;""),Data!AE162,"")</f>
        <v/>
      </c>
      <c r="L163" s="318">
        <f>IF(E163=Data!R164,Data!AI164,"")</f>
        <v>0</v>
      </c>
      <c r="M163" s="318">
        <f>IF(E163=Data!R164,Data!AJ164,"")</f>
        <v>0</v>
      </c>
      <c r="N163" s="437" t="str">
        <f>IF(AND(Data!R164&lt;&gt;"",Data!L164="Accepté"),Data!K164,"")</f>
        <v/>
      </c>
    </row>
    <row r="164" spans="1:14" hidden="1" x14ac:dyDescent="0.3">
      <c r="A164" s="393" t="str">
        <f>IF(AND(Data!R163&lt;&gt;"",Data!L163="Accepté"),Data!G163,"")</f>
        <v/>
      </c>
      <c r="B164" s="393" t="str">
        <f>IF(AND(Data!R163&lt;&gt;"",Data!L163="Accepté"),Data!L163,"")</f>
        <v/>
      </c>
      <c r="C164" s="391" t="str">
        <f t="shared" si="6"/>
        <v/>
      </c>
      <c r="D164" s="392" t="str">
        <f>IF(AND(Data!Q163&lt;&gt;"",Data!L163="Accepté"),Data!Q163,"")</f>
        <v/>
      </c>
      <c r="E164" s="237" t="str">
        <f>IF(AND(Data!R163&lt;&gt;"",Data!L163="Accepté"),Data!R163,"")</f>
        <v/>
      </c>
      <c r="F164" s="326" t="str">
        <f>IF(AND(Data!R163&lt;&gt;"",Data!L163="Accepté"),Data!S163,"")</f>
        <v/>
      </c>
      <c r="G164" s="322">
        <f>IF(Data!R163='Delivery Plan'!E164,Data!U163,"")</f>
        <v>0</v>
      </c>
      <c r="H164" s="259"/>
      <c r="I164" s="391" t="str">
        <f t="shared" si="7"/>
        <v/>
      </c>
      <c r="J164" s="392" t="str">
        <f>IF(AND(E164=Data!R163,Data!AA163&lt;&gt;""),Data!AA163,"")</f>
        <v/>
      </c>
      <c r="K164" s="313" t="str">
        <f>IF(AND(E164=Data!R163,Data!AE163&lt;&gt;""),Data!AE163,"")</f>
        <v/>
      </c>
      <c r="L164" s="318">
        <f>IF(E164=Data!R165,Data!AI165,"")</f>
        <v>0</v>
      </c>
      <c r="M164" s="318">
        <f>IF(E164=Data!R165,Data!AJ165,"")</f>
        <v>0</v>
      </c>
      <c r="N164" s="437" t="str">
        <f>IF(AND(Data!R165&lt;&gt;"",Data!L165="Accepté"),Data!K165,"")</f>
        <v/>
      </c>
    </row>
    <row r="165" spans="1:14" hidden="1" x14ac:dyDescent="0.3">
      <c r="A165" s="393" t="str">
        <f>IF(AND(Data!R164&lt;&gt;"",Data!L164="Accepté"),Data!G164,"")</f>
        <v/>
      </c>
      <c r="B165" s="393" t="str">
        <f>IF(AND(Data!R164&lt;&gt;"",Data!L164="Accepté"),Data!L164,"")</f>
        <v/>
      </c>
      <c r="C165" s="391" t="str">
        <f t="shared" si="6"/>
        <v/>
      </c>
      <c r="D165" s="392" t="str">
        <f>IF(AND(Data!Q164&lt;&gt;"",Data!L164="Accepté"),Data!Q164,"")</f>
        <v/>
      </c>
      <c r="E165" s="237" t="str">
        <f>IF(AND(Data!R164&lt;&gt;"",Data!L164="Accepté"),Data!R164,"")</f>
        <v/>
      </c>
      <c r="F165" s="326" t="str">
        <f>IF(AND(Data!R164&lt;&gt;"",Data!L164="Accepté"),Data!S164,"")</f>
        <v/>
      </c>
      <c r="G165" s="322">
        <f>IF(Data!R164='Delivery Plan'!E165,Data!U164,"")</f>
        <v>0</v>
      </c>
      <c r="H165" s="259"/>
      <c r="I165" s="391" t="str">
        <f t="shared" si="7"/>
        <v/>
      </c>
      <c r="J165" s="392" t="str">
        <f>IF(AND(E165=Data!R164,Data!AA164&lt;&gt;""),Data!AA164,"")</f>
        <v/>
      </c>
      <c r="K165" s="313" t="str">
        <f>IF(AND(E165=Data!R164,Data!AE164&lt;&gt;""),Data!AE164,"")</f>
        <v/>
      </c>
      <c r="L165" s="318">
        <f>IF(E165=Data!R166,Data!AI166,"")</f>
        <v>0</v>
      </c>
      <c r="M165" s="318">
        <f>IF(E165=Data!R166,Data!AJ166,"")</f>
        <v>0</v>
      </c>
      <c r="N165" s="437" t="str">
        <f>IF(AND(Data!R166&lt;&gt;"",Data!L166="Accepté"),Data!K166,"")</f>
        <v/>
      </c>
    </row>
    <row r="166" spans="1:14" hidden="1" x14ac:dyDescent="0.3">
      <c r="A166" s="393" t="str">
        <f>IF(AND(Data!R165&lt;&gt;"",Data!L165="Accepté"),Data!G165,"")</f>
        <v/>
      </c>
      <c r="B166" s="393" t="str">
        <f>IF(AND(Data!R165&lt;&gt;"",Data!L165="Accepté"),Data!L165,"")</f>
        <v/>
      </c>
      <c r="C166" s="391" t="str">
        <f t="shared" si="6"/>
        <v/>
      </c>
      <c r="D166" s="392" t="str">
        <f>IF(AND(Data!Q165&lt;&gt;"",Data!L165="Accepté"),Data!Q165,"")</f>
        <v/>
      </c>
      <c r="E166" s="237" t="str">
        <f>IF(AND(Data!R165&lt;&gt;"",Data!L165="Accepté"),Data!R165,"")</f>
        <v/>
      </c>
      <c r="F166" s="326" t="str">
        <f>IF(AND(Data!R165&lt;&gt;"",Data!L165="Accepté"),Data!S165,"")</f>
        <v/>
      </c>
      <c r="G166" s="322">
        <f>IF(Data!R165='Delivery Plan'!E166,Data!U165,"")</f>
        <v>0</v>
      </c>
      <c r="H166" s="259"/>
      <c r="I166" s="391" t="str">
        <f t="shared" si="7"/>
        <v/>
      </c>
      <c r="J166" s="392" t="str">
        <f>IF(AND(E166=Data!R165,Data!AA165&lt;&gt;""),Data!AA165,"")</f>
        <v/>
      </c>
      <c r="K166" s="313" t="str">
        <f>IF(AND(E166=Data!R165,Data!AE165&lt;&gt;""),Data!AE165,"")</f>
        <v/>
      </c>
      <c r="L166" s="318">
        <f>IF(E166=Data!R167,Data!AI167,"")</f>
        <v>0</v>
      </c>
      <c r="M166" s="318">
        <f>IF(E166=Data!R167,Data!AJ167,"")</f>
        <v>0</v>
      </c>
      <c r="N166" s="437" t="str">
        <f>IF(AND(Data!R167&lt;&gt;"",Data!L167="Accepté"),Data!K167,"")</f>
        <v/>
      </c>
    </row>
    <row r="167" spans="1:14" hidden="1" x14ac:dyDescent="0.3">
      <c r="A167" s="393" t="str">
        <f>IF(AND(Data!R166&lt;&gt;"",Data!L166="Accepté"),Data!G166,"")</f>
        <v/>
      </c>
      <c r="B167" s="393" t="str">
        <f>IF(AND(Data!R166&lt;&gt;"",Data!L166="Accepté"),Data!L166,"")</f>
        <v/>
      </c>
      <c r="C167" s="391" t="str">
        <f t="shared" si="6"/>
        <v/>
      </c>
      <c r="D167" s="392" t="str">
        <f>IF(AND(Data!Q166&lt;&gt;"",Data!L166="Accepté"),Data!Q166,"")</f>
        <v/>
      </c>
      <c r="E167" s="237" t="str">
        <f>IF(AND(Data!R166&lt;&gt;"",Data!L166="Accepté"),Data!R166,"")</f>
        <v/>
      </c>
      <c r="F167" s="326" t="str">
        <f>IF(AND(Data!R166&lt;&gt;"",Data!L166="Accepté"),Data!S166,"")</f>
        <v/>
      </c>
      <c r="G167" s="322">
        <f>IF(Data!R166='Delivery Plan'!E167,Data!U166,"")</f>
        <v>0</v>
      </c>
      <c r="H167" s="259"/>
      <c r="I167" s="391" t="str">
        <f t="shared" si="7"/>
        <v/>
      </c>
      <c r="J167" s="392" t="str">
        <f>IF(AND(E167=Data!R166,Data!AA166&lt;&gt;""),Data!AA166,"")</f>
        <v/>
      </c>
      <c r="K167" s="313" t="str">
        <f>IF(AND(E167=Data!R166,Data!AE166&lt;&gt;""),Data!AE166,"")</f>
        <v/>
      </c>
      <c r="L167" s="318">
        <f>IF(E167=Data!R168,Data!AI168,"")</f>
        <v>0</v>
      </c>
      <c r="M167" s="318">
        <f>IF(E167=Data!R168,Data!AJ168,"")</f>
        <v>0</v>
      </c>
      <c r="N167" s="437" t="str">
        <f>IF(AND(Data!R168&lt;&gt;"",Data!L168="Accepté"),Data!K168,"")</f>
        <v/>
      </c>
    </row>
    <row r="168" spans="1:14" hidden="1" x14ac:dyDescent="0.3">
      <c r="A168" s="393" t="str">
        <f>IF(AND(Data!R167&lt;&gt;"",Data!L167="Accepté"),Data!G167,"")</f>
        <v/>
      </c>
      <c r="B168" s="393" t="str">
        <f>IF(AND(Data!R167&lt;&gt;"",Data!L167="Accepté"),Data!L167,"")</f>
        <v/>
      </c>
      <c r="C168" s="391" t="str">
        <f t="shared" si="6"/>
        <v/>
      </c>
      <c r="D168" s="392" t="str">
        <f>IF(AND(Data!Q167&lt;&gt;"",Data!L167="Accepté"),Data!Q167,"")</f>
        <v/>
      </c>
      <c r="E168" s="237" t="str">
        <f>IF(AND(Data!R167&lt;&gt;"",Data!L167="Accepté"),Data!R167,"")</f>
        <v/>
      </c>
      <c r="F168" s="326" t="str">
        <f>IF(AND(Data!R167&lt;&gt;"",Data!L167="Accepté"),Data!S167,"")</f>
        <v/>
      </c>
      <c r="G168" s="322">
        <f>IF(Data!R167='Delivery Plan'!E168,Data!U167,"")</f>
        <v>0</v>
      </c>
      <c r="H168" s="259"/>
      <c r="I168" s="391" t="str">
        <f t="shared" si="7"/>
        <v/>
      </c>
      <c r="J168" s="392" t="str">
        <f>IF(AND(E168=Data!R167,Data!AA167&lt;&gt;""),Data!AA167,"")</f>
        <v/>
      </c>
      <c r="K168" s="313" t="str">
        <f>IF(AND(E168=Data!R167,Data!AE167&lt;&gt;""),Data!AE167,"")</f>
        <v/>
      </c>
      <c r="L168" s="318">
        <f>IF(E168=Data!R169,Data!AI169,"")</f>
        <v>0</v>
      </c>
      <c r="M168" s="318">
        <f>IF(E168=Data!R169,Data!AJ169,"")</f>
        <v>0</v>
      </c>
      <c r="N168" s="437" t="str">
        <f>IF(AND(Data!R169&lt;&gt;"",Data!L169="Accepté"),Data!K169,"")</f>
        <v/>
      </c>
    </row>
    <row r="169" spans="1:14" hidden="1" x14ac:dyDescent="0.3">
      <c r="A169" s="393" t="str">
        <f>IF(AND(Data!R168&lt;&gt;"",Data!L168="Accepté"),Data!G168,"")</f>
        <v/>
      </c>
      <c r="B169" s="393" t="str">
        <f>IF(AND(Data!R168&lt;&gt;"",Data!L168="Accepté"),Data!L168,"")</f>
        <v/>
      </c>
      <c r="C169" s="391" t="str">
        <f t="shared" si="6"/>
        <v/>
      </c>
      <c r="D169" s="392" t="str">
        <f>IF(AND(Data!Q168&lt;&gt;"",Data!L168="Accepté"),Data!Q168,"")</f>
        <v/>
      </c>
      <c r="E169" s="237" t="str">
        <f>IF(AND(Data!R168&lt;&gt;"",Data!L168="Accepté"),Data!R168,"")</f>
        <v/>
      </c>
      <c r="F169" s="326" t="str">
        <f>IF(AND(Data!R168&lt;&gt;"",Data!L168="Accepté"),Data!S168,"")</f>
        <v/>
      </c>
      <c r="G169" s="322">
        <f>IF(Data!R168='Delivery Plan'!E169,Data!U168,"")</f>
        <v>0</v>
      </c>
      <c r="H169" s="259"/>
      <c r="I169" s="391" t="str">
        <f t="shared" si="7"/>
        <v/>
      </c>
      <c r="J169" s="392" t="str">
        <f>IF(AND(E169=Data!R168,Data!AA168&lt;&gt;""),Data!AA168,"")</f>
        <v/>
      </c>
      <c r="K169" s="313" t="str">
        <f>IF(AND(E169=Data!R168,Data!AE168&lt;&gt;""),Data!AE168,"")</f>
        <v/>
      </c>
      <c r="L169" s="318">
        <f>IF(E169=Data!R170,Data!AI170,"")</f>
        <v>0</v>
      </c>
      <c r="M169" s="318">
        <f>IF(E169=Data!R170,Data!AJ170,"")</f>
        <v>0</v>
      </c>
      <c r="N169" s="437" t="str">
        <f>IF(AND(Data!R170&lt;&gt;"",Data!L170="Accepté"),Data!K170,"")</f>
        <v/>
      </c>
    </row>
    <row r="170" spans="1:14" hidden="1" x14ac:dyDescent="0.3">
      <c r="A170" s="393" t="str">
        <f>IF(AND(Data!R169&lt;&gt;"",Data!L169="Accepté"),Data!G169,"")</f>
        <v/>
      </c>
      <c r="B170" s="393" t="str">
        <f>IF(AND(Data!R169&lt;&gt;"",Data!L169="Accepté"),Data!L169,"")</f>
        <v/>
      </c>
      <c r="C170" s="391" t="str">
        <f t="shared" si="6"/>
        <v/>
      </c>
      <c r="D170" s="392" t="str">
        <f>IF(AND(Data!Q169&lt;&gt;"",Data!L169="Accepté"),Data!Q169,"")</f>
        <v/>
      </c>
      <c r="E170" s="237" t="str">
        <f>IF(AND(Data!R169&lt;&gt;"",Data!L169="Accepté"),Data!R169,"")</f>
        <v/>
      </c>
      <c r="F170" s="326" t="str">
        <f>IF(AND(Data!R169&lt;&gt;"",Data!L169="Accepté"),Data!S169,"")</f>
        <v/>
      </c>
      <c r="G170" s="322">
        <f>IF(Data!R169='Delivery Plan'!E170,Data!U169,"")</f>
        <v>0</v>
      </c>
      <c r="H170" s="259"/>
      <c r="I170" s="391" t="str">
        <f t="shared" si="7"/>
        <v/>
      </c>
      <c r="J170" s="392" t="str">
        <f>IF(AND(E170=Data!R169,Data!AA169&lt;&gt;""),Data!AA169,"")</f>
        <v/>
      </c>
      <c r="K170" s="313" t="str">
        <f>IF(AND(E170=Data!R169,Data!AE169&lt;&gt;""),Data!AE169,"")</f>
        <v/>
      </c>
      <c r="L170" s="318">
        <f>IF(E170=Data!R171,Data!AI171,"")</f>
        <v>0</v>
      </c>
      <c r="M170" s="318">
        <f>IF(E170=Data!R171,Data!AJ171,"")</f>
        <v>0</v>
      </c>
      <c r="N170" s="437" t="str">
        <f>IF(AND(Data!R171&lt;&gt;"",Data!L171="Accepté"),Data!K171,"")</f>
        <v/>
      </c>
    </row>
    <row r="171" spans="1:14" hidden="1" x14ac:dyDescent="0.3">
      <c r="A171" s="393" t="str">
        <f>IF(AND(Data!R170&lt;&gt;"",Data!L170="Accepté"),Data!G170,"")</f>
        <v/>
      </c>
      <c r="B171" s="393" t="str">
        <f>IF(AND(Data!R170&lt;&gt;"",Data!L170="Accepté"),Data!L170,"")</f>
        <v/>
      </c>
      <c r="C171" s="391" t="str">
        <f t="shared" si="6"/>
        <v/>
      </c>
      <c r="D171" s="392" t="str">
        <f>IF(AND(Data!Q170&lt;&gt;"",Data!L170="Accepté"),Data!Q170,"")</f>
        <v/>
      </c>
      <c r="E171" s="237" t="str">
        <f>IF(AND(Data!R170&lt;&gt;"",Data!L170="Accepté"),Data!R170,"")</f>
        <v/>
      </c>
      <c r="F171" s="326" t="str">
        <f>IF(AND(Data!R170&lt;&gt;"",Data!L170="Accepté"),Data!S170,"")</f>
        <v/>
      </c>
      <c r="G171" s="322">
        <f>IF(Data!R170='Delivery Plan'!E171,Data!U170,"")</f>
        <v>0</v>
      </c>
      <c r="H171" s="259"/>
      <c r="I171" s="391" t="str">
        <f t="shared" si="7"/>
        <v/>
      </c>
      <c r="J171" s="392" t="str">
        <f>IF(AND(E171=Data!R170,Data!AA170&lt;&gt;""),Data!AA170,"")</f>
        <v/>
      </c>
      <c r="K171" s="313" t="str">
        <f>IF(AND(E171=Data!R170,Data!AE170&lt;&gt;""),Data!AE170,"")</f>
        <v/>
      </c>
      <c r="L171" s="318">
        <f>IF(E171=Data!R172,Data!AI172,"")</f>
        <v>0</v>
      </c>
      <c r="M171" s="318">
        <f>IF(E171=Data!R172,Data!AJ172,"")</f>
        <v>0</v>
      </c>
      <c r="N171" s="437" t="str">
        <f>IF(AND(Data!R172&lt;&gt;"",Data!L172="Accepté"),Data!K172,"")</f>
        <v/>
      </c>
    </row>
    <row r="172" spans="1:14" hidden="1" x14ac:dyDescent="0.3">
      <c r="A172" s="393" t="str">
        <f>IF(AND(Data!R171&lt;&gt;"",Data!L171="Accepté"),Data!G171,"")</f>
        <v/>
      </c>
      <c r="B172" s="393" t="str">
        <f>IF(AND(Data!R171&lt;&gt;"",Data!L171="Accepté"),Data!L171,"")</f>
        <v/>
      </c>
      <c r="C172" s="391" t="str">
        <f t="shared" si="6"/>
        <v/>
      </c>
      <c r="D172" s="392" t="str">
        <f>IF(AND(Data!Q171&lt;&gt;"",Data!L171="Accepté"),Data!Q171,"")</f>
        <v/>
      </c>
      <c r="E172" s="237" t="str">
        <f>IF(AND(Data!R171&lt;&gt;"",Data!L171="Accepté"),Data!R171,"")</f>
        <v/>
      </c>
      <c r="F172" s="326" t="str">
        <f>IF(AND(Data!R171&lt;&gt;"",Data!L171="Accepté"),Data!S171,"")</f>
        <v/>
      </c>
      <c r="G172" s="322">
        <f>IF(Data!R171='Delivery Plan'!E172,Data!U171,"")</f>
        <v>0</v>
      </c>
      <c r="H172" s="259"/>
      <c r="I172" s="391" t="str">
        <f t="shared" si="7"/>
        <v/>
      </c>
      <c r="J172" s="392" t="str">
        <f>IF(AND(E172=Data!R171,Data!AA171&lt;&gt;""),Data!AA171,"")</f>
        <v/>
      </c>
      <c r="K172" s="313" t="str">
        <f>IF(AND(E172=Data!R171,Data!AE171&lt;&gt;""),Data!AE171,"")</f>
        <v/>
      </c>
      <c r="L172" s="318">
        <f>IF(E172=Data!R173,Data!AI173,"")</f>
        <v>0</v>
      </c>
      <c r="M172" s="318">
        <f>IF(E172=Data!R173,Data!AJ173,"")</f>
        <v>0</v>
      </c>
      <c r="N172" s="437" t="str">
        <f>IF(AND(Data!R173&lt;&gt;"",Data!L173="Accepté"),Data!K173,"")</f>
        <v/>
      </c>
    </row>
    <row r="173" spans="1:14" hidden="1" x14ac:dyDescent="0.3">
      <c r="A173" s="393" t="str">
        <f>IF(AND(Data!R172&lt;&gt;"",Data!L172="Accepté"),Data!G172,"")</f>
        <v/>
      </c>
      <c r="B173" s="393" t="str">
        <f>IF(AND(Data!R172&lt;&gt;"",Data!L172="Accepté"),Data!L172,"")</f>
        <v/>
      </c>
      <c r="C173" s="391" t="str">
        <f t="shared" si="6"/>
        <v/>
      </c>
      <c r="D173" s="392" t="str">
        <f>IF(AND(Data!Q172&lt;&gt;"",Data!L172="Accepté"),Data!Q172,"")</f>
        <v/>
      </c>
      <c r="E173" s="237" t="str">
        <f>IF(AND(Data!R172&lt;&gt;"",Data!L172="Accepté"),Data!R172,"")</f>
        <v/>
      </c>
      <c r="F173" s="326" t="str">
        <f>IF(AND(Data!R172&lt;&gt;"",Data!L172="Accepté"),Data!S172,"")</f>
        <v/>
      </c>
      <c r="G173" s="322">
        <f>IF(Data!R172='Delivery Plan'!E173,Data!U172,"")</f>
        <v>0</v>
      </c>
      <c r="H173" s="259"/>
      <c r="I173" s="391" t="str">
        <f t="shared" si="7"/>
        <v/>
      </c>
      <c r="J173" s="392" t="str">
        <f>IF(AND(E173=Data!R172,Data!AA172&lt;&gt;""),Data!AA172,"")</f>
        <v/>
      </c>
      <c r="K173" s="313" t="str">
        <f>IF(AND(E173=Data!R172,Data!AE172&lt;&gt;""),Data!AE172,"")</f>
        <v/>
      </c>
      <c r="L173" s="318">
        <f>IF(E173=Data!R174,Data!AI174,"")</f>
        <v>0</v>
      </c>
      <c r="M173" s="318">
        <f>IF(E173=Data!R174,Data!AJ174,"")</f>
        <v>0</v>
      </c>
      <c r="N173" s="437" t="str">
        <f>IF(AND(Data!R174&lt;&gt;"",Data!L174="Accepté"),Data!K174,"")</f>
        <v/>
      </c>
    </row>
    <row r="174" spans="1:14" hidden="1" x14ac:dyDescent="0.3">
      <c r="A174" s="393" t="str">
        <f>IF(AND(Data!R173&lt;&gt;"",Data!L173="Accepté"),Data!G173,"")</f>
        <v/>
      </c>
      <c r="B174" s="393" t="str">
        <f>IF(AND(Data!R173&lt;&gt;"",Data!L173="Accepté"),Data!L173,"")</f>
        <v/>
      </c>
      <c r="C174" s="391" t="str">
        <f t="shared" si="6"/>
        <v/>
      </c>
      <c r="D174" s="392" t="str">
        <f>IF(AND(Data!Q173&lt;&gt;"",Data!L173="Accepté"),Data!Q173,"")</f>
        <v/>
      </c>
      <c r="E174" s="237" t="str">
        <f>IF(AND(Data!R173&lt;&gt;"",Data!L173="Accepté"),Data!R173,"")</f>
        <v/>
      </c>
      <c r="F174" s="326" t="str">
        <f>IF(AND(Data!R173&lt;&gt;"",Data!L173="Accepté"),Data!S173,"")</f>
        <v/>
      </c>
      <c r="G174" s="322">
        <f>IF(Data!R173='Delivery Plan'!E174,Data!U173,"")</f>
        <v>0</v>
      </c>
      <c r="H174" s="259"/>
      <c r="I174" s="391" t="str">
        <f t="shared" si="7"/>
        <v/>
      </c>
      <c r="J174" s="392" t="str">
        <f>IF(AND(E174=Data!R173,Data!AA173&lt;&gt;""),Data!AA173,"")</f>
        <v/>
      </c>
      <c r="K174" s="313" t="str">
        <f>IF(AND(E174=Data!R173,Data!AE173&lt;&gt;""),Data!AE173,"")</f>
        <v/>
      </c>
      <c r="L174" s="318">
        <f>IF(E174=Data!R175,Data!AI175,"")</f>
        <v>0</v>
      </c>
      <c r="M174" s="318">
        <f>IF(E174=Data!R175,Data!AJ175,"")</f>
        <v>0</v>
      </c>
      <c r="N174" s="437" t="str">
        <f>IF(AND(Data!R175&lt;&gt;"",Data!L175="Accepté"),Data!K175,"")</f>
        <v/>
      </c>
    </row>
    <row r="175" spans="1:14" hidden="1" x14ac:dyDescent="0.3">
      <c r="A175" s="393" t="str">
        <f>IF(AND(Data!R174&lt;&gt;"",Data!L174="Accepté"),Data!G174,"")</f>
        <v/>
      </c>
      <c r="B175" s="393" t="str">
        <f>IF(AND(Data!R174&lt;&gt;"",Data!L174="Accepté"),Data!L174,"")</f>
        <v/>
      </c>
      <c r="C175" s="391" t="str">
        <f t="shared" si="6"/>
        <v/>
      </c>
      <c r="D175" s="392" t="str">
        <f>IF(AND(Data!Q174&lt;&gt;"",Data!L174="Accepté"),Data!Q174,"")</f>
        <v/>
      </c>
      <c r="E175" s="237" t="str">
        <f>IF(AND(Data!R174&lt;&gt;"",Data!L174="Accepté"),Data!R174,"")</f>
        <v/>
      </c>
      <c r="F175" s="326" t="str">
        <f>IF(AND(Data!R174&lt;&gt;"",Data!L174="Accepté"),Data!S174,"")</f>
        <v/>
      </c>
      <c r="G175" s="322">
        <f>IF(Data!R174='Delivery Plan'!E175,Data!U174,"")</f>
        <v>0</v>
      </c>
      <c r="H175" s="259"/>
      <c r="I175" s="391" t="str">
        <f t="shared" si="7"/>
        <v/>
      </c>
      <c r="J175" s="392" t="str">
        <f>IF(AND(E175=Data!R174,Data!AA174&lt;&gt;""),Data!AA174,"")</f>
        <v/>
      </c>
      <c r="K175" s="313" t="str">
        <f>IF(AND(E175=Data!R174,Data!AE174&lt;&gt;""),Data!AE174,"")</f>
        <v/>
      </c>
      <c r="L175" s="318">
        <f>IF(E175=Data!R176,Data!AI176,"")</f>
        <v>0</v>
      </c>
      <c r="M175" s="318">
        <f>IF(E175=Data!R176,Data!AJ176,"")</f>
        <v>0</v>
      </c>
      <c r="N175" s="437" t="str">
        <f>IF(AND(Data!R176&lt;&gt;"",Data!L176="Accepté"),Data!K176,"")</f>
        <v/>
      </c>
    </row>
    <row r="176" spans="1:14" hidden="1" x14ac:dyDescent="0.3">
      <c r="A176" s="393" t="str">
        <f>IF(AND(Data!R175&lt;&gt;"",Data!L175="Accepté"),Data!G175,"")</f>
        <v/>
      </c>
      <c r="B176" s="393" t="str">
        <f>IF(AND(Data!R175&lt;&gt;"",Data!L175="Accepté"),Data!L175,"")</f>
        <v/>
      </c>
      <c r="C176" s="391" t="str">
        <f t="shared" si="6"/>
        <v/>
      </c>
      <c r="D176" s="392" t="str">
        <f>IF(AND(Data!Q175&lt;&gt;"",Data!L175="Accepté"),Data!Q175,"")</f>
        <v/>
      </c>
      <c r="E176" s="237" t="str">
        <f>IF(AND(Data!R175&lt;&gt;"",Data!L175="Accepté"),Data!R175,"")</f>
        <v/>
      </c>
      <c r="F176" s="326" t="str">
        <f>IF(AND(Data!R175&lt;&gt;"",Data!L175="Accepté"),Data!S175,"")</f>
        <v/>
      </c>
      <c r="G176" s="322">
        <f>IF(Data!R175='Delivery Plan'!E176,Data!U175,"")</f>
        <v>0</v>
      </c>
      <c r="H176" s="259"/>
      <c r="I176" s="391" t="str">
        <f t="shared" si="7"/>
        <v/>
      </c>
      <c r="J176" s="392" t="str">
        <f>IF(AND(E176=Data!R175,Data!AA175&lt;&gt;""),Data!AA175,"")</f>
        <v/>
      </c>
      <c r="K176" s="313" t="str">
        <f>IF(AND(E176=Data!R175,Data!AE175&lt;&gt;""),Data!AE175,"")</f>
        <v/>
      </c>
      <c r="L176" s="318">
        <f>IF(E176=Data!R177,Data!AI177,"")</f>
        <v>0</v>
      </c>
      <c r="M176" s="318">
        <f>IF(E176=Data!R177,Data!AJ177,"")</f>
        <v>0</v>
      </c>
      <c r="N176" s="437" t="str">
        <f>IF(AND(Data!R177&lt;&gt;"",Data!L177="Accepté"),Data!K177,"")</f>
        <v/>
      </c>
    </row>
    <row r="177" spans="1:14" hidden="1" x14ac:dyDescent="0.3">
      <c r="A177" s="393" t="str">
        <f>IF(AND(Data!R176&lt;&gt;"",Data!L176="Accepté"),Data!G176,"")</f>
        <v/>
      </c>
      <c r="B177" s="393" t="str">
        <f>IF(AND(Data!R176&lt;&gt;"",Data!L176="Accepté"),Data!L176,"")</f>
        <v/>
      </c>
      <c r="C177" s="391" t="str">
        <f t="shared" si="6"/>
        <v/>
      </c>
      <c r="D177" s="392" t="str">
        <f>IF(AND(Data!Q176&lt;&gt;"",Data!L176="Accepté"),Data!Q176,"")</f>
        <v/>
      </c>
      <c r="E177" s="237" t="str">
        <f>IF(AND(Data!R176&lt;&gt;"",Data!L176="Accepté"),Data!R176,"")</f>
        <v/>
      </c>
      <c r="F177" s="326" t="str">
        <f>IF(AND(Data!R176&lt;&gt;"",Data!L176="Accepté"),Data!S176,"")</f>
        <v/>
      </c>
      <c r="G177" s="322">
        <f>IF(Data!R176='Delivery Plan'!E177,Data!U176,"")</f>
        <v>0</v>
      </c>
      <c r="H177" s="259"/>
      <c r="I177" s="391" t="str">
        <f t="shared" si="7"/>
        <v/>
      </c>
      <c r="J177" s="392" t="str">
        <f>IF(AND(E177=Data!R176,Data!AA176&lt;&gt;""),Data!AA176,"")</f>
        <v/>
      </c>
      <c r="K177" s="313" t="str">
        <f>IF(AND(E177=Data!R176,Data!AE176&lt;&gt;""),Data!AE176,"")</f>
        <v/>
      </c>
      <c r="L177" s="318">
        <f>IF(E177=Data!R178,Data!AI178,"")</f>
        <v>0</v>
      </c>
      <c r="M177" s="318">
        <f>IF(E177=Data!R178,Data!AJ178,"")</f>
        <v>0</v>
      </c>
      <c r="N177" s="437" t="str">
        <f>IF(AND(Data!R178&lt;&gt;"",Data!L178="Accepté"),Data!K178,"")</f>
        <v/>
      </c>
    </row>
    <row r="178" spans="1:14" hidden="1" x14ac:dyDescent="0.3">
      <c r="A178" s="393" t="str">
        <f>IF(AND(Data!R177&lt;&gt;"",Data!L177="Accepté"),Data!G177,"")</f>
        <v/>
      </c>
      <c r="B178" s="393" t="str">
        <f>IF(AND(Data!R177&lt;&gt;"",Data!L177="Accepté"),Data!L177,"")</f>
        <v/>
      </c>
      <c r="C178" s="391" t="str">
        <f t="shared" si="6"/>
        <v/>
      </c>
      <c r="D178" s="392" t="str">
        <f>IF(AND(Data!Q177&lt;&gt;"",Data!L177="Accepté"),Data!Q177,"")</f>
        <v/>
      </c>
      <c r="E178" s="237" t="str">
        <f>IF(AND(Data!R177&lt;&gt;"",Data!L177="Accepté"),Data!R177,"")</f>
        <v/>
      </c>
      <c r="F178" s="326" t="str">
        <f>IF(AND(Data!R177&lt;&gt;"",Data!L177="Accepté"),Data!S177,"")</f>
        <v/>
      </c>
      <c r="G178" s="322">
        <f>IF(Data!R177='Delivery Plan'!E178,Data!U177,"")</f>
        <v>0</v>
      </c>
      <c r="H178" s="259"/>
      <c r="I178" s="391" t="str">
        <f t="shared" si="7"/>
        <v/>
      </c>
      <c r="J178" s="392" t="str">
        <f>IF(AND(E178=Data!R177,Data!AA177&lt;&gt;""),Data!AA177,"")</f>
        <v/>
      </c>
      <c r="K178" s="313" t="str">
        <f>IF(AND(E178=Data!R177,Data!AE177&lt;&gt;""),Data!AE177,"")</f>
        <v/>
      </c>
      <c r="L178" s="318">
        <f>IF(E178=Data!R179,Data!AI179,"")</f>
        <v>0</v>
      </c>
      <c r="M178" s="318">
        <f>IF(E178=Data!R179,Data!AJ179,"")</f>
        <v>0</v>
      </c>
      <c r="N178" s="437" t="str">
        <f>IF(AND(Data!R179&lt;&gt;"",Data!L179="Accepté"),Data!K179,"")</f>
        <v/>
      </c>
    </row>
    <row r="179" spans="1:14" hidden="1" x14ac:dyDescent="0.3">
      <c r="A179" s="393" t="str">
        <f>IF(AND(Data!R178&lt;&gt;"",Data!L178="Accepté"),Data!G178,"")</f>
        <v/>
      </c>
      <c r="B179" s="393" t="str">
        <f>IF(AND(Data!R178&lt;&gt;"",Data!L178="Accepté"),Data!L178,"")</f>
        <v/>
      </c>
      <c r="C179" s="391" t="str">
        <f t="shared" si="6"/>
        <v/>
      </c>
      <c r="D179" s="392" t="str">
        <f>IF(AND(Data!Q178&lt;&gt;"",Data!L178="Accepté"),Data!Q178,"")</f>
        <v/>
      </c>
      <c r="E179" s="237" t="str">
        <f>IF(AND(Data!R178&lt;&gt;"",Data!L178="Accepté"),Data!R178,"")</f>
        <v/>
      </c>
      <c r="F179" s="326" t="str">
        <f>IF(AND(Data!R178&lt;&gt;"",Data!L178="Accepté"),Data!S178,"")</f>
        <v/>
      </c>
      <c r="G179" s="322">
        <f>IF(Data!R178='Delivery Plan'!E179,Data!U178,"")</f>
        <v>0</v>
      </c>
      <c r="H179" s="259"/>
      <c r="I179" s="391" t="str">
        <f t="shared" si="7"/>
        <v/>
      </c>
      <c r="J179" s="392" t="str">
        <f>IF(AND(E179=Data!R178,Data!AA178&lt;&gt;""),Data!AA178,"")</f>
        <v/>
      </c>
      <c r="K179" s="313" t="str">
        <f>IF(AND(E179=Data!R178,Data!AE178&lt;&gt;""),Data!AE178,"")</f>
        <v/>
      </c>
      <c r="L179" s="318">
        <f>IF(E179=Data!R180,Data!AI180,"")</f>
        <v>0</v>
      </c>
      <c r="M179" s="318">
        <f>IF(E179=Data!R180,Data!AJ180,"")</f>
        <v>0</v>
      </c>
      <c r="N179" s="437" t="str">
        <f>IF(AND(Data!R180&lt;&gt;"",Data!L180="Accepté"),Data!K180,"")</f>
        <v/>
      </c>
    </row>
    <row r="180" spans="1:14" hidden="1" x14ac:dyDescent="0.3">
      <c r="A180" s="393" t="str">
        <f>IF(AND(Data!R179&lt;&gt;"",Data!L179="Accepté"),Data!G179,"")</f>
        <v/>
      </c>
      <c r="B180" s="393" t="str">
        <f>IF(AND(Data!R179&lt;&gt;"",Data!L179="Accepté"),Data!L179,"")</f>
        <v/>
      </c>
      <c r="C180" s="391" t="str">
        <f t="shared" si="6"/>
        <v/>
      </c>
      <c r="D180" s="392" t="str">
        <f>IF(AND(Data!Q179&lt;&gt;"",Data!L179="Accepté"),Data!Q179,"")</f>
        <v/>
      </c>
      <c r="E180" s="237" t="str">
        <f>IF(AND(Data!R179&lt;&gt;"",Data!L179="Accepté"),Data!R179,"")</f>
        <v/>
      </c>
      <c r="F180" s="326" t="str">
        <f>IF(AND(Data!R179&lt;&gt;"",Data!L179="Accepté"),Data!S179,"")</f>
        <v/>
      </c>
      <c r="G180" s="322">
        <f>IF(Data!R179='Delivery Plan'!E180,Data!U179,"")</f>
        <v>0</v>
      </c>
      <c r="H180" s="259"/>
      <c r="I180" s="391" t="str">
        <f t="shared" si="7"/>
        <v/>
      </c>
      <c r="J180" s="392" t="str">
        <f>IF(AND(E180=Data!R179,Data!AA179&lt;&gt;""),Data!AA179,"")</f>
        <v/>
      </c>
      <c r="K180" s="313" t="str">
        <f>IF(AND(E180=Data!R179,Data!AE179&lt;&gt;""),Data!AE179,"")</f>
        <v/>
      </c>
      <c r="L180" s="318">
        <f>IF(E180=Data!R181,Data!AI181,"")</f>
        <v>0</v>
      </c>
      <c r="M180" s="318">
        <f>IF(E180=Data!R181,Data!AJ181,"")</f>
        <v>0</v>
      </c>
      <c r="N180" s="437" t="str">
        <f>IF(AND(Data!R181&lt;&gt;"",Data!L181="Accepté"),Data!K181,"")</f>
        <v/>
      </c>
    </row>
    <row r="181" spans="1:14" hidden="1" x14ac:dyDescent="0.3">
      <c r="A181" s="393" t="str">
        <f>IF(AND(Data!R180&lt;&gt;"",Data!L180="Accepté"),Data!G180,"")</f>
        <v/>
      </c>
      <c r="B181" s="393" t="str">
        <f>IF(AND(Data!R180&lt;&gt;"",Data!L180="Accepté"),Data!L180,"")</f>
        <v/>
      </c>
      <c r="C181" s="391" t="str">
        <f t="shared" si="6"/>
        <v/>
      </c>
      <c r="D181" s="392" t="str">
        <f>IF(AND(Data!Q180&lt;&gt;"",Data!L180="Accepté"),Data!Q180,"")</f>
        <v/>
      </c>
      <c r="E181" s="237" t="str">
        <f>IF(AND(Data!R180&lt;&gt;"",Data!L180="Accepté"),Data!R180,"")</f>
        <v/>
      </c>
      <c r="F181" s="326" t="str">
        <f>IF(AND(Data!R180&lt;&gt;"",Data!L180="Accepté"),Data!S180,"")</f>
        <v/>
      </c>
      <c r="G181" s="322">
        <f>IF(Data!R180='Delivery Plan'!E181,Data!U180,"")</f>
        <v>0</v>
      </c>
      <c r="H181" s="259"/>
      <c r="I181" s="391" t="str">
        <f t="shared" si="7"/>
        <v/>
      </c>
      <c r="J181" s="392" t="str">
        <f>IF(AND(E181=Data!R180,Data!AA180&lt;&gt;""),Data!AA180,"")</f>
        <v/>
      </c>
      <c r="K181" s="313" t="str">
        <f>IF(AND(E181=Data!R180,Data!AE180&lt;&gt;""),Data!AE180,"")</f>
        <v/>
      </c>
      <c r="L181" s="318">
        <f>IF(E181=Data!R182,Data!AI182,"")</f>
        <v>0</v>
      </c>
      <c r="M181" s="318">
        <f>IF(E181=Data!R182,Data!AJ182,"")</f>
        <v>0</v>
      </c>
      <c r="N181" s="437" t="str">
        <f>IF(AND(Data!R182&lt;&gt;"",Data!L182="Accepté"),Data!K182,"")</f>
        <v/>
      </c>
    </row>
    <row r="182" spans="1:14" hidden="1" x14ac:dyDescent="0.3">
      <c r="A182" s="393" t="str">
        <f>IF(AND(Data!R181&lt;&gt;"",Data!L181="Accepté"),Data!G181,"")</f>
        <v/>
      </c>
      <c r="B182" s="393" t="str">
        <f>IF(AND(Data!R181&lt;&gt;"",Data!L181="Accepté"),Data!L181,"")</f>
        <v/>
      </c>
      <c r="C182" s="391" t="str">
        <f t="shared" si="6"/>
        <v/>
      </c>
      <c r="D182" s="392" t="str">
        <f>IF(AND(Data!Q181&lt;&gt;"",Data!L181="Accepté"),Data!Q181,"")</f>
        <v/>
      </c>
      <c r="E182" s="237" t="str">
        <f>IF(AND(Data!R181&lt;&gt;"",Data!L181="Accepté"),Data!R181,"")</f>
        <v/>
      </c>
      <c r="F182" s="326" t="str">
        <f>IF(AND(Data!R181&lt;&gt;"",Data!L181="Accepté"),Data!S181,"")</f>
        <v/>
      </c>
      <c r="G182" s="322">
        <f>IF(Data!R181='Delivery Plan'!E182,Data!U181,"")</f>
        <v>0</v>
      </c>
      <c r="H182" s="259"/>
      <c r="I182" s="391" t="str">
        <f t="shared" si="7"/>
        <v/>
      </c>
      <c r="J182" s="392" t="str">
        <f>IF(AND(E182=Data!R181,Data!AA181&lt;&gt;""),Data!AA181,"")</f>
        <v/>
      </c>
      <c r="K182" s="313" t="str">
        <f>IF(AND(E182=Data!R181,Data!AE181&lt;&gt;""),Data!AE181,"")</f>
        <v/>
      </c>
      <c r="L182" s="318">
        <f>IF(E182=Data!R183,Data!AI183,"")</f>
        <v>0</v>
      </c>
      <c r="M182" s="318">
        <f>IF(E182=Data!R183,Data!AJ183,"")</f>
        <v>0</v>
      </c>
      <c r="N182" s="437" t="str">
        <f>IF(AND(Data!R183&lt;&gt;"",Data!L183="Accepté"),Data!K183,"")</f>
        <v/>
      </c>
    </row>
    <row r="183" spans="1:14" hidden="1" x14ac:dyDescent="0.3">
      <c r="A183" s="393" t="str">
        <f>IF(AND(Data!R182&lt;&gt;"",Data!L182="Accepté"),Data!G182,"")</f>
        <v/>
      </c>
      <c r="B183" s="393" t="str">
        <f>IF(AND(Data!R182&lt;&gt;"",Data!L182="Accepté"),Data!L182,"")</f>
        <v/>
      </c>
      <c r="C183" s="391" t="str">
        <f t="shared" si="6"/>
        <v/>
      </c>
      <c r="D183" s="392" t="str">
        <f>IF(AND(Data!Q182&lt;&gt;"",Data!L182="Accepté"),Data!Q182,"")</f>
        <v/>
      </c>
      <c r="E183" s="237" t="str">
        <f>IF(AND(Data!R182&lt;&gt;"",Data!L182="Accepté"),Data!R182,"")</f>
        <v/>
      </c>
      <c r="F183" s="326" t="str">
        <f>IF(AND(Data!R182&lt;&gt;"",Data!L182="Accepté"),Data!S182,"")</f>
        <v/>
      </c>
      <c r="G183" s="322">
        <f>IF(Data!R182='Delivery Plan'!E183,Data!U182,"")</f>
        <v>0</v>
      </c>
      <c r="H183" s="259"/>
      <c r="I183" s="391" t="str">
        <f t="shared" si="7"/>
        <v/>
      </c>
      <c r="J183" s="392" t="str">
        <f>IF(AND(E183=Data!R182,Data!AA182&lt;&gt;""),Data!AA182,"")</f>
        <v/>
      </c>
      <c r="K183" s="313" t="str">
        <f>IF(AND(E183=Data!R182,Data!AE182&lt;&gt;""),Data!AE182,"")</f>
        <v/>
      </c>
      <c r="L183" s="318">
        <f>IF(E183=Data!R184,Data!AI184,"")</f>
        <v>0</v>
      </c>
      <c r="M183" s="318">
        <f>IF(E183=Data!R184,Data!AJ184,"")</f>
        <v>0</v>
      </c>
      <c r="N183" s="437" t="str">
        <f>IF(AND(Data!R184&lt;&gt;"",Data!L184="Accepté"),Data!K184,"")</f>
        <v/>
      </c>
    </row>
    <row r="184" spans="1:14" hidden="1" x14ac:dyDescent="0.3">
      <c r="A184" s="393" t="str">
        <f>IF(AND(Data!R183&lt;&gt;"",Data!L183="Accepté"),Data!G183,"")</f>
        <v/>
      </c>
      <c r="B184" s="393" t="str">
        <f>IF(AND(Data!R183&lt;&gt;"",Data!L183="Accepté"),Data!L183,"")</f>
        <v/>
      </c>
      <c r="C184" s="391" t="str">
        <f t="shared" si="6"/>
        <v/>
      </c>
      <c r="D184" s="392" t="str">
        <f>IF(AND(Data!Q183&lt;&gt;"",Data!L183="Accepté"),Data!Q183,"")</f>
        <v/>
      </c>
      <c r="E184" s="237" t="str">
        <f>IF(AND(Data!R183&lt;&gt;"",Data!L183="Accepté"),Data!R183,"")</f>
        <v/>
      </c>
      <c r="F184" s="326" t="str">
        <f>IF(AND(Data!R183&lt;&gt;"",Data!L183="Accepté"),Data!S183,"")</f>
        <v/>
      </c>
      <c r="G184" s="322">
        <f>IF(Data!R183='Delivery Plan'!E184,Data!U183,"")</f>
        <v>0</v>
      </c>
      <c r="H184" s="259"/>
      <c r="I184" s="391" t="str">
        <f t="shared" si="7"/>
        <v/>
      </c>
      <c r="J184" s="392" t="str">
        <f>IF(AND(E184=Data!R183,Data!AA183&lt;&gt;""),Data!AA183,"")</f>
        <v/>
      </c>
      <c r="K184" s="313" t="str">
        <f>IF(AND(E184=Data!R183,Data!AE183&lt;&gt;""),Data!AE183,"")</f>
        <v/>
      </c>
      <c r="L184" s="318">
        <f>IF(E184=Data!R185,Data!AI185,"")</f>
        <v>0</v>
      </c>
      <c r="M184" s="318">
        <f>IF(E184=Data!R185,Data!AJ185,"")</f>
        <v>0</v>
      </c>
      <c r="N184" s="437" t="str">
        <f>IF(AND(Data!R185&lt;&gt;"",Data!L185="Accepté"),Data!K185,"")</f>
        <v/>
      </c>
    </row>
    <row r="185" spans="1:14" hidden="1" x14ac:dyDescent="0.3">
      <c r="A185" s="393" t="str">
        <f>IF(AND(Data!R184&lt;&gt;"",Data!L184="Accepté"),Data!G184,"")</f>
        <v/>
      </c>
      <c r="B185" s="393" t="str">
        <f>IF(AND(Data!R184&lt;&gt;"",Data!L184="Accepté"),Data!L184,"")</f>
        <v/>
      </c>
      <c r="C185" s="391" t="str">
        <f t="shared" si="6"/>
        <v/>
      </c>
      <c r="D185" s="392" t="str">
        <f>IF(AND(Data!Q184&lt;&gt;"",Data!L184="Accepté"),Data!Q184,"")</f>
        <v/>
      </c>
      <c r="E185" s="237" t="str">
        <f>IF(AND(Data!R184&lt;&gt;"",Data!L184="Accepté"),Data!R184,"")</f>
        <v/>
      </c>
      <c r="F185" s="326" t="str">
        <f>IF(AND(Data!R184&lt;&gt;"",Data!L184="Accepté"),Data!S184,"")</f>
        <v/>
      </c>
      <c r="G185" s="322">
        <f>IF(Data!R184='Delivery Plan'!E185,Data!U184,"")</f>
        <v>0</v>
      </c>
      <c r="H185" s="259"/>
      <c r="I185" s="391" t="str">
        <f t="shared" si="7"/>
        <v/>
      </c>
      <c r="J185" s="392" t="str">
        <f>IF(AND(E185=Data!R184,Data!AA184&lt;&gt;""),Data!AA184,"")</f>
        <v/>
      </c>
      <c r="K185" s="313" t="str">
        <f>IF(AND(E185=Data!R184,Data!AE184&lt;&gt;""),Data!AE184,"")</f>
        <v/>
      </c>
      <c r="L185" s="318">
        <f>IF(E185=Data!R186,Data!AI186,"")</f>
        <v>0</v>
      </c>
      <c r="M185" s="318">
        <f>IF(E185=Data!R186,Data!AJ186,"")</f>
        <v>0</v>
      </c>
      <c r="N185" s="437" t="str">
        <f>IF(AND(Data!R186&lt;&gt;"",Data!L186="Accepté"),Data!K186,"")</f>
        <v/>
      </c>
    </row>
    <row r="186" spans="1:14" hidden="1" x14ac:dyDescent="0.3">
      <c r="A186" s="393" t="str">
        <f>IF(AND(Data!R185&lt;&gt;"",Data!L185="Accepté"),Data!G185,"")</f>
        <v/>
      </c>
      <c r="B186" s="393" t="str">
        <f>IF(AND(Data!R185&lt;&gt;"",Data!L185="Accepté"),Data!L185,"")</f>
        <v/>
      </c>
      <c r="C186" s="391" t="str">
        <f t="shared" si="6"/>
        <v/>
      </c>
      <c r="D186" s="392" t="str">
        <f>IF(AND(Data!Q185&lt;&gt;"",Data!L185="Accepté"),Data!Q185,"")</f>
        <v/>
      </c>
      <c r="E186" s="237" t="str">
        <f>IF(AND(Data!R185&lt;&gt;"",Data!L185="Accepté"),Data!R185,"")</f>
        <v/>
      </c>
      <c r="F186" s="326" t="str">
        <f>IF(AND(Data!R185&lt;&gt;"",Data!L185="Accepté"),Data!S185,"")</f>
        <v/>
      </c>
      <c r="G186" s="322">
        <f>IF(Data!R185='Delivery Plan'!E186,Data!U185,"")</f>
        <v>0</v>
      </c>
      <c r="H186" s="259"/>
      <c r="I186" s="391" t="str">
        <f t="shared" si="7"/>
        <v/>
      </c>
      <c r="J186" s="392" t="str">
        <f>IF(AND(E186=Data!R185,Data!AA185&lt;&gt;""),Data!AA185,"")</f>
        <v/>
      </c>
      <c r="K186" s="313" t="str">
        <f>IF(AND(E186=Data!R185,Data!AE185&lt;&gt;""),Data!AE185,"")</f>
        <v/>
      </c>
      <c r="L186" s="318">
        <f>IF(E186=Data!R187,Data!AI187,"")</f>
        <v>0</v>
      </c>
      <c r="M186" s="318">
        <f>IF(E186=Data!R187,Data!AJ187,"")</f>
        <v>0</v>
      </c>
      <c r="N186" s="437" t="str">
        <f>IF(AND(Data!R187&lt;&gt;"",Data!L187="Accepté"),Data!K187,"")</f>
        <v/>
      </c>
    </row>
    <row r="187" spans="1:14" hidden="1" x14ac:dyDescent="0.3">
      <c r="A187" s="393" t="str">
        <f>IF(AND(Data!R186&lt;&gt;"",Data!L186="Accepté"),Data!G186,"")</f>
        <v/>
      </c>
      <c r="B187" s="393" t="str">
        <f>IF(AND(Data!R186&lt;&gt;"",Data!L186="Accepté"),Data!L186,"")</f>
        <v/>
      </c>
      <c r="C187" s="391" t="str">
        <f t="shared" si="6"/>
        <v/>
      </c>
      <c r="D187" s="392" t="str">
        <f>IF(AND(Data!Q186&lt;&gt;"",Data!L186="Accepté"),Data!Q186,"")</f>
        <v/>
      </c>
      <c r="E187" s="237" t="str">
        <f>IF(AND(Data!R186&lt;&gt;"",Data!L186="Accepté"),Data!R186,"")</f>
        <v/>
      </c>
      <c r="F187" s="326" t="str">
        <f>IF(AND(Data!R186&lt;&gt;"",Data!L186="Accepté"),Data!S186,"")</f>
        <v/>
      </c>
      <c r="G187" s="322">
        <f>IF(Data!R186='Delivery Plan'!E187,Data!U186,"")</f>
        <v>0</v>
      </c>
      <c r="H187" s="259"/>
      <c r="I187" s="391" t="str">
        <f t="shared" si="7"/>
        <v/>
      </c>
      <c r="J187" s="392" t="str">
        <f>IF(AND(E187=Data!R186,Data!AA186&lt;&gt;""),Data!AA186,"")</f>
        <v/>
      </c>
      <c r="K187" s="313" t="str">
        <f>IF(AND(E187=Data!R186,Data!AE186&lt;&gt;""),Data!AE186,"")</f>
        <v/>
      </c>
      <c r="L187" s="318">
        <f>IF(E187=Data!R188,Data!AI188,"")</f>
        <v>0</v>
      </c>
      <c r="M187" s="318">
        <f>IF(E187=Data!R188,Data!AJ188,"")</f>
        <v>0</v>
      </c>
      <c r="N187" s="437" t="str">
        <f>IF(AND(Data!R188&lt;&gt;"",Data!L188="Accepté"),Data!K188,"")</f>
        <v/>
      </c>
    </row>
    <row r="188" spans="1:14" hidden="1" x14ac:dyDescent="0.3">
      <c r="A188" s="393" t="str">
        <f>IF(AND(Data!R187&lt;&gt;"",Data!L187="Accepté"),Data!G187,"")</f>
        <v/>
      </c>
      <c r="B188" s="393" t="str">
        <f>IF(AND(Data!R187&lt;&gt;"",Data!L187="Accepté"),Data!L187,"")</f>
        <v/>
      </c>
      <c r="C188" s="391" t="str">
        <f t="shared" si="6"/>
        <v/>
      </c>
      <c r="D188" s="392" t="str">
        <f>IF(AND(Data!Q187&lt;&gt;"",Data!L187="Accepté"),Data!Q187,"")</f>
        <v/>
      </c>
      <c r="E188" s="237" t="str">
        <f>IF(AND(Data!R187&lt;&gt;"",Data!L187="Accepté"),Data!R187,"")</f>
        <v/>
      </c>
      <c r="F188" s="326" t="str">
        <f>IF(AND(Data!R187&lt;&gt;"",Data!L187="Accepté"),Data!S187,"")</f>
        <v/>
      </c>
      <c r="G188" s="322">
        <f>IF(Data!R187='Delivery Plan'!E188,Data!U187,"")</f>
        <v>0</v>
      </c>
      <c r="H188" s="259"/>
      <c r="I188" s="391" t="str">
        <f t="shared" si="7"/>
        <v/>
      </c>
      <c r="J188" s="392" t="str">
        <f>IF(AND(E188=Data!R187,Data!AA187&lt;&gt;""),Data!AA187,"")</f>
        <v/>
      </c>
      <c r="K188" s="313" t="str">
        <f>IF(AND(E188=Data!R187,Data!AE187&lt;&gt;""),Data!AE187,"")</f>
        <v/>
      </c>
      <c r="L188" s="318">
        <f>IF(E188=Data!R189,Data!AI189,"")</f>
        <v>0</v>
      </c>
      <c r="M188" s="318">
        <f>IF(E188=Data!R189,Data!AJ189,"")</f>
        <v>0</v>
      </c>
      <c r="N188" s="437" t="str">
        <f>IF(AND(Data!R189&lt;&gt;"",Data!L189="Accepté"),Data!K189,"")</f>
        <v/>
      </c>
    </row>
    <row r="189" spans="1:14" hidden="1" x14ac:dyDescent="0.3">
      <c r="A189" s="393" t="str">
        <f>IF(AND(Data!R188&lt;&gt;"",Data!L188="Accepté"),Data!G188,"")</f>
        <v/>
      </c>
      <c r="B189" s="393" t="str">
        <f>IF(AND(Data!R188&lt;&gt;"",Data!L188="Accepté"),Data!L188,"")</f>
        <v/>
      </c>
      <c r="C189" s="391" t="str">
        <f t="shared" si="6"/>
        <v/>
      </c>
      <c r="D189" s="392" t="str">
        <f>IF(AND(Data!Q188&lt;&gt;"",Data!L188="Accepté"),Data!Q188,"")</f>
        <v/>
      </c>
      <c r="E189" s="237" t="str">
        <f>IF(AND(Data!R188&lt;&gt;"",Data!L188="Accepté"),Data!R188,"")</f>
        <v/>
      </c>
      <c r="F189" s="326" t="str">
        <f>IF(AND(Data!R188&lt;&gt;"",Data!L188="Accepté"),Data!S188,"")</f>
        <v/>
      </c>
      <c r="G189" s="322">
        <f>IF(Data!R188='Delivery Plan'!E189,Data!U188,"")</f>
        <v>0</v>
      </c>
      <c r="H189" s="259"/>
      <c r="I189" s="391" t="str">
        <f t="shared" si="7"/>
        <v/>
      </c>
      <c r="J189" s="392" t="str">
        <f>IF(AND(E189=Data!R188,Data!AA188&lt;&gt;""),Data!AA188,"")</f>
        <v/>
      </c>
      <c r="K189" s="313" t="str">
        <f>IF(AND(E189=Data!R188,Data!AE188&lt;&gt;""),Data!AE188,"")</f>
        <v/>
      </c>
      <c r="L189" s="318">
        <f>IF(E189=Data!R190,Data!AI190,"")</f>
        <v>0</v>
      </c>
      <c r="M189" s="318">
        <f>IF(E189=Data!R190,Data!AJ190,"")</f>
        <v>0</v>
      </c>
      <c r="N189" s="437" t="str">
        <f>IF(AND(Data!R190&lt;&gt;"",Data!L190="Accepté"),Data!K190,"")</f>
        <v/>
      </c>
    </row>
    <row r="190" spans="1:14" hidden="1" x14ac:dyDescent="0.3">
      <c r="A190" s="393" t="str">
        <f>IF(AND(Data!R189&lt;&gt;"",Data!L189="Accepté"),Data!G189,"")</f>
        <v/>
      </c>
      <c r="B190" s="393" t="str">
        <f>IF(AND(Data!R189&lt;&gt;"",Data!L189="Accepté"),Data!L189,"")</f>
        <v/>
      </c>
      <c r="C190" s="391" t="str">
        <f t="shared" si="6"/>
        <v/>
      </c>
      <c r="D190" s="392" t="str">
        <f>IF(AND(Data!Q189&lt;&gt;"",Data!L189="Accepté"),Data!Q189,"")</f>
        <v/>
      </c>
      <c r="E190" s="237" t="str">
        <f>IF(AND(Data!R189&lt;&gt;"",Data!L189="Accepté"),Data!R189,"")</f>
        <v/>
      </c>
      <c r="F190" s="326" t="str">
        <f>IF(AND(Data!R189&lt;&gt;"",Data!L189="Accepté"),Data!S189,"")</f>
        <v/>
      </c>
      <c r="G190" s="322">
        <f>IF(Data!R189='Delivery Plan'!E190,Data!U189,"")</f>
        <v>0</v>
      </c>
      <c r="H190" s="259"/>
      <c r="I190" s="391" t="str">
        <f t="shared" si="7"/>
        <v/>
      </c>
      <c r="J190" s="392" t="str">
        <f>IF(AND(E190=Data!R189,Data!AA189&lt;&gt;""),Data!AA189,"")</f>
        <v/>
      </c>
      <c r="K190" s="313" t="str">
        <f>IF(AND(E190=Data!R189,Data!AE189&lt;&gt;""),Data!AE189,"")</f>
        <v/>
      </c>
      <c r="L190" s="318">
        <f>IF(E190=Data!R191,Data!AI191,"")</f>
        <v>0</v>
      </c>
      <c r="M190" s="318">
        <f>IF(E190=Data!R191,Data!AJ191,"")</f>
        <v>0</v>
      </c>
      <c r="N190" s="437" t="str">
        <f>IF(AND(Data!R191&lt;&gt;"",Data!L191="Accepté"),Data!K191,"")</f>
        <v/>
      </c>
    </row>
    <row r="191" spans="1:14" hidden="1" x14ac:dyDescent="0.3">
      <c r="A191" s="393" t="str">
        <f>IF(AND(Data!R190&lt;&gt;"",Data!L190="Accepté"),Data!G190,"")</f>
        <v/>
      </c>
      <c r="B191" s="393" t="str">
        <f>IF(AND(Data!R190&lt;&gt;"",Data!L190="Accepté"),Data!L190,"")</f>
        <v/>
      </c>
      <c r="C191" s="391" t="str">
        <f t="shared" si="6"/>
        <v/>
      </c>
      <c r="D191" s="392" t="str">
        <f>IF(AND(Data!Q190&lt;&gt;"",Data!L190="Accepté"),Data!Q190,"")</f>
        <v/>
      </c>
      <c r="E191" s="237" t="str">
        <f>IF(AND(Data!R190&lt;&gt;"",Data!L190="Accepté"),Data!R190,"")</f>
        <v/>
      </c>
      <c r="F191" s="326" t="str">
        <f>IF(AND(Data!R190&lt;&gt;"",Data!L190="Accepté"),Data!S190,"")</f>
        <v/>
      </c>
      <c r="G191" s="322">
        <f>IF(Data!R190='Delivery Plan'!E191,Data!U190,"")</f>
        <v>0</v>
      </c>
      <c r="H191" s="259"/>
      <c r="I191" s="391" t="str">
        <f t="shared" si="7"/>
        <v/>
      </c>
      <c r="J191" s="392" t="str">
        <f>IF(AND(E191=Data!R190,Data!AA190&lt;&gt;""),Data!AA190,"")</f>
        <v/>
      </c>
      <c r="K191" s="313" t="str">
        <f>IF(AND(E191=Data!R190,Data!AE190&lt;&gt;""),Data!AE190,"")</f>
        <v/>
      </c>
      <c r="L191" s="318">
        <f>IF(E191=Data!R192,Data!AI192,"")</f>
        <v>0</v>
      </c>
      <c r="M191" s="318">
        <f>IF(E191=Data!R192,Data!AJ192,"")</f>
        <v>0</v>
      </c>
      <c r="N191" s="437" t="str">
        <f>IF(AND(Data!R192&lt;&gt;"",Data!L192="Accepté"),Data!K192,"")</f>
        <v/>
      </c>
    </row>
    <row r="192" spans="1:14" hidden="1" x14ac:dyDescent="0.3">
      <c r="A192" s="393" t="str">
        <f>IF(AND(Data!R191&lt;&gt;"",Data!L191="Accepté"),Data!G191,"")</f>
        <v/>
      </c>
      <c r="B192" s="393" t="str">
        <f>IF(AND(Data!R191&lt;&gt;"",Data!L191="Accepté"),Data!L191,"")</f>
        <v/>
      </c>
      <c r="C192" s="391" t="str">
        <f t="shared" si="6"/>
        <v/>
      </c>
      <c r="D192" s="392" t="str">
        <f>IF(AND(Data!Q191&lt;&gt;"",Data!L191="Accepté"),Data!Q191,"")</f>
        <v/>
      </c>
      <c r="E192" s="237" t="str">
        <f>IF(AND(Data!R191&lt;&gt;"",Data!L191="Accepté"),Data!R191,"")</f>
        <v/>
      </c>
      <c r="F192" s="326" t="str">
        <f>IF(AND(Data!R191&lt;&gt;"",Data!L191="Accepté"),Data!S191,"")</f>
        <v/>
      </c>
      <c r="G192" s="322">
        <f>IF(Data!R191='Delivery Plan'!E192,Data!U191,"")</f>
        <v>0</v>
      </c>
      <c r="H192" s="259"/>
      <c r="I192" s="391" t="str">
        <f t="shared" si="7"/>
        <v/>
      </c>
      <c r="J192" s="392" t="str">
        <f>IF(AND(E192=Data!R191,Data!AA191&lt;&gt;""),Data!AA191,"")</f>
        <v/>
      </c>
      <c r="K192" s="313" t="str">
        <f>IF(AND(E192=Data!R191,Data!AE191&lt;&gt;""),Data!AE191,"")</f>
        <v/>
      </c>
      <c r="L192" s="318">
        <f>IF(E192=Data!R193,Data!AI193,"")</f>
        <v>0</v>
      </c>
      <c r="M192" s="318">
        <f>IF(E192=Data!R193,Data!AJ193,"")</f>
        <v>0</v>
      </c>
      <c r="N192" s="437" t="str">
        <f>IF(AND(Data!R193&lt;&gt;"",Data!L193="Accepté"),Data!K193,"")</f>
        <v/>
      </c>
    </row>
    <row r="193" spans="1:14" hidden="1" x14ac:dyDescent="0.3">
      <c r="A193" s="393" t="str">
        <f>IF(AND(Data!R192&lt;&gt;"",Data!L192="Accepté"),Data!G192,"")</f>
        <v/>
      </c>
      <c r="B193" s="393" t="str">
        <f>IF(AND(Data!R192&lt;&gt;"",Data!L192="Accepté"),Data!L192,"")</f>
        <v/>
      </c>
      <c r="C193" s="391" t="str">
        <f t="shared" si="6"/>
        <v/>
      </c>
      <c r="D193" s="392" t="str">
        <f>IF(AND(Data!Q192&lt;&gt;"",Data!L192="Accepté"),Data!Q192,"")</f>
        <v/>
      </c>
      <c r="E193" s="237" t="str">
        <f>IF(AND(Data!R192&lt;&gt;"",Data!L192="Accepté"),Data!R192,"")</f>
        <v/>
      </c>
      <c r="F193" s="326" t="str">
        <f>IF(AND(Data!R192&lt;&gt;"",Data!L192="Accepté"),Data!S192,"")</f>
        <v/>
      </c>
      <c r="G193" s="322">
        <f>IF(Data!R192='Delivery Plan'!E193,Data!U192,"")</f>
        <v>0</v>
      </c>
      <c r="H193" s="259"/>
      <c r="I193" s="391" t="str">
        <f t="shared" si="7"/>
        <v/>
      </c>
      <c r="J193" s="392" t="str">
        <f>IF(AND(E193=Data!R192,Data!AA192&lt;&gt;""),Data!AA192,"")</f>
        <v/>
      </c>
      <c r="K193" s="313" t="str">
        <f>IF(AND(E193=Data!R192,Data!AE192&lt;&gt;""),Data!AE192,"")</f>
        <v/>
      </c>
      <c r="L193" s="318">
        <f>IF(E193=Data!R194,Data!AI194,"")</f>
        <v>0</v>
      </c>
      <c r="M193" s="318">
        <f>IF(E193=Data!R194,Data!AJ194,"")</f>
        <v>0</v>
      </c>
      <c r="N193" s="437" t="str">
        <f>IF(AND(Data!R194&lt;&gt;"",Data!L194="Accepté"),Data!K194,"")</f>
        <v/>
      </c>
    </row>
    <row r="194" spans="1:14" hidden="1" x14ac:dyDescent="0.3">
      <c r="A194" s="393" t="str">
        <f>IF(AND(Data!R193&lt;&gt;"",Data!L193="Accepté"),Data!G193,"")</f>
        <v/>
      </c>
      <c r="B194" s="393" t="str">
        <f>IF(AND(Data!R193&lt;&gt;"",Data!L193="Accepté"),Data!L193,"")</f>
        <v/>
      </c>
      <c r="C194" s="391" t="str">
        <f t="shared" si="6"/>
        <v/>
      </c>
      <c r="D194" s="392" t="str">
        <f>IF(AND(Data!Q193&lt;&gt;"",Data!L193="Accepté"),Data!Q193,"")</f>
        <v/>
      </c>
      <c r="E194" s="237" t="str">
        <f>IF(AND(Data!R193&lt;&gt;"",Data!L193="Accepté"),Data!R193,"")</f>
        <v/>
      </c>
      <c r="F194" s="326" t="str">
        <f>IF(AND(Data!R193&lt;&gt;"",Data!L193="Accepté"),Data!S193,"")</f>
        <v/>
      </c>
      <c r="G194" s="322">
        <f>IF(Data!R193='Delivery Plan'!E194,Data!U193,"")</f>
        <v>0</v>
      </c>
      <c r="H194" s="259"/>
      <c r="I194" s="391" t="str">
        <f t="shared" si="7"/>
        <v/>
      </c>
      <c r="J194" s="392" t="str">
        <f>IF(AND(E194=Data!R193,Data!AA193&lt;&gt;""),Data!AA193,"")</f>
        <v/>
      </c>
      <c r="K194" s="313" t="str">
        <f>IF(AND(E194=Data!R193,Data!AE193&lt;&gt;""),Data!AE193,"")</f>
        <v/>
      </c>
      <c r="L194" s="318">
        <f>IF(E194=Data!R195,Data!AI195,"")</f>
        <v>0</v>
      </c>
      <c r="M194" s="318">
        <f>IF(E194=Data!R195,Data!AJ195,"")</f>
        <v>0</v>
      </c>
      <c r="N194" s="437" t="str">
        <f>IF(AND(Data!R195&lt;&gt;"",Data!L195="Accepté"),Data!K195,"")</f>
        <v/>
      </c>
    </row>
    <row r="195" spans="1:14" hidden="1" x14ac:dyDescent="0.3">
      <c r="A195" s="393" t="str">
        <f>IF(AND(Data!R194&lt;&gt;"",Data!L194="Accepté"),Data!G194,"")</f>
        <v/>
      </c>
      <c r="B195" s="393" t="str">
        <f>IF(AND(Data!R194&lt;&gt;"",Data!L194="Accepté"),Data!L194,"")</f>
        <v/>
      </c>
      <c r="C195" s="391" t="str">
        <f t="shared" si="6"/>
        <v/>
      </c>
      <c r="D195" s="392" t="str">
        <f>IF(AND(Data!Q194&lt;&gt;"",Data!L194="Accepté"),Data!Q194,"")</f>
        <v/>
      </c>
      <c r="E195" s="237" t="str">
        <f>IF(AND(Data!R194&lt;&gt;"",Data!L194="Accepté"),Data!R194,"")</f>
        <v/>
      </c>
      <c r="F195" s="326" t="str">
        <f>IF(AND(Data!R194&lt;&gt;"",Data!L194="Accepté"),Data!S194,"")</f>
        <v/>
      </c>
      <c r="G195" s="322">
        <f>IF(Data!R194='Delivery Plan'!E195,Data!U194,"")</f>
        <v>0</v>
      </c>
      <c r="H195" s="259"/>
      <c r="I195" s="391" t="str">
        <f t="shared" si="7"/>
        <v/>
      </c>
      <c r="J195" s="392" t="str">
        <f>IF(AND(E195=Data!R194,Data!AA194&lt;&gt;""),Data!AA194,"")</f>
        <v/>
      </c>
      <c r="K195" s="313" t="str">
        <f>IF(AND(E195=Data!R194,Data!AE194&lt;&gt;""),Data!AE194,"")</f>
        <v/>
      </c>
      <c r="L195" s="318">
        <f>IF(E195=Data!R196,Data!AI196,"")</f>
        <v>0</v>
      </c>
      <c r="M195" s="318">
        <f>IF(E195=Data!R196,Data!AJ196,"")</f>
        <v>0</v>
      </c>
      <c r="N195" s="437" t="str">
        <f>IF(AND(Data!R196&lt;&gt;"",Data!L196="Accepté"),Data!K196,"")</f>
        <v/>
      </c>
    </row>
    <row r="196" spans="1:14" hidden="1" x14ac:dyDescent="0.3">
      <c r="A196" s="393" t="str">
        <f>IF(AND(Data!R195&lt;&gt;"",Data!L195="Accepté"),Data!G195,"")</f>
        <v/>
      </c>
      <c r="B196" s="393" t="str">
        <f>IF(AND(Data!R195&lt;&gt;"",Data!L195="Accepté"),Data!L195,"")</f>
        <v/>
      </c>
      <c r="C196" s="391" t="str">
        <f t="shared" si="6"/>
        <v/>
      </c>
      <c r="D196" s="392" t="str">
        <f>IF(AND(Data!Q195&lt;&gt;"",Data!L195="Accepté"),Data!Q195,"")</f>
        <v/>
      </c>
      <c r="E196" s="237" t="str">
        <f>IF(AND(Data!R195&lt;&gt;"",Data!L195="Accepté"),Data!R195,"")</f>
        <v/>
      </c>
      <c r="F196" s="326" t="str">
        <f>IF(AND(Data!R195&lt;&gt;"",Data!L195="Accepté"),Data!S195,"")</f>
        <v/>
      </c>
      <c r="G196" s="322">
        <f>IF(Data!R195='Delivery Plan'!E196,Data!U195,"")</f>
        <v>0</v>
      </c>
      <c r="H196" s="259"/>
      <c r="I196" s="391" t="str">
        <f t="shared" si="7"/>
        <v/>
      </c>
      <c r="J196" s="392" t="str">
        <f>IF(AND(E196=Data!R195,Data!AA195&lt;&gt;""),Data!AA195,"")</f>
        <v/>
      </c>
      <c r="K196" s="313" t="str">
        <f>IF(AND(E196=Data!R195,Data!AE195&lt;&gt;""),Data!AE195,"")</f>
        <v/>
      </c>
      <c r="L196" s="318">
        <f>IF(E196=Data!R197,Data!AI197,"")</f>
        <v>0</v>
      </c>
      <c r="M196" s="318">
        <f>IF(E196=Data!R197,Data!AJ197,"")</f>
        <v>0</v>
      </c>
      <c r="N196" s="437" t="str">
        <f>IF(AND(Data!R197&lt;&gt;"",Data!L197="Accepté"),Data!K197,"")</f>
        <v/>
      </c>
    </row>
    <row r="197" spans="1:14" hidden="1" x14ac:dyDescent="0.3">
      <c r="A197" s="393" t="str">
        <f>IF(AND(Data!R196&lt;&gt;"",Data!L196="Accepté"),Data!G196,"")</f>
        <v/>
      </c>
      <c r="B197" s="393" t="str">
        <f>IF(AND(Data!R196&lt;&gt;"",Data!L196="Accepté"),Data!L196,"")</f>
        <v/>
      </c>
      <c r="C197" s="391" t="str">
        <f t="shared" ref="C197:C260" si="8">IF(D197&lt;&gt;"","S"&amp;TEXT(WEEKNUM(D197),"00"),"")</f>
        <v/>
      </c>
      <c r="D197" s="392" t="str">
        <f>IF(AND(Data!Q196&lt;&gt;"",Data!L196="Accepté"),Data!Q196,"")</f>
        <v/>
      </c>
      <c r="E197" s="237" t="str">
        <f>IF(AND(Data!R196&lt;&gt;"",Data!L196="Accepté"),Data!R196,"")</f>
        <v/>
      </c>
      <c r="F197" s="326" t="str">
        <f>IF(AND(Data!R196&lt;&gt;"",Data!L196="Accepté"),Data!S196,"")</f>
        <v/>
      </c>
      <c r="G197" s="322">
        <f>IF(Data!R196='Delivery Plan'!E197,Data!U196,"")</f>
        <v>0</v>
      </c>
      <c r="H197" s="259"/>
      <c r="I197" s="391" t="str">
        <f t="shared" ref="I197:I260" si="9">IF(J197&lt;&gt;"","S"&amp;TEXT(WEEKNUM(J197),"00"),"")</f>
        <v/>
      </c>
      <c r="J197" s="392" t="str">
        <f>IF(AND(E197=Data!R196,Data!AA196&lt;&gt;""),Data!AA196,"")</f>
        <v/>
      </c>
      <c r="K197" s="313" t="str">
        <f>IF(AND(E197=Data!R196,Data!AE196&lt;&gt;""),Data!AE196,"")</f>
        <v/>
      </c>
      <c r="L197" s="318">
        <f>IF(E197=Data!R198,Data!AI198,"")</f>
        <v>0</v>
      </c>
      <c r="M197" s="318">
        <f>IF(E197=Data!R198,Data!AJ198,"")</f>
        <v>0</v>
      </c>
      <c r="N197" s="437" t="str">
        <f>IF(AND(Data!R198&lt;&gt;"",Data!L198="Accepté"),Data!K198,"")</f>
        <v/>
      </c>
    </row>
    <row r="198" spans="1:14" hidden="1" x14ac:dyDescent="0.3">
      <c r="A198" s="393" t="str">
        <f>IF(AND(Data!R197&lt;&gt;"",Data!L197="Accepté"),Data!G197,"")</f>
        <v/>
      </c>
      <c r="B198" s="393" t="str">
        <f>IF(AND(Data!R197&lt;&gt;"",Data!L197="Accepté"),Data!L197,"")</f>
        <v/>
      </c>
      <c r="C198" s="391" t="str">
        <f t="shared" si="8"/>
        <v/>
      </c>
      <c r="D198" s="392" t="str">
        <f>IF(AND(Data!Q197&lt;&gt;"",Data!L197="Accepté"),Data!Q197,"")</f>
        <v/>
      </c>
      <c r="E198" s="237" t="str">
        <f>IF(AND(Data!R197&lt;&gt;"",Data!L197="Accepté"),Data!R197,"")</f>
        <v/>
      </c>
      <c r="F198" s="326" t="str">
        <f>IF(AND(Data!R197&lt;&gt;"",Data!L197="Accepté"),Data!S197,"")</f>
        <v/>
      </c>
      <c r="G198" s="322">
        <f>IF(Data!R197='Delivery Plan'!E198,Data!U197,"")</f>
        <v>0</v>
      </c>
      <c r="H198" s="259"/>
      <c r="I198" s="391" t="str">
        <f t="shared" si="9"/>
        <v/>
      </c>
      <c r="J198" s="392" t="str">
        <f>IF(AND(E198=Data!R197,Data!AA197&lt;&gt;""),Data!AA197,"")</f>
        <v/>
      </c>
      <c r="K198" s="313" t="str">
        <f>IF(AND(E198=Data!R197,Data!AE197&lt;&gt;""),Data!AE197,"")</f>
        <v/>
      </c>
      <c r="L198" s="318">
        <f>IF(E198=Data!R199,Data!AI199,"")</f>
        <v>0</v>
      </c>
      <c r="M198" s="318">
        <f>IF(E198=Data!R199,Data!AJ199,"")</f>
        <v>0</v>
      </c>
      <c r="N198" s="437" t="str">
        <f>IF(AND(Data!R199&lt;&gt;"",Data!L199="Accepté"),Data!K199,"")</f>
        <v/>
      </c>
    </row>
    <row r="199" spans="1:14" hidden="1" x14ac:dyDescent="0.3">
      <c r="A199" s="393" t="str">
        <f>IF(AND(Data!R198&lt;&gt;"",Data!L198="Accepté"),Data!G198,"")</f>
        <v/>
      </c>
      <c r="B199" s="393" t="str">
        <f>IF(AND(Data!R198&lt;&gt;"",Data!L198="Accepté"),Data!L198,"")</f>
        <v/>
      </c>
      <c r="C199" s="391" t="str">
        <f t="shared" si="8"/>
        <v/>
      </c>
      <c r="D199" s="392" t="str">
        <f>IF(AND(Data!Q198&lt;&gt;"",Data!L198="Accepté"),Data!Q198,"")</f>
        <v/>
      </c>
      <c r="E199" s="237" t="str">
        <f>IF(AND(Data!R198&lt;&gt;"",Data!L198="Accepté"),Data!R198,"")</f>
        <v/>
      </c>
      <c r="F199" s="326" t="str">
        <f>IF(AND(Data!R198&lt;&gt;"",Data!L198="Accepté"),Data!S198,"")</f>
        <v/>
      </c>
      <c r="G199" s="322">
        <f>IF(Data!R198='Delivery Plan'!E199,Data!U198,"")</f>
        <v>0</v>
      </c>
      <c r="H199" s="259"/>
      <c r="I199" s="391" t="str">
        <f t="shared" si="9"/>
        <v/>
      </c>
      <c r="J199" s="392" t="str">
        <f>IF(AND(E199=Data!R198,Data!AA198&lt;&gt;""),Data!AA198,"")</f>
        <v/>
      </c>
      <c r="K199" s="313" t="str">
        <f>IF(AND(E199=Data!R198,Data!AE198&lt;&gt;""),Data!AE198,"")</f>
        <v/>
      </c>
      <c r="L199" s="318">
        <f>IF(E199=Data!R200,Data!AI200,"")</f>
        <v>0</v>
      </c>
      <c r="M199" s="318">
        <f>IF(E199=Data!R200,Data!AJ200,"")</f>
        <v>0</v>
      </c>
      <c r="N199" s="437" t="str">
        <f>IF(AND(Data!R200&lt;&gt;"",Data!L200="Accepté"),Data!K200,"")</f>
        <v/>
      </c>
    </row>
    <row r="200" spans="1:14" hidden="1" x14ac:dyDescent="0.3">
      <c r="A200" s="393" t="str">
        <f>IF(AND(Data!R199&lt;&gt;"",Data!L199="Accepté"),Data!G199,"")</f>
        <v/>
      </c>
      <c r="B200" s="393" t="str">
        <f>IF(AND(Data!R199&lt;&gt;"",Data!L199="Accepté"),Data!L199,"")</f>
        <v/>
      </c>
      <c r="C200" s="391" t="str">
        <f t="shared" si="8"/>
        <v/>
      </c>
      <c r="D200" s="392" t="str">
        <f>IF(AND(Data!Q199&lt;&gt;"",Data!L199="Accepté"),Data!Q199,"")</f>
        <v/>
      </c>
      <c r="E200" s="237" t="str">
        <f>IF(AND(Data!R199&lt;&gt;"",Data!L199="Accepté"),Data!R199,"")</f>
        <v/>
      </c>
      <c r="F200" s="326" t="str">
        <f>IF(AND(Data!R199&lt;&gt;"",Data!L199="Accepté"),Data!S199,"")</f>
        <v/>
      </c>
      <c r="G200" s="322">
        <f>IF(Data!R199='Delivery Plan'!E200,Data!U199,"")</f>
        <v>0</v>
      </c>
      <c r="H200" s="259"/>
      <c r="I200" s="391" t="str">
        <f t="shared" si="9"/>
        <v/>
      </c>
      <c r="J200" s="392" t="str">
        <f>IF(AND(E200=Data!R199,Data!AA199&lt;&gt;""),Data!AA199,"")</f>
        <v/>
      </c>
      <c r="K200" s="313" t="str">
        <f>IF(AND(E200=Data!R199,Data!AE199&lt;&gt;""),Data!AE199,"")</f>
        <v/>
      </c>
      <c r="L200" s="318">
        <f>IF(E200=Data!R201,Data!AI201,"")</f>
        <v>0</v>
      </c>
      <c r="M200" s="318">
        <f>IF(E200=Data!R201,Data!AJ201,"")</f>
        <v>0</v>
      </c>
      <c r="N200" s="437" t="str">
        <f>IF(AND(Data!R201&lt;&gt;"",Data!L201="Accepté"),Data!K201,"")</f>
        <v/>
      </c>
    </row>
    <row r="201" spans="1:14" hidden="1" x14ac:dyDescent="0.3">
      <c r="A201" s="393" t="str">
        <f>IF(AND(Data!R200&lt;&gt;"",Data!L200="Accepté"),Data!G200,"")</f>
        <v/>
      </c>
      <c r="B201" s="393" t="str">
        <f>IF(AND(Data!R200&lt;&gt;"",Data!L200="Accepté"),Data!L200,"")</f>
        <v/>
      </c>
      <c r="C201" s="391" t="str">
        <f t="shared" si="8"/>
        <v/>
      </c>
      <c r="D201" s="392" t="str">
        <f>IF(AND(Data!Q200&lt;&gt;"",Data!L200="Accepté"),Data!Q200,"")</f>
        <v/>
      </c>
      <c r="E201" s="237" t="str">
        <f>IF(AND(Data!R200&lt;&gt;"",Data!L200="Accepté"),Data!R200,"")</f>
        <v/>
      </c>
      <c r="F201" s="326" t="str">
        <f>IF(AND(Data!R200&lt;&gt;"",Data!L200="Accepté"),Data!S200,"")</f>
        <v/>
      </c>
      <c r="G201" s="322">
        <f>IF(Data!R200='Delivery Plan'!E201,Data!U200,"")</f>
        <v>0</v>
      </c>
      <c r="H201" s="259"/>
      <c r="I201" s="391" t="str">
        <f t="shared" si="9"/>
        <v/>
      </c>
      <c r="J201" s="392" t="str">
        <f>IF(AND(E201=Data!R200,Data!AA200&lt;&gt;""),Data!AA200,"")</f>
        <v/>
      </c>
      <c r="K201" s="313" t="str">
        <f>IF(AND(E201=Data!R200,Data!AE200&lt;&gt;""),Data!AE200,"")</f>
        <v/>
      </c>
      <c r="L201" s="318">
        <f>IF(E201=Data!R202,Data!AI202,"")</f>
        <v>0</v>
      </c>
      <c r="M201" s="318">
        <f>IF(E201=Data!R202,Data!AJ202,"")</f>
        <v>0</v>
      </c>
      <c r="N201" s="437" t="str">
        <f>IF(AND(Data!R202&lt;&gt;"",Data!L202="Accepté"),Data!K202,"")</f>
        <v/>
      </c>
    </row>
    <row r="202" spans="1:14" hidden="1" x14ac:dyDescent="0.3">
      <c r="A202" s="393" t="str">
        <f>IF(AND(Data!R201&lt;&gt;"",Data!L201="Accepté"),Data!G201,"")</f>
        <v/>
      </c>
      <c r="B202" s="393" t="str">
        <f>IF(AND(Data!R201&lt;&gt;"",Data!L201="Accepté"),Data!L201,"")</f>
        <v/>
      </c>
      <c r="C202" s="391" t="str">
        <f t="shared" si="8"/>
        <v/>
      </c>
      <c r="D202" s="392" t="str">
        <f>IF(AND(Data!Q201&lt;&gt;"",Data!L201="Accepté"),Data!Q201,"")</f>
        <v/>
      </c>
      <c r="E202" s="237" t="str">
        <f>IF(AND(Data!R201&lt;&gt;"",Data!L201="Accepté"),Data!R201,"")</f>
        <v/>
      </c>
      <c r="F202" s="326" t="str">
        <f>IF(AND(Data!R201&lt;&gt;"",Data!L201="Accepté"),Data!S201,"")</f>
        <v/>
      </c>
      <c r="G202" s="322">
        <f>IF(Data!R201='Delivery Plan'!E202,Data!U201,"")</f>
        <v>0</v>
      </c>
      <c r="H202" s="259"/>
      <c r="I202" s="391" t="str">
        <f t="shared" si="9"/>
        <v/>
      </c>
      <c r="J202" s="392" t="str">
        <f>IF(AND(E202=Data!R201,Data!AA201&lt;&gt;""),Data!AA201,"")</f>
        <v/>
      </c>
      <c r="K202" s="313" t="str">
        <f>IF(AND(E202=Data!R201,Data!AE201&lt;&gt;""),Data!AE201,"")</f>
        <v/>
      </c>
      <c r="L202" s="318">
        <f>IF(E202=Data!R203,Data!AI203,"")</f>
        <v>0</v>
      </c>
      <c r="M202" s="318">
        <f>IF(E202=Data!R203,Data!AJ203,"")</f>
        <v>0</v>
      </c>
      <c r="N202" s="437" t="str">
        <f>IF(AND(Data!R203&lt;&gt;"",Data!L203="Accepté"),Data!K203,"")</f>
        <v/>
      </c>
    </row>
    <row r="203" spans="1:14" hidden="1" x14ac:dyDescent="0.3">
      <c r="A203" s="393" t="str">
        <f>IF(AND(Data!R202&lt;&gt;"",Data!L202="Accepté"),Data!G202,"")</f>
        <v/>
      </c>
      <c r="B203" s="393" t="str">
        <f>IF(AND(Data!R202&lt;&gt;"",Data!L202="Accepté"),Data!L202,"")</f>
        <v/>
      </c>
      <c r="C203" s="391" t="str">
        <f t="shared" si="8"/>
        <v/>
      </c>
      <c r="D203" s="392" t="str">
        <f>IF(AND(Data!Q202&lt;&gt;"",Data!L202="Accepté"),Data!Q202,"")</f>
        <v/>
      </c>
      <c r="E203" s="237" t="str">
        <f>IF(AND(Data!R202&lt;&gt;"",Data!L202="Accepté"),Data!R202,"")</f>
        <v/>
      </c>
      <c r="F203" s="326" t="str">
        <f>IF(AND(Data!R202&lt;&gt;"",Data!L202="Accepté"),Data!S202,"")</f>
        <v/>
      </c>
      <c r="G203" s="322">
        <f>IF(Data!R202='Delivery Plan'!E203,Data!U202,"")</f>
        <v>0</v>
      </c>
      <c r="H203" s="259"/>
      <c r="I203" s="391" t="str">
        <f t="shared" si="9"/>
        <v/>
      </c>
      <c r="J203" s="392" t="str">
        <f>IF(AND(E203=Data!R202,Data!AA202&lt;&gt;""),Data!AA202,"")</f>
        <v/>
      </c>
      <c r="K203" s="313" t="str">
        <f>IF(AND(E203=Data!R202,Data!AE202&lt;&gt;""),Data!AE202,"")</f>
        <v/>
      </c>
      <c r="L203" s="318">
        <f>IF(E203=Data!R204,Data!AI204,"")</f>
        <v>0</v>
      </c>
      <c r="M203" s="318">
        <f>IF(E203=Data!R204,Data!AJ204,"")</f>
        <v>0</v>
      </c>
      <c r="N203" s="437" t="str">
        <f>IF(AND(Data!R204&lt;&gt;"",Data!L204="Accepté"),Data!K204,"")</f>
        <v/>
      </c>
    </row>
    <row r="204" spans="1:14" hidden="1" x14ac:dyDescent="0.3">
      <c r="A204" s="393" t="str">
        <f>IF(AND(Data!R203&lt;&gt;"",Data!L203="Accepté"),Data!G203,"")</f>
        <v/>
      </c>
      <c r="B204" s="393" t="str">
        <f>IF(AND(Data!R203&lt;&gt;"",Data!L203="Accepté"),Data!L203,"")</f>
        <v/>
      </c>
      <c r="C204" s="391" t="str">
        <f t="shared" si="8"/>
        <v/>
      </c>
      <c r="D204" s="392" t="str">
        <f>IF(AND(Data!Q203&lt;&gt;"",Data!L203="Accepté"),Data!Q203,"")</f>
        <v/>
      </c>
      <c r="E204" s="237" t="str">
        <f>IF(AND(Data!R203&lt;&gt;"",Data!L203="Accepté"),Data!R203,"")</f>
        <v/>
      </c>
      <c r="F204" s="326" t="str">
        <f>IF(AND(Data!R203&lt;&gt;"",Data!L203="Accepté"),Data!S203,"")</f>
        <v/>
      </c>
      <c r="G204" s="322">
        <f>IF(Data!R203='Delivery Plan'!E204,Data!U203,"")</f>
        <v>0</v>
      </c>
      <c r="H204" s="259"/>
      <c r="I204" s="391" t="str">
        <f t="shared" si="9"/>
        <v/>
      </c>
      <c r="J204" s="392" t="str">
        <f>IF(AND(E204=Data!R203,Data!AA203&lt;&gt;""),Data!AA203,"")</f>
        <v/>
      </c>
      <c r="K204" s="313" t="str">
        <f>IF(AND(E204=Data!R203,Data!AE203&lt;&gt;""),Data!AE203,"")</f>
        <v/>
      </c>
      <c r="L204" s="318">
        <f>IF(E204=Data!R205,Data!AI205,"")</f>
        <v>0</v>
      </c>
      <c r="M204" s="318">
        <f>IF(E204=Data!R205,Data!AJ205,"")</f>
        <v>0</v>
      </c>
      <c r="N204" s="437" t="str">
        <f>IF(AND(Data!R205&lt;&gt;"",Data!L205="Accepté"),Data!K205,"")</f>
        <v/>
      </c>
    </row>
    <row r="205" spans="1:14" hidden="1" x14ac:dyDescent="0.3">
      <c r="A205" s="393" t="str">
        <f>IF(AND(Data!R204&lt;&gt;"",Data!L204="Accepté"),Data!G204,"")</f>
        <v/>
      </c>
      <c r="B205" s="393" t="str">
        <f>IF(AND(Data!R204&lt;&gt;"",Data!L204="Accepté"),Data!L204,"")</f>
        <v/>
      </c>
      <c r="C205" s="391" t="str">
        <f t="shared" si="8"/>
        <v/>
      </c>
      <c r="D205" s="392" t="str">
        <f>IF(AND(Data!Q204&lt;&gt;"",Data!L204="Accepté"),Data!Q204,"")</f>
        <v/>
      </c>
      <c r="E205" s="237" t="str">
        <f>IF(AND(Data!R204&lt;&gt;"",Data!L204="Accepté"),Data!R204,"")</f>
        <v/>
      </c>
      <c r="F205" s="326" t="str">
        <f>IF(AND(Data!R204&lt;&gt;"",Data!L204="Accepté"),Data!S204,"")</f>
        <v/>
      </c>
      <c r="G205" s="322">
        <f>IF(Data!R204='Delivery Plan'!E205,Data!U204,"")</f>
        <v>0</v>
      </c>
      <c r="H205" s="259"/>
      <c r="I205" s="391" t="str">
        <f t="shared" si="9"/>
        <v/>
      </c>
      <c r="J205" s="392" t="str">
        <f>IF(AND(E205=Data!R204,Data!AA204&lt;&gt;""),Data!AA204,"")</f>
        <v/>
      </c>
      <c r="K205" s="313" t="str">
        <f>IF(AND(E205=Data!R204,Data!AE204&lt;&gt;""),Data!AE204,"")</f>
        <v/>
      </c>
      <c r="L205" s="318">
        <f>IF(E205=Data!R206,Data!AI206,"")</f>
        <v>0</v>
      </c>
      <c r="M205" s="318">
        <f>IF(E205=Data!R206,Data!AJ206,"")</f>
        <v>0</v>
      </c>
      <c r="N205" s="437" t="str">
        <f>IF(AND(Data!R206&lt;&gt;"",Data!L206="Accepté"),Data!K206,"")</f>
        <v/>
      </c>
    </row>
    <row r="206" spans="1:14" hidden="1" x14ac:dyDescent="0.3">
      <c r="A206" s="393" t="str">
        <f>IF(AND(Data!R205&lt;&gt;"",Data!L205="Accepté"),Data!G205,"")</f>
        <v/>
      </c>
      <c r="B206" s="393" t="str">
        <f>IF(AND(Data!R205&lt;&gt;"",Data!L205="Accepté"),Data!L205,"")</f>
        <v/>
      </c>
      <c r="C206" s="391" t="str">
        <f t="shared" si="8"/>
        <v/>
      </c>
      <c r="D206" s="392" t="str">
        <f>IF(AND(Data!Q205&lt;&gt;"",Data!L205="Accepté"),Data!Q205,"")</f>
        <v/>
      </c>
      <c r="E206" s="237" t="str">
        <f>IF(AND(Data!R205&lt;&gt;"",Data!L205="Accepté"),Data!R205,"")</f>
        <v/>
      </c>
      <c r="F206" s="326" t="str">
        <f>IF(AND(Data!R205&lt;&gt;"",Data!L205="Accepté"),Data!S205,"")</f>
        <v/>
      </c>
      <c r="G206" s="322">
        <f>IF(Data!R205='Delivery Plan'!E206,Data!U205,"")</f>
        <v>0</v>
      </c>
      <c r="H206" s="259"/>
      <c r="I206" s="391" t="str">
        <f t="shared" si="9"/>
        <v/>
      </c>
      <c r="J206" s="392" t="str">
        <f>IF(AND(E206=Data!R205,Data!AA205&lt;&gt;""),Data!AA205,"")</f>
        <v/>
      </c>
      <c r="K206" s="313" t="str">
        <f>IF(AND(E206=Data!R205,Data!AE205&lt;&gt;""),Data!AE205,"")</f>
        <v/>
      </c>
      <c r="L206" s="318">
        <f>IF(E206=Data!R207,Data!AI207,"")</f>
        <v>0</v>
      </c>
      <c r="M206" s="318">
        <f>IF(E206=Data!R207,Data!AJ207,"")</f>
        <v>0</v>
      </c>
      <c r="N206" s="437" t="str">
        <f>IF(AND(Data!R207&lt;&gt;"",Data!L207="Accepté"),Data!K207,"")</f>
        <v/>
      </c>
    </row>
    <row r="207" spans="1:14" hidden="1" x14ac:dyDescent="0.3">
      <c r="A207" s="393" t="str">
        <f>IF(AND(Data!R206&lt;&gt;"",Data!L206="Accepté"),Data!G206,"")</f>
        <v/>
      </c>
      <c r="B207" s="393" t="str">
        <f>IF(AND(Data!R206&lt;&gt;"",Data!L206="Accepté"),Data!L206,"")</f>
        <v/>
      </c>
      <c r="C207" s="391" t="str">
        <f t="shared" si="8"/>
        <v/>
      </c>
      <c r="D207" s="392" t="str">
        <f>IF(AND(Data!Q206&lt;&gt;"",Data!L206="Accepté"),Data!Q206,"")</f>
        <v/>
      </c>
      <c r="E207" s="237" t="str">
        <f>IF(AND(Data!R206&lt;&gt;"",Data!L206="Accepté"),Data!R206,"")</f>
        <v/>
      </c>
      <c r="F207" s="326" t="str">
        <f>IF(AND(Data!R206&lt;&gt;"",Data!L206="Accepté"),Data!S206,"")</f>
        <v/>
      </c>
      <c r="G207" s="322">
        <f>IF(Data!R206='Delivery Plan'!E207,Data!U206,"")</f>
        <v>0</v>
      </c>
      <c r="H207" s="259"/>
      <c r="I207" s="391" t="str">
        <f t="shared" si="9"/>
        <v/>
      </c>
      <c r="J207" s="392" t="str">
        <f>IF(AND(E207=Data!R206,Data!AA206&lt;&gt;""),Data!AA206,"")</f>
        <v/>
      </c>
      <c r="K207" s="313" t="str">
        <f>IF(AND(E207=Data!R206,Data!AE206&lt;&gt;""),Data!AE206,"")</f>
        <v/>
      </c>
      <c r="L207" s="318">
        <f>IF(E207=Data!R208,Data!AI208,"")</f>
        <v>0</v>
      </c>
      <c r="M207" s="318">
        <f>IF(E207=Data!R208,Data!AJ208,"")</f>
        <v>0</v>
      </c>
      <c r="N207" s="437" t="str">
        <f>IF(AND(Data!R208&lt;&gt;"",Data!L208="Accepté"),Data!K208,"")</f>
        <v/>
      </c>
    </row>
    <row r="208" spans="1:14" hidden="1" x14ac:dyDescent="0.3">
      <c r="A208" s="393" t="str">
        <f>IF(AND(Data!R207&lt;&gt;"",Data!L207="Accepté"),Data!G207,"")</f>
        <v/>
      </c>
      <c r="B208" s="393" t="str">
        <f>IF(AND(Data!R207&lt;&gt;"",Data!L207="Accepté"),Data!L207,"")</f>
        <v/>
      </c>
      <c r="C208" s="391" t="str">
        <f t="shared" si="8"/>
        <v/>
      </c>
      <c r="D208" s="392" t="str">
        <f>IF(AND(Data!Q207&lt;&gt;"",Data!L207="Accepté"),Data!Q207,"")</f>
        <v/>
      </c>
      <c r="E208" s="237" t="str">
        <f>IF(AND(Data!R207&lt;&gt;"",Data!L207="Accepté"),Data!R207,"")</f>
        <v/>
      </c>
      <c r="F208" s="326" t="str">
        <f>IF(AND(Data!R207&lt;&gt;"",Data!L207="Accepté"),Data!S207,"")</f>
        <v/>
      </c>
      <c r="G208" s="322">
        <f>IF(Data!R207='Delivery Plan'!E208,Data!U207,"")</f>
        <v>0</v>
      </c>
      <c r="H208" s="259"/>
      <c r="I208" s="391" t="str">
        <f t="shared" si="9"/>
        <v/>
      </c>
      <c r="J208" s="392" t="str">
        <f>IF(AND(E208=Data!R207,Data!AA207&lt;&gt;""),Data!AA207,"")</f>
        <v/>
      </c>
      <c r="K208" s="313" t="str">
        <f>IF(AND(E208=Data!R207,Data!AE207&lt;&gt;""),Data!AE207,"")</f>
        <v/>
      </c>
      <c r="L208" s="318">
        <f>IF(E208=Data!R209,Data!AI209,"")</f>
        <v>0</v>
      </c>
      <c r="M208" s="318">
        <f>IF(E208=Data!R209,Data!AJ209,"")</f>
        <v>0</v>
      </c>
      <c r="N208" s="437" t="str">
        <f>IF(AND(Data!R209&lt;&gt;"",Data!L209="Accepté"),Data!K209,"")</f>
        <v/>
      </c>
    </row>
    <row r="209" spans="1:14" hidden="1" x14ac:dyDescent="0.3">
      <c r="A209" s="393" t="str">
        <f>IF(AND(Data!R208&lt;&gt;"",Data!L208="Accepté"),Data!G208,"")</f>
        <v/>
      </c>
      <c r="B209" s="393" t="str">
        <f>IF(AND(Data!R208&lt;&gt;"",Data!L208="Accepté"),Data!L208,"")</f>
        <v/>
      </c>
      <c r="C209" s="391" t="str">
        <f t="shared" si="8"/>
        <v/>
      </c>
      <c r="D209" s="392" t="str">
        <f>IF(AND(Data!Q208&lt;&gt;"",Data!L208="Accepté"),Data!Q208,"")</f>
        <v/>
      </c>
      <c r="E209" s="237" t="str">
        <f>IF(AND(Data!R208&lt;&gt;"",Data!L208="Accepté"),Data!R208,"")</f>
        <v/>
      </c>
      <c r="F209" s="326" t="str">
        <f>IF(AND(Data!R208&lt;&gt;"",Data!L208="Accepté"),Data!S208,"")</f>
        <v/>
      </c>
      <c r="G209" s="322">
        <f>IF(Data!R208='Delivery Plan'!E209,Data!U208,"")</f>
        <v>0</v>
      </c>
      <c r="H209" s="259"/>
      <c r="I209" s="391" t="str">
        <f t="shared" si="9"/>
        <v/>
      </c>
      <c r="J209" s="392" t="str">
        <f>IF(AND(E209=Data!R208,Data!AA208&lt;&gt;""),Data!AA208,"")</f>
        <v/>
      </c>
      <c r="K209" s="313" t="str">
        <f>IF(AND(E209=Data!R208,Data!AE208&lt;&gt;""),Data!AE208,"")</f>
        <v/>
      </c>
      <c r="L209" s="318">
        <f>IF(E209=Data!R210,Data!AI210,"")</f>
        <v>0</v>
      </c>
      <c r="M209" s="318">
        <f>IF(E209=Data!R210,Data!AJ210,"")</f>
        <v>0</v>
      </c>
      <c r="N209" s="437" t="str">
        <f>IF(AND(Data!R210&lt;&gt;"",Data!L210="Accepté"),Data!K210,"")</f>
        <v/>
      </c>
    </row>
    <row r="210" spans="1:14" hidden="1" x14ac:dyDescent="0.3">
      <c r="A210" s="393" t="str">
        <f>IF(AND(Data!R209&lt;&gt;"",Data!L209="Accepté"),Data!G209,"")</f>
        <v/>
      </c>
      <c r="B210" s="393" t="str">
        <f>IF(AND(Data!R209&lt;&gt;"",Data!L209="Accepté"),Data!L209,"")</f>
        <v/>
      </c>
      <c r="C210" s="391" t="str">
        <f t="shared" si="8"/>
        <v/>
      </c>
      <c r="D210" s="392" t="str">
        <f>IF(AND(Data!Q209&lt;&gt;"",Data!L209="Accepté"),Data!Q209,"")</f>
        <v/>
      </c>
      <c r="E210" s="237" t="str">
        <f>IF(AND(Data!R209&lt;&gt;"",Data!L209="Accepté"),Data!R209,"")</f>
        <v/>
      </c>
      <c r="F210" s="326" t="str">
        <f>IF(AND(Data!R209&lt;&gt;"",Data!L209="Accepté"),Data!S209,"")</f>
        <v/>
      </c>
      <c r="G210" s="322">
        <f>IF(Data!R209='Delivery Plan'!E210,Data!U209,"")</f>
        <v>0</v>
      </c>
      <c r="H210" s="259"/>
      <c r="I210" s="391" t="str">
        <f t="shared" si="9"/>
        <v/>
      </c>
      <c r="J210" s="392" t="str">
        <f>IF(AND(E210=Data!R209,Data!AA209&lt;&gt;""),Data!AA209,"")</f>
        <v/>
      </c>
      <c r="K210" s="313" t="str">
        <f>IF(AND(E210=Data!R209,Data!AE209&lt;&gt;""),Data!AE209,"")</f>
        <v/>
      </c>
      <c r="L210" s="318">
        <f>IF(E210=Data!R211,Data!AI211,"")</f>
        <v>0</v>
      </c>
      <c r="M210" s="318">
        <f>IF(E210=Data!R211,Data!AJ211,"")</f>
        <v>0</v>
      </c>
      <c r="N210" s="437" t="str">
        <f>IF(AND(Data!R211&lt;&gt;"",Data!L211="Accepté"),Data!K211,"")</f>
        <v/>
      </c>
    </row>
    <row r="211" spans="1:14" hidden="1" x14ac:dyDescent="0.3">
      <c r="A211" s="393" t="str">
        <f>IF(AND(Data!R210&lt;&gt;"",Data!L210="Accepté"),Data!G210,"")</f>
        <v/>
      </c>
      <c r="B211" s="393" t="str">
        <f>IF(AND(Data!R210&lt;&gt;"",Data!L210="Accepté"),Data!L210,"")</f>
        <v/>
      </c>
      <c r="C211" s="391" t="str">
        <f t="shared" si="8"/>
        <v/>
      </c>
      <c r="D211" s="392" t="str">
        <f>IF(AND(Data!Q210&lt;&gt;"",Data!L210="Accepté"),Data!Q210,"")</f>
        <v/>
      </c>
      <c r="E211" s="237" t="str">
        <f>IF(AND(Data!R210&lt;&gt;"",Data!L210="Accepté"),Data!R210,"")</f>
        <v/>
      </c>
      <c r="F211" s="326" t="str">
        <f>IF(AND(Data!R210&lt;&gt;"",Data!L210="Accepté"),Data!S210,"")</f>
        <v/>
      </c>
      <c r="G211" s="322">
        <f>IF(Data!R210='Delivery Plan'!E211,Data!U210,"")</f>
        <v>0</v>
      </c>
      <c r="H211" s="259"/>
      <c r="I211" s="391" t="str">
        <f t="shared" si="9"/>
        <v/>
      </c>
      <c r="J211" s="392" t="str">
        <f>IF(AND(E211=Data!R210,Data!AA210&lt;&gt;""),Data!AA210,"")</f>
        <v/>
      </c>
      <c r="K211" s="313" t="str">
        <f>IF(AND(E211=Data!R210,Data!AE210&lt;&gt;""),Data!AE210,"")</f>
        <v/>
      </c>
      <c r="L211" s="318">
        <f>IF(E211=Data!R212,Data!AI212,"")</f>
        <v>0</v>
      </c>
      <c r="M211" s="318">
        <f>IF(E211=Data!R212,Data!AJ212,"")</f>
        <v>0</v>
      </c>
      <c r="N211" s="437" t="str">
        <f>IF(AND(Data!R212&lt;&gt;"",Data!L212="Accepté"),Data!K212,"")</f>
        <v/>
      </c>
    </row>
    <row r="212" spans="1:14" hidden="1" x14ac:dyDescent="0.3">
      <c r="A212" s="393" t="str">
        <f>IF(AND(Data!R211&lt;&gt;"",Data!L211="Accepté"),Data!G211,"")</f>
        <v/>
      </c>
      <c r="B212" s="393" t="str">
        <f>IF(AND(Data!R211&lt;&gt;"",Data!L211="Accepté"),Data!L211,"")</f>
        <v/>
      </c>
      <c r="C212" s="391" t="str">
        <f t="shared" si="8"/>
        <v/>
      </c>
      <c r="D212" s="392" t="str">
        <f>IF(AND(Data!Q211&lt;&gt;"",Data!L211="Accepté"),Data!Q211,"")</f>
        <v/>
      </c>
      <c r="E212" s="237" t="str">
        <f>IF(AND(Data!R211&lt;&gt;"",Data!L211="Accepté"),Data!R211,"")</f>
        <v/>
      </c>
      <c r="F212" s="326" t="str">
        <f>IF(AND(Data!R211&lt;&gt;"",Data!L211="Accepté"),Data!S211,"")</f>
        <v/>
      </c>
      <c r="G212" s="322">
        <f>IF(Data!R211='Delivery Plan'!E212,Data!U211,"")</f>
        <v>0</v>
      </c>
      <c r="H212" s="259"/>
      <c r="I212" s="391" t="str">
        <f t="shared" si="9"/>
        <v/>
      </c>
      <c r="J212" s="392" t="str">
        <f>IF(AND(E212=Data!R211,Data!AA211&lt;&gt;""),Data!AA211,"")</f>
        <v/>
      </c>
      <c r="K212" s="313" t="str">
        <f>IF(AND(E212=Data!R211,Data!AE211&lt;&gt;""),Data!AE211,"")</f>
        <v/>
      </c>
      <c r="L212" s="318">
        <f>IF(E212=Data!R213,Data!AI213,"")</f>
        <v>0</v>
      </c>
      <c r="M212" s="318">
        <f>IF(E212=Data!R213,Data!AJ213,"")</f>
        <v>0</v>
      </c>
      <c r="N212" s="437" t="str">
        <f>IF(AND(Data!R213&lt;&gt;"",Data!L213="Accepté"),Data!K213,"")</f>
        <v/>
      </c>
    </row>
    <row r="213" spans="1:14" hidden="1" x14ac:dyDescent="0.3">
      <c r="A213" s="393" t="str">
        <f>IF(AND(Data!R212&lt;&gt;"",Data!L212="Accepté"),Data!G212,"")</f>
        <v/>
      </c>
      <c r="B213" s="393" t="str">
        <f>IF(AND(Data!R212&lt;&gt;"",Data!L212="Accepté"),Data!L212,"")</f>
        <v/>
      </c>
      <c r="C213" s="391" t="str">
        <f t="shared" si="8"/>
        <v/>
      </c>
      <c r="D213" s="392" t="str">
        <f>IF(AND(Data!Q212&lt;&gt;"",Data!L212="Accepté"),Data!Q212,"")</f>
        <v/>
      </c>
      <c r="E213" s="237" t="str">
        <f>IF(AND(Data!R212&lt;&gt;"",Data!L212="Accepté"),Data!R212,"")</f>
        <v/>
      </c>
      <c r="F213" s="326" t="str">
        <f>IF(AND(Data!R212&lt;&gt;"",Data!L212="Accepté"),Data!S212,"")</f>
        <v/>
      </c>
      <c r="G213" s="322">
        <f>IF(Data!R212='Delivery Plan'!E213,Data!U212,"")</f>
        <v>0</v>
      </c>
      <c r="H213" s="259"/>
      <c r="I213" s="391" t="str">
        <f t="shared" si="9"/>
        <v/>
      </c>
      <c r="J213" s="392" t="str">
        <f>IF(AND(E213=Data!R212,Data!AA212&lt;&gt;""),Data!AA212,"")</f>
        <v/>
      </c>
      <c r="K213" s="313" t="str">
        <f>IF(AND(E213=Data!R212,Data!AE212&lt;&gt;""),Data!AE212,"")</f>
        <v/>
      </c>
      <c r="L213" s="318">
        <f>IF(E213=Data!R214,Data!AI214,"")</f>
        <v>0</v>
      </c>
      <c r="M213" s="318">
        <f>IF(E213=Data!R214,Data!AJ214,"")</f>
        <v>0</v>
      </c>
      <c r="N213" s="437" t="str">
        <f>IF(AND(Data!R214&lt;&gt;"",Data!L214="Accepté"),Data!K214,"")</f>
        <v/>
      </c>
    </row>
    <row r="214" spans="1:14" hidden="1" x14ac:dyDescent="0.3">
      <c r="A214" s="393" t="str">
        <f>IF(AND(Data!R213&lt;&gt;"",Data!L213="Accepté"),Data!G213,"")</f>
        <v/>
      </c>
      <c r="B214" s="393" t="str">
        <f>IF(AND(Data!R213&lt;&gt;"",Data!L213="Accepté"),Data!L213,"")</f>
        <v/>
      </c>
      <c r="C214" s="391" t="str">
        <f t="shared" si="8"/>
        <v/>
      </c>
      <c r="D214" s="392" t="str">
        <f>IF(AND(Data!Q213&lt;&gt;"",Data!L213="Accepté"),Data!Q213,"")</f>
        <v/>
      </c>
      <c r="E214" s="237" t="str">
        <f>IF(AND(Data!R213&lt;&gt;"",Data!L213="Accepté"),Data!R213,"")</f>
        <v/>
      </c>
      <c r="F214" s="326" t="str">
        <f>IF(AND(Data!R213&lt;&gt;"",Data!L213="Accepté"),Data!S213,"")</f>
        <v/>
      </c>
      <c r="G214" s="322">
        <f>IF(Data!R213='Delivery Plan'!E214,Data!U213,"")</f>
        <v>0</v>
      </c>
      <c r="H214" s="259"/>
      <c r="I214" s="391" t="str">
        <f t="shared" si="9"/>
        <v/>
      </c>
      <c r="J214" s="392" t="str">
        <f>IF(AND(E214=Data!R213,Data!AA213&lt;&gt;""),Data!AA213,"")</f>
        <v/>
      </c>
      <c r="K214" s="313" t="str">
        <f>IF(AND(E214=Data!R213,Data!AE213&lt;&gt;""),Data!AE213,"")</f>
        <v/>
      </c>
      <c r="L214" s="318">
        <f>IF(E214=Data!R215,Data!AI215,"")</f>
        <v>0</v>
      </c>
      <c r="M214" s="318">
        <f>IF(E214=Data!R215,Data!AJ215,"")</f>
        <v>0</v>
      </c>
      <c r="N214" s="437" t="str">
        <f>IF(AND(Data!R215&lt;&gt;"",Data!L215="Accepté"),Data!K215,"")</f>
        <v/>
      </c>
    </row>
    <row r="215" spans="1:14" hidden="1" x14ac:dyDescent="0.3">
      <c r="A215" s="393" t="str">
        <f>IF(AND(Data!R214&lt;&gt;"",Data!L214="Accepté"),Data!G214,"")</f>
        <v/>
      </c>
      <c r="B215" s="393" t="str">
        <f>IF(AND(Data!R214&lt;&gt;"",Data!L214="Accepté"),Data!L214,"")</f>
        <v/>
      </c>
      <c r="C215" s="391" t="str">
        <f t="shared" si="8"/>
        <v/>
      </c>
      <c r="D215" s="392" t="str">
        <f>IF(AND(Data!Q214&lt;&gt;"",Data!L214="Accepté"),Data!Q214,"")</f>
        <v/>
      </c>
      <c r="E215" s="237" t="str">
        <f>IF(AND(Data!R214&lt;&gt;"",Data!L214="Accepté"),Data!R214,"")</f>
        <v/>
      </c>
      <c r="F215" s="326" t="str">
        <f>IF(AND(Data!R214&lt;&gt;"",Data!L214="Accepté"),Data!S214,"")</f>
        <v/>
      </c>
      <c r="G215" s="322">
        <f>IF(Data!R214='Delivery Plan'!E215,Data!U214,"")</f>
        <v>0</v>
      </c>
      <c r="H215" s="259"/>
      <c r="I215" s="391" t="str">
        <f t="shared" si="9"/>
        <v/>
      </c>
      <c r="J215" s="392" t="str">
        <f>IF(AND(E215=Data!R214,Data!AA214&lt;&gt;""),Data!AA214,"")</f>
        <v/>
      </c>
      <c r="K215" s="313" t="str">
        <f>IF(AND(E215=Data!R214,Data!AE214&lt;&gt;""),Data!AE214,"")</f>
        <v/>
      </c>
      <c r="L215" s="318">
        <f>IF(E215=Data!R216,Data!AI216,"")</f>
        <v>0</v>
      </c>
      <c r="M215" s="318">
        <f>IF(E215=Data!R216,Data!AJ216,"")</f>
        <v>0</v>
      </c>
      <c r="N215" s="437" t="str">
        <f>IF(AND(Data!R216&lt;&gt;"",Data!L216="Accepté"),Data!K216,"")</f>
        <v/>
      </c>
    </row>
    <row r="216" spans="1:14" hidden="1" x14ac:dyDescent="0.3">
      <c r="A216" s="393" t="str">
        <f>IF(AND(Data!R215&lt;&gt;"",Data!L215="Accepté"),Data!G215,"")</f>
        <v/>
      </c>
      <c r="B216" s="393" t="str">
        <f>IF(AND(Data!R215&lt;&gt;"",Data!L215="Accepté"),Data!L215,"")</f>
        <v/>
      </c>
      <c r="C216" s="391" t="str">
        <f t="shared" si="8"/>
        <v/>
      </c>
      <c r="D216" s="392" t="str">
        <f>IF(AND(Data!Q215&lt;&gt;"",Data!L215="Accepté"),Data!Q215,"")</f>
        <v/>
      </c>
      <c r="E216" s="237" t="str">
        <f>IF(AND(Data!R215&lt;&gt;"",Data!L215="Accepté"),Data!R215,"")</f>
        <v/>
      </c>
      <c r="F216" s="326" t="str">
        <f>IF(AND(Data!R215&lt;&gt;"",Data!L215="Accepté"),Data!S215,"")</f>
        <v/>
      </c>
      <c r="G216" s="322">
        <f>IF(Data!R215='Delivery Plan'!E216,Data!U215,"")</f>
        <v>0</v>
      </c>
      <c r="H216" s="259"/>
      <c r="I216" s="391" t="str">
        <f t="shared" si="9"/>
        <v/>
      </c>
      <c r="J216" s="392" t="str">
        <f>IF(AND(E216=Data!R215,Data!AA215&lt;&gt;""),Data!AA215,"")</f>
        <v/>
      </c>
      <c r="K216" s="313" t="str">
        <f>IF(AND(E216=Data!R215,Data!AE215&lt;&gt;""),Data!AE215,"")</f>
        <v/>
      </c>
      <c r="L216" s="318">
        <f>IF(E216=Data!R217,Data!AI217,"")</f>
        <v>0</v>
      </c>
      <c r="M216" s="318">
        <f>IF(E216=Data!R217,Data!AJ217,"")</f>
        <v>0</v>
      </c>
      <c r="N216" s="437" t="str">
        <f>IF(AND(Data!R217&lt;&gt;"",Data!L217="Accepté"),Data!K217,"")</f>
        <v/>
      </c>
    </row>
    <row r="217" spans="1:14" hidden="1" x14ac:dyDescent="0.3">
      <c r="A217" s="393" t="str">
        <f>IF(AND(Data!R216&lt;&gt;"",Data!L216="Accepté"),Data!G216,"")</f>
        <v/>
      </c>
      <c r="B217" s="393" t="str">
        <f>IF(AND(Data!R216&lt;&gt;"",Data!L216="Accepté"),Data!L216,"")</f>
        <v/>
      </c>
      <c r="C217" s="391" t="str">
        <f t="shared" si="8"/>
        <v/>
      </c>
      <c r="D217" s="392" t="str">
        <f>IF(AND(Data!Q216&lt;&gt;"",Data!L216="Accepté"),Data!Q216,"")</f>
        <v/>
      </c>
      <c r="E217" s="237" t="str">
        <f>IF(AND(Data!R216&lt;&gt;"",Data!L216="Accepté"),Data!R216,"")</f>
        <v/>
      </c>
      <c r="F217" s="326" t="str">
        <f>IF(AND(Data!R216&lt;&gt;"",Data!L216="Accepté"),Data!S216,"")</f>
        <v/>
      </c>
      <c r="G217" s="322">
        <f>IF(Data!R216='Delivery Plan'!E217,Data!U216,"")</f>
        <v>0</v>
      </c>
      <c r="H217" s="259"/>
      <c r="I217" s="391" t="str">
        <f t="shared" si="9"/>
        <v/>
      </c>
      <c r="J217" s="392" t="str">
        <f>IF(AND(E217=Data!R216,Data!AA216&lt;&gt;""),Data!AA216,"")</f>
        <v/>
      </c>
      <c r="K217" s="313" t="str">
        <f>IF(AND(E217=Data!R216,Data!AE216&lt;&gt;""),Data!AE216,"")</f>
        <v/>
      </c>
      <c r="L217" s="318">
        <f>IF(E217=Data!R218,Data!AI218,"")</f>
        <v>0</v>
      </c>
      <c r="M217" s="318">
        <f>IF(E217=Data!R218,Data!AJ218,"")</f>
        <v>0</v>
      </c>
      <c r="N217" s="437" t="str">
        <f>IF(AND(Data!R218&lt;&gt;"",Data!L218="Accepté"),Data!K218,"")</f>
        <v/>
      </c>
    </row>
    <row r="218" spans="1:14" hidden="1" x14ac:dyDescent="0.3">
      <c r="A218" s="393" t="str">
        <f>IF(AND(Data!R217&lt;&gt;"",Data!L217="Accepté"),Data!G217,"")</f>
        <v/>
      </c>
      <c r="B218" s="393" t="str">
        <f>IF(AND(Data!R217&lt;&gt;"",Data!L217="Accepté"),Data!L217,"")</f>
        <v/>
      </c>
      <c r="C218" s="391" t="str">
        <f t="shared" si="8"/>
        <v/>
      </c>
      <c r="D218" s="392" t="str">
        <f>IF(AND(Data!Q217&lt;&gt;"",Data!L217="Accepté"),Data!Q217,"")</f>
        <v/>
      </c>
      <c r="E218" s="237" t="str">
        <f>IF(AND(Data!R217&lt;&gt;"",Data!L217="Accepté"),Data!R217,"")</f>
        <v/>
      </c>
      <c r="F218" s="326" t="str">
        <f>IF(AND(Data!R217&lt;&gt;"",Data!L217="Accepté"),Data!S217,"")</f>
        <v/>
      </c>
      <c r="G218" s="322">
        <f>IF(Data!R217='Delivery Plan'!E218,Data!U217,"")</f>
        <v>0</v>
      </c>
      <c r="H218" s="259"/>
      <c r="I218" s="391" t="str">
        <f t="shared" si="9"/>
        <v/>
      </c>
      <c r="J218" s="392" t="str">
        <f>IF(AND(E218=Data!R217,Data!AA217&lt;&gt;""),Data!AA217,"")</f>
        <v/>
      </c>
      <c r="K218" s="313" t="str">
        <f>IF(AND(E218=Data!R217,Data!AE217&lt;&gt;""),Data!AE217,"")</f>
        <v/>
      </c>
      <c r="L218" s="318">
        <f>IF(E218=Data!R219,Data!AI219,"")</f>
        <v>0</v>
      </c>
      <c r="M218" s="318">
        <f>IF(E218=Data!R219,Data!AJ219,"")</f>
        <v>0</v>
      </c>
      <c r="N218" s="437" t="str">
        <f>IF(AND(Data!R219&lt;&gt;"",Data!L219="Accepté"),Data!K219,"")</f>
        <v/>
      </c>
    </row>
    <row r="219" spans="1:14" hidden="1" x14ac:dyDescent="0.3">
      <c r="A219" s="393" t="str">
        <f>IF(AND(Data!R218&lt;&gt;"",Data!L218="Accepté"),Data!G218,"")</f>
        <v/>
      </c>
      <c r="B219" s="393" t="str">
        <f>IF(AND(Data!R218&lt;&gt;"",Data!L218="Accepté"),Data!L218,"")</f>
        <v/>
      </c>
      <c r="C219" s="391" t="str">
        <f t="shared" si="8"/>
        <v/>
      </c>
      <c r="D219" s="392" t="str">
        <f>IF(AND(Data!Q218&lt;&gt;"",Data!L218="Accepté"),Data!Q218,"")</f>
        <v/>
      </c>
      <c r="E219" s="237" t="str">
        <f>IF(AND(Data!R218&lt;&gt;"",Data!L218="Accepté"),Data!R218,"")</f>
        <v/>
      </c>
      <c r="F219" s="326" t="str">
        <f>IF(AND(Data!R218&lt;&gt;"",Data!L218="Accepté"),Data!S218,"")</f>
        <v/>
      </c>
      <c r="G219" s="322">
        <f>IF(Data!R218='Delivery Plan'!E219,Data!U218,"")</f>
        <v>0</v>
      </c>
      <c r="H219" s="259"/>
      <c r="I219" s="391" t="str">
        <f t="shared" si="9"/>
        <v/>
      </c>
      <c r="J219" s="392" t="str">
        <f>IF(AND(E219=Data!R218,Data!AA218&lt;&gt;""),Data!AA218,"")</f>
        <v/>
      </c>
      <c r="K219" s="313" t="str">
        <f>IF(AND(E219=Data!R218,Data!AE218&lt;&gt;""),Data!AE218,"")</f>
        <v/>
      </c>
      <c r="L219" s="318">
        <f>IF(E219=Data!R220,Data!AI220,"")</f>
        <v>0</v>
      </c>
      <c r="M219" s="318">
        <f>IF(E219=Data!R220,Data!AJ220,"")</f>
        <v>0</v>
      </c>
      <c r="N219" s="437" t="str">
        <f>IF(AND(Data!R220&lt;&gt;"",Data!L220="Accepté"),Data!K220,"")</f>
        <v/>
      </c>
    </row>
    <row r="220" spans="1:14" hidden="1" x14ac:dyDescent="0.3">
      <c r="A220" s="393" t="str">
        <f>IF(AND(Data!R219&lt;&gt;"",Data!L219="Accepté"),Data!G219,"")</f>
        <v/>
      </c>
      <c r="B220" s="393" t="str">
        <f>IF(AND(Data!R219&lt;&gt;"",Data!L219="Accepté"),Data!L219,"")</f>
        <v/>
      </c>
      <c r="C220" s="391" t="str">
        <f t="shared" si="8"/>
        <v/>
      </c>
      <c r="D220" s="392" t="str">
        <f>IF(AND(Data!Q219&lt;&gt;"",Data!L219="Accepté"),Data!Q219,"")</f>
        <v/>
      </c>
      <c r="E220" s="237" t="str">
        <f>IF(AND(Data!R219&lt;&gt;"",Data!L219="Accepté"),Data!R219,"")</f>
        <v/>
      </c>
      <c r="F220" s="326" t="str">
        <f>IF(AND(Data!R219&lt;&gt;"",Data!L219="Accepté"),Data!S219,"")</f>
        <v/>
      </c>
      <c r="G220" s="322">
        <f>IF(Data!R219='Delivery Plan'!E220,Data!U219,"")</f>
        <v>0</v>
      </c>
      <c r="H220" s="259"/>
      <c r="I220" s="391" t="str">
        <f t="shared" si="9"/>
        <v/>
      </c>
      <c r="J220" s="392" t="str">
        <f>IF(AND(E220=Data!R219,Data!AA219&lt;&gt;""),Data!AA219,"")</f>
        <v/>
      </c>
      <c r="K220" s="313" t="str">
        <f>IF(AND(E220=Data!R219,Data!AE219&lt;&gt;""),Data!AE219,"")</f>
        <v/>
      </c>
      <c r="L220" s="318">
        <f>IF(E220=Data!R221,Data!AI221,"")</f>
        <v>0</v>
      </c>
      <c r="M220" s="318">
        <f>IF(E220=Data!R221,Data!AJ221,"")</f>
        <v>0</v>
      </c>
      <c r="N220" s="437" t="str">
        <f>IF(AND(Data!R221&lt;&gt;"",Data!L221="Accepté"),Data!K221,"")</f>
        <v/>
      </c>
    </row>
    <row r="221" spans="1:14" hidden="1" x14ac:dyDescent="0.3">
      <c r="A221" s="393" t="str">
        <f>IF(AND(Data!R220&lt;&gt;"",Data!L220="Accepté"),Data!G220,"")</f>
        <v/>
      </c>
      <c r="B221" s="393" t="str">
        <f>IF(AND(Data!R220&lt;&gt;"",Data!L220="Accepté"),Data!L220,"")</f>
        <v/>
      </c>
      <c r="C221" s="391" t="str">
        <f t="shared" si="8"/>
        <v/>
      </c>
      <c r="D221" s="392" t="str">
        <f>IF(AND(Data!Q220&lt;&gt;"",Data!L220="Accepté"),Data!Q220,"")</f>
        <v/>
      </c>
      <c r="E221" s="237" t="str">
        <f>IF(AND(Data!R220&lt;&gt;"",Data!L220="Accepté"),Data!R220,"")</f>
        <v/>
      </c>
      <c r="F221" s="326" t="str">
        <f>IF(AND(Data!R220&lt;&gt;"",Data!L220="Accepté"),Data!S220,"")</f>
        <v/>
      </c>
      <c r="G221" s="322">
        <f>IF(Data!R220='Delivery Plan'!E221,Data!U220,"")</f>
        <v>0</v>
      </c>
      <c r="H221" s="259"/>
      <c r="I221" s="391" t="str">
        <f t="shared" si="9"/>
        <v/>
      </c>
      <c r="J221" s="392" t="str">
        <f>IF(AND(E221=Data!R220,Data!AA220&lt;&gt;""),Data!AA220,"")</f>
        <v/>
      </c>
      <c r="K221" s="313" t="str">
        <f>IF(AND(E221=Data!R220,Data!AE220&lt;&gt;""),Data!AE220,"")</f>
        <v/>
      </c>
      <c r="L221" s="318">
        <f>IF(E221=Data!R222,Data!AI222,"")</f>
        <v>0</v>
      </c>
      <c r="M221" s="318">
        <f>IF(E221=Data!R222,Data!AJ222,"")</f>
        <v>0</v>
      </c>
      <c r="N221" s="437" t="str">
        <f>IF(AND(Data!R222&lt;&gt;"",Data!L222="Accepté"),Data!K222,"")</f>
        <v/>
      </c>
    </row>
    <row r="222" spans="1:14" hidden="1" x14ac:dyDescent="0.3">
      <c r="A222" s="393" t="str">
        <f>IF(AND(Data!R221&lt;&gt;"",Data!L221="Accepté"),Data!G221,"")</f>
        <v/>
      </c>
      <c r="B222" s="393" t="str">
        <f>IF(AND(Data!R221&lt;&gt;"",Data!L221="Accepté"),Data!L221,"")</f>
        <v/>
      </c>
      <c r="C222" s="391" t="str">
        <f t="shared" si="8"/>
        <v/>
      </c>
      <c r="D222" s="392" t="str">
        <f>IF(AND(Data!Q221&lt;&gt;"",Data!L221="Accepté"),Data!Q221,"")</f>
        <v/>
      </c>
      <c r="E222" s="237" t="str">
        <f>IF(AND(Data!R221&lt;&gt;"",Data!L221="Accepté"),Data!R221,"")</f>
        <v/>
      </c>
      <c r="F222" s="326" t="str">
        <f>IF(AND(Data!R221&lt;&gt;"",Data!L221="Accepté"),Data!S221,"")</f>
        <v/>
      </c>
      <c r="G222" s="322">
        <f>IF(Data!R221='Delivery Plan'!E222,Data!U221,"")</f>
        <v>0</v>
      </c>
      <c r="H222" s="259"/>
      <c r="I222" s="391" t="str">
        <f t="shared" si="9"/>
        <v/>
      </c>
      <c r="J222" s="392" t="str">
        <f>IF(AND(E222=Data!R221,Data!AA221&lt;&gt;""),Data!AA221,"")</f>
        <v/>
      </c>
      <c r="K222" s="313" t="str">
        <f>IF(AND(E222=Data!R221,Data!AE221&lt;&gt;""),Data!AE221,"")</f>
        <v/>
      </c>
      <c r="L222" s="318">
        <f>IF(E222=Data!R223,Data!AI223,"")</f>
        <v>0</v>
      </c>
      <c r="M222" s="318">
        <f>IF(E222=Data!R223,Data!AJ223,"")</f>
        <v>0</v>
      </c>
      <c r="N222" s="437" t="str">
        <f>IF(AND(Data!R223&lt;&gt;"",Data!L223="Accepté"),Data!K223,"")</f>
        <v/>
      </c>
    </row>
    <row r="223" spans="1:14" hidden="1" x14ac:dyDescent="0.3">
      <c r="A223" s="393" t="str">
        <f>IF(AND(Data!R222&lt;&gt;"",Data!L222="Accepté"),Data!G222,"")</f>
        <v/>
      </c>
      <c r="B223" s="393" t="str">
        <f>IF(AND(Data!R222&lt;&gt;"",Data!L222="Accepté"),Data!L222,"")</f>
        <v/>
      </c>
      <c r="C223" s="391" t="str">
        <f t="shared" si="8"/>
        <v/>
      </c>
      <c r="D223" s="392" t="str">
        <f>IF(AND(Data!Q222&lt;&gt;"",Data!L222="Accepté"),Data!Q222,"")</f>
        <v/>
      </c>
      <c r="E223" s="237" t="str">
        <f>IF(AND(Data!R222&lt;&gt;"",Data!L222="Accepté"),Data!R222,"")</f>
        <v/>
      </c>
      <c r="F223" s="326" t="str">
        <f>IF(AND(Data!R222&lt;&gt;"",Data!L222="Accepté"),Data!S222,"")</f>
        <v/>
      </c>
      <c r="G223" s="322">
        <f>IF(Data!R222='Delivery Plan'!E223,Data!U222,"")</f>
        <v>0</v>
      </c>
      <c r="H223" s="259"/>
      <c r="I223" s="391" t="str">
        <f t="shared" si="9"/>
        <v/>
      </c>
      <c r="J223" s="392" t="str">
        <f>IF(AND(E223=Data!R222,Data!AA222&lt;&gt;""),Data!AA222,"")</f>
        <v/>
      </c>
      <c r="K223" s="313" t="str">
        <f>IF(AND(E223=Data!R222,Data!AE222&lt;&gt;""),Data!AE222,"")</f>
        <v/>
      </c>
      <c r="L223" s="318">
        <f>IF(E223=Data!R224,Data!AI224,"")</f>
        <v>0</v>
      </c>
      <c r="M223" s="318">
        <f>IF(E223=Data!R224,Data!AJ224,"")</f>
        <v>0</v>
      </c>
      <c r="N223" s="437" t="str">
        <f>IF(AND(Data!R224&lt;&gt;"",Data!L224="Accepté"),Data!K224,"")</f>
        <v/>
      </c>
    </row>
    <row r="224" spans="1:14" hidden="1" x14ac:dyDescent="0.3">
      <c r="A224" s="393" t="str">
        <f>IF(AND(Data!R223&lt;&gt;"",Data!L223="Accepté"),Data!G223,"")</f>
        <v/>
      </c>
      <c r="B224" s="393" t="str">
        <f>IF(AND(Data!R223&lt;&gt;"",Data!L223="Accepté"),Data!L223,"")</f>
        <v/>
      </c>
      <c r="C224" s="391" t="str">
        <f t="shared" si="8"/>
        <v/>
      </c>
      <c r="D224" s="392" t="str">
        <f>IF(AND(Data!Q223&lt;&gt;"",Data!L223="Accepté"),Data!Q223,"")</f>
        <v/>
      </c>
      <c r="E224" s="237" t="str">
        <f>IF(AND(Data!R223&lt;&gt;"",Data!L223="Accepté"),Data!R223,"")</f>
        <v/>
      </c>
      <c r="F224" s="326" t="str">
        <f>IF(AND(Data!R223&lt;&gt;"",Data!L223="Accepté"),Data!S223,"")</f>
        <v/>
      </c>
      <c r="G224" s="322">
        <f>IF(Data!R223='Delivery Plan'!E224,Data!U223,"")</f>
        <v>0</v>
      </c>
      <c r="H224" s="259"/>
      <c r="I224" s="391" t="str">
        <f t="shared" si="9"/>
        <v/>
      </c>
      <c r="J224" s="392" t="str">
        <f>IF(AND(E224=Data!R223,Data!AA223&lt;&gt;""),Data!AA223,"")</f>
        <v/>
      </c>
      <c r="K224" s="313" t="str">
        <f>IF(AND(E224=Data!R223,Data!AE223&lt;&gt;""),Data!AE223,"")</f>
        <v/>
      </c>
      <c r="L224" s="318">
        <f>IF(E224=Data!R225,Data!AI225,"")</f>
        <v>0</v>
      </c>
      <c r="M224" s="318">
        <f>IF(E224=Data!R225,Data!AJ225,"")</f>
        <v>0</v>
      </c>
      <c r="N224" s="437" t="str">
        <f>IF(AND(Data!R225&lt;&gt;"",Data!L225="Accepté"),Data!K225,"")</f>
        <v/>
      </c>
    </row>
    <row r="225" spans="1:14" hidden="1" x14ac:dyDescent="0.3">
      <c r="A225" s="393" t="str">
        <f>IF(AND(Data!R224&lt;&gt;"",Data!L224="Accepté"),Data!G224,"")</f>
        <v/>
      </c>
      <c r="B225" s="393" t="str">
        <f>IF(AND(Data!R224&lt;&gt;"",Data!L224="Accepté"),Data!L224,"")</f>
        <v/>
      </c>
      <c r="C225" s="391" t="str">
        <f t="shared" si="8"/>
        <v/>
      </c>
      <c r="D225" s="392" t="str">
        <f>IF(AND(Data!Q224&lt;&gt;"",Data!L224="Accepté"),Data!Q224,"")</f>
        <v/>
      </c>
      <c r="E225" s="237" t="str">
        <f>IF(AND(Data!R224&lt;&gt;"",Data!L224="Accepté"),Data!R224,"")</f>
        <v/>
      </c>
      <c r="F225" s="326" t="str">
        <f>IF(AND(Data!R224&lt;&gt;"",Data!L224="Accepté"),Data!S224,"")</f>
        <v/>
      </c>
      <c r="G225" s="322">
        <f>IF(Data!R224='Delivery Plan'!E225,Data!U224,"")</f>
        <v>0</v>
      </c>
      <c r="H225" s="259"/>
      <c r="I225" s="391" t="str">
        <f t="shared" si="9"/>
        <v/>
      </c>
      <c r="J225" s="392" t="str">
        <f>IF(AND(E225=Data!R224,Data!AA224&lt;&gt;""),Data!AA224,"")</f>
        <v/>
      </c>
      <c r="K225" s="313" t="str">
        <f>IF(AND(E225=Data!R224,Data!AE224&lt;&gt;""),Data!AE224,"")</f>
        <v/>
      </c>
      <c r="L225" s="318">
        <f>IF(E225=Data!R226,Data!AI226,"")</f>
        <v>0</v>
      </c>
      <c r="M225" s="318">
        <f>IF(E225=Data!R226,Data!AJ226,"")</f>
        <v>0</v>
      </c>
      <c r="N225" s="437" t="str">
        <f>IF(AND(Data!R226&lt;&gt;"",Data!L226="Accepté"),Data!K226,"")</f>
        <v/>
      </c>
    </row>
    <row r="226" spans="1:14" hidden="1" x14ac:dyDescent="0.3">
      <c r="A226" s="393" t="str">
        <f>IF(AND(Data!R225&lt;&gt;"",Data!L225="Accepté"),Data!G225,"")</f>
        <v/>
      </c>
      <c r="B226" s="393" t="str">
        <f>IF(AND(Data!R225&lt;&gt;"",Data!L225="Accepté"),Data!L225,"")</f>
        <v/>
      </c>
      <c r="C226" s="391" t="str">
        <f t="shared" si="8"/>
        <v/>
      </c>
      <c r="D226" s="392" t="str">
        <f>IF(AND(Data!Q225&lt;&gt;"",Data!L225="Accepté"),Data!Q225,"")</f>
        <v/>
      </c>
      <c r="E226" s="237" t="str">
        <f>IF(AND(Data!R225&lt;&gt;"",Data!L225="Accepté"),Data!R225,"")</f>
        <v/>
      </c>
      <c r="F226" s="326" t="str">
        <f>IF(AND(Data!R225&lt;&gt;"",Data!L225="Accepté"),Data!S225,"")</f>
        <v/>
      </c>
      <c r="G226" s="322">
        <f>IF(Data!R225='Delivery Plan'!E226,Data!U225,"")</f>
        <v>0</v>
      </c>
      <c r="H226" s="259"/>
      <c r="I226" s="391" t="str">
        <f t="shared" si="9"/>
        <v/>
      </c>
      <c r="J226" s="392" t="str">
        <f>IF(AND(E226=Data!R225,Data!AA225&lt;&gt;""),Data!AA225,"")</f>
        <v/>
      </c>
      <c r="K226" s="313" t="str">
        <f>IF(AND(E226=Data!R225,Data!AE225&lt;&gt;""),Data!AE225,"")</f>
        <v/>
      </c>
      <c r="L226" s="318">
        <f>IF(E226=Data!R227,Data!AI227,"")</f>
        <v>0</v>
      </c>
      <c r="M226" s="318">
        <f>IF(E226=Data!R227,Data!AJ227,"")</f>
        <v>0</v>
      </c>
      <c r="N226" s="437" t="str">
        <f>IF(AND(Data!R227&lt;&gt;"",Data!L227="Accepté"),Data!K227,"")</f>
        <v/>
      </c>
    </row>
    <row r="227" spans="1:14" hidden="1" x14ac:dyDescent="0.3">
      <c r="A227" s="393" t="str">
        <f>IF(AND(Data!R226&lt;&gt;"",Data!L226="Accepté"),Data!G226,"")</f>
        <v/>
      </c>
      <c r="B227" s="393" t="str">
        <f>IF(AND(Data!R226&lt;&gt;"",Data!L226="Accepté"),Data!L226,"")</f>
        <v/>
      </c>
      <c r="C227" s="391" t="str">
        <f t="shared" si="8"/>
        <v/>
      </c>
      <c r="D227" s="392" t="str">
        <f>IF(AND(Data!Q226&lt;&gt;"",Data!L226="Accepté"),Data!Q226,"")</f>
        <v/>
      </c>
      <c r="E227" s="237" t="str">
        <f>IF(AND(Data!R226&lt;&gt;"",Data!L226="Accepté"),Data!R226,"")</f>
        <v/>
      </c>
      <c r="F227" s="326" t="str">
        <f>IF(AND(Data!R226&lt;&gt;"",Data!L226="Accepté"),Data!S226,"")</f>
        <v/>
      </c>
      <c r="G227" s="322">
        <f>IF(Data!R226='Delivery Plan'!E227,Data!U226,"")</f>
        <v>0</v>
      </c>
      <c r="H227" s="259"/>
      <c r="I227" s="391" t="str">
        <f t="shared" si="9"/>
        <v/>
      </c>
      <c r="J227" s="392" t="str">
        <f>IF(AND(E227=Data!R226,Data!AA226&lt;&gt;""),Data!AA226,"")</f>
        <v/>
      </c>
      <c r="K227" s="313" t="str">
        <f>IF(AND(E227=Data!R226,Data!AE226&lt;&gt;""),Data!AE226,"")</f>
        <v/>
      </c>
      <c r="L227" s="318">
        <f>IF(E227=Data!R228,Data!AI228,"")</f>
        <v>0</v>
      </c>
      <c r="M227" s="318">
        <f>IF(E227=Data!R228,Data!AJ228,"")</f>
        <v>0</v>
      </c>
      <c r="N227" s="437" t="str">
        <f>IF(AND(Data!R228&lt;&gt;"",Data!L228="Accepté"),Data!K228,"")</f>
        <v/>
      </c>
    </row>
    <row r="228" spans="1:14" hidden="1" x14ac:dyDescent="0.3">
      <c r="A228" s="393" t="str">
        <f>IF(AND(Data!R227&lt;&gt;"",Data!L227="Accepté"),Data!G227,"")</f>
        <v/>
      </c>
      <c r="B228" s="393" t="str">
        <f>IF(AND(Data!R227&lt;&gt;"",Data!L227="Accepté"),Data!L227,"")</f>
        <v/>
      </c>
      <c r="C228" s="391" t="str">
        <f t="shared" si="8"/>
        <v/>
      </c>
      <c r="D228" s="392" t="str">
        <f>IF(AND(Data!Q227&lt;&gt;"",Data!L227="Accepté"),Data!Q227,"")</f>
        <v/>
      </c>
      <c r="E228" s="237" t="str">
        <f>IF(AND(Data!R227&lt;&gt;"",Data!L227="Accepté"),Data!R227,"")</f>
        <v/>
      </c>
      <c r="F228" s="326" t="str">
        <f>IF(AND(Data!R227&lt;&gt;"",Data!L227="Accepté"),Data!S227,"")</f>
        <v/>
      </c>
      <c r="G228" s="322">
        <f>IF(Data!R227='Delivery Plan'!E228,Data!U227,"")</f>
        <v>0</v>
      </c>
      <c r="H228" s="259"/>
      <c r="I228" s="391" t="str">
        <f t="shared" si="9"/>
        <v/>
      </c>
      <c r="J228" s="392" t="str">
        <f>IF(AND(E228=Data!R227,Data!AA227&lt;&gt;""),Data!AA227,"")</f>
        <v/>
      </c>
      <c r="K228" s="313" t="str">
        <f>IF(AND(E228=Data!R227,Data!AE227&lt;&gt;""),Data!AE227,"")</f>
        <v/>
      </c>
      <c r="L228" s="318">
        <f>IF(E228=Data!R229,Data!AI229,"")</f>
        <v>0</v>
      </c>
      <c r="M228" s="318">
        <f>IF(E228=Data!R229,Data!AJ229,"")</f>
        <v>0</v>
      </c>
      <c r="N228" s="437" t="str">
        <f>IF(AND(Data!R229&lt;&gt;"",Data!L229="Accepté"),Data!K229,"")</f>
        <v/>
      </c>
    </row>
    <row r="229" spans="1:14" hidden="1" x14ac:dyDescent="0.3">
      <c r="A229" s="393" t="str">
        <f>IF(AND(Data!R228&lt;&gt;"",Data!L228="Accepté"),Data!G228,"")</f>
        <v/>
      </c>
      <c r="B229" s="393" t="str">
        <f>IF(AND(Data!R228&lt;&gt;"",Data!L228="Accepté"),Data!L228,"")</f>
        <v/>
      </c>
      <c r="C229" s="391" t="str">
        <f t="shared" si="8"/>
        <v/>
      </c>
      <c r="D229" s="392" t="str">
        <f>IF(AND(Data!Q228&lt;&gt;"",Data!L228="Accepté"),Data!Q228,"")</f>
        <v/>
      </c>
      <c r="E229" s="237" t="str">
        <f>IF(AND(Data!R228&lt;&gt;"",Data!L228="Accepté"),Data!R228,"")</f>
        <v/>
      </c>
      <c r="F229" s="326" t="str">
        <f>IF(AND(Data!R228&lt;&gt;"",Data!L228="Accepté"),Data!S228,"")</f>
        <v/>
      </c>
      <c r="G229" s="322">
        <f>IF(Data!R228='Delivery Plan'!E229,Data!U228,"")</f>
        <v>0</v>
      </c>
      <c r="H229" s="259"/>
      <c r="I229" s="391" t="str">
        <f t="shared" si="9"/>
        <v/>
      </c>
      <c r="J229" s="392" t="str">
        <f>IF(AND(E229=Data!R228,Data!AA228&lt;&gt;""),Data!AA228,"")</f>
        <v/>
      </c>
      <c r="K229" s="313" t="str">
        <f>IF(AND(E229=Data!R228,Data!AE228&lt;&gt;""),Data!AE228,"")</f>
        <v/>
      </c>
      <c r="L229" s="318">
        <f>IF(E229=Data!R230,Data!AI230,"")</f>
        <v>0</v>
      </c>
      <c r="M229" s="318">
        <f>IF(E229=Data!R230,Data!AJ230,"")</f>
        <v>0</v>
      </c>
      <c r="N229" s="437" t="str">
        <f>IF(AND(Data!R230&lt;&gt;"",Data!L230="Accepté"),Data!K230,"")</f>
        <v/>
      </c>
    </row>
    <row r="230" spans="1:14" hidden="1" x14ac:dyDescent="0.3">
      <c r="A230" s="393" t="str">
        <f>IF(AND(Data!R229&lt;&gt;"",Data!L229="Accepté"),Data!G229,"")</f>
        <v/>
      </c>
      <c r="B230" s="393" t="str">
        <f>IF(AND(Data!R229&lt;&gt;"",Data!L229="Accepté"),Data!L229,"")</f>
        <v/>
      </c>
      <c r="C230" s="391" t="str">
        <f t="shared" si="8"/>
        <v/>
      </c>
      <c r="D230" s="392" t="str">
        <f>IF(AND(Data!Q229&lt;&gt;"",Data!L229="Accepté"),Data!Q229,"")</f>
        <v/>
      </c>
      <c r="E230" s="237" t="str">
        <f>IF(AND(Data!R229&lt;&gt;"",Data!L229="Accepté"),Data!R229,"")</f>
        <v/>
      </c>
      <c r="F230" s="326" t="str">
        <f>IF(AND(Data!R229&lt;&gt;"",Data!L229="Accepté"),Data!S229,"")</f>
        <v/>
      </c>
      <c r="G230" s="322">
        <f>IF(Data!R229='Delivery Plan'!E230,Data!U229,"")</f>
        <v>0</v>
      </c>
      <c r="H230" s="259"/>
      <c r="I230" s="391" t="str">
        <f t="shared" si="9"/>
        <v/>
      </c>
      <c r="J230" s="392" t="str">
        <f>IF(AND(E230=Data!R229,Data!AA229&lt;&gt;""),Data!AA229,"")</f>
        <v/>
      </c>
      <c r="K230" s="313" t="str">
        <f>IF(AND(E230=Data!R229,Data!AE229&lt;&gt;""),Data!AE229,"")</f>
        <v/>
      </c>
      <c r="L230" s="318">
        <f>IF(E230=Data!R231,Data!AI231,"")</f>
        <v>0</v>
      </c>
      <c r="M230" s="318">
        <f>IF(E230=Data!R231,Data!AJ231,"")</f>
        <v>0</v>
      </c>
      <c r="N230" s="437" t="str">
        <f>IF(AND(Data!R231&lt;&gt;"",Data!L231="Accepté"),Data!K231,"")</f>
        <v/>
      </c>
    </row>
    <row r="231" spans="1:14" hidden="1" x14ac:dyDescent="0.3">
      <c r="A231" s="393" t="str">
        <f>IF(AND(Data!R230&lt;&gt;"",Data!L230="Accepté"),Data!G230,"")</f>
        <v/>
      </c>
      <c r="B231" s="393" t="str">
        <f>IF(AND(Data!R230&lt;&gt;"",Data!L230="Accepté"),Data!L230,"")</f>
        <v/>
      </c>
      <c r="C231" s="391" t="str">
        <f t="shared" si="8"/>
        <v/>
      </c>
      <c r="D231" s="392" t="str">
        <f>IF(AND(Data!Q230&lt;&gt;"",Data!L230="Accepté"),Data!Q230,"")</f>
        <v/>
      </c>
      <c r="E231" s="237" t="str">
        <f>IF(AND(Data!R230&lt;&gt;"",Data!L230="Accepté"),Data!R230,"")</f>
        <v/>
      </c>
      <c r="F231" s="326" t="str">
        <f>IF(AND(Data!R230&lt;&gt;"",Data!L230="Accepté"),Data!S230,"")</f>
        <v/>
      </c>
      <c r="G231" s="322">
        <f>IF(Data!R230='Delivery Plan'!E231,Data!U230,"")</f>
        <v>0</v>
      </c>
      <c r="H231" s="259"/>
      <c r="I231" s="391" t="str">
        <f t="shared" si="9"/>
        <v/>
      </c>
      <c r="J231" s="392" t="str">
        <f>IF(AND(E231=Data!R230,Data!AA230&lt;&gt;""),Data!AA230,"")</f>
        <v/>
      </c>
      <c r="K231" s="313" t="str">
        <f>IF(AND(E231=Data!R230,Data!AE230&lt;&gt;""),Data!AE230,"")</f>
        <v/>
      </c>
      <c r="L231" s="318">
        <f>IF(E231=Data!R232,Data!AI232,"")</f>
        <v>0</v>
      </c>
      <c r="M231" s="318">
        <f>IF(E231=Data!R232,Data!AJ232,"")</f>
        <v>0</v>
      </c>
      <c r="N231" s="437" t="str">
        <f>IF(AND(Data!R232&lt;&gt;"",Data!L232="Accepté"),Data!K232,"")</f>
        <v/>
      </c>
    </row>
    <row r="232" spans="1:14" hidden="1" x14ac:dyDescent="0.3">
      <c r="A232" s="393" t="str">
        <f>IF(AND(Data!R231&lt;&gt;"",Data!L231="Accepté"),Data!G231,"")</f>
        <v/>
      </c>
      <c r="B232" s="393" t="str">
        <f>IF(AND(Data!R231&lt;&gt;"",Data!L231="Accepté"),Data!L231,"")</f>
        <v/>
      </c>
      <c r="C232" s="391" t="str">
        <f t="shared" si="8"/>
        <v/>
      </c>
      <c r="D232" s="392" t="str">
        <f>IF(AND(Data!Q231&lt;&gt;"",Data!L231="Accepté"),Data!Q231,"")</f>
        <v/>
      </c>
      <c r="E232" s="237" t="str">
        <f>IF(AND(Data!R231&lt;&gt;"",Data!L231="Accepté"),Data!R231,"")</f>
        <v/>
      </c>
      <c r="F232" s="326" t="str">
        <f>IF(AND(Data!R231&lt;&gt;"",Data!L231="Accepté"),Data!S231,"")</f>
        <v/>
      </c>
      <c r="G232" s="322">
        <f>IF(Data!R231='Delivery Plan'!E232,Data!U231,"")</f>
        <v>0</v>
      </c>
      <c r="H232" s="259"/>
      <c r="I232" s="391" t="str">
        <f t="shared" si="9"/>
        <v/>
      </c>
      <c r="J232" s="392" t="str">
        <f>IF(AND(E232=Data!R231,Data!AA231&lt;&gt;""),Data!AA231,"")</f>
        <v/>
      </c>
      <c r="K232" s="313" t="str">
        <f>IF(AND(E232=Data!R231,Data!AE231&lt;&gt;""),Data!AE231,"")</f>
        <v/>
      </c>
      <c r="L232" s="318">
        <f>IF(E232=Data!R233,Data!AI233,"")</f>
        <v>0</v>
      </c>
      <c r="M232" s="318">
        <f>IF(E232=Data!R233,Data!AJ233,"")</f>
        <v>0</v>
      </c>
      <c r="N232" s="437" t="str">
        <f>IF(AND(Data!R233&lt;&gt;"",Data!L233="Accepté"),Data!K233,"")</f>
        <v/>
      </c>
    </row>
    <row r="233" spans="1:14" hidden="1" x14ac:dyDescent="0.3">
      <c r="A233" s="393" t="str">
        <f>IF(AND(Data!R232&lt;&gt;"",Data!L232="Accepté"),Data!G232,"")</f>
        <v/>
      </c>
      <c r="B233" s="393" t="str">
        <f>IF(AND(Data!R232&lt;&gt;"",Data!L232="Accepté"),Data!L232,"")</f>
        <v/>
      </c>
      <c r="C233" s="391" t="str">
        <f t="shared" si="8"/>
        <v/>
      </c>
      <c r="D233" s="392" t="str">
        <f>IF(AND(Data!Q232&lt;&gt;"",Data!L232="Accepté"),Data!Q232,"")</f>
        <v/>
      </c>
      <c r="E233" s="237" t="str">
        <f>IF(AND(Data!R232&lt;&gt;"",Data!L232="Accepté"),Data!R232,"")</f>
        <v/>
      </c>
      <c r="F233" s="326" t="str">
        <f>IF(AND(Data!R232&lt;&gt;"",Data!L232="Accepté"),Data!S232,"")</f>
        <v/>
      </c>
      <c r="G233" s="322">
        <f>IF(Data!R232='Delivery Plan'!E233,Data!U232,"")</f>
        <v>0</v>
      </c>
      <c r="H233" s="259"/>
      <c r="I233" s="391" t="str">
        <f t="shared" si="9"/>
        <v/>
      </c>
      <c r="J233" s="392" t="str">
        <f>IF(AND(E233=Data!R232,Data!AA232&lt;&gt;""),Data!AA232,"")</f>
        <v/>
      </c>
      <c r="K233" s="313" t="str">
        <f>IF(AND(E233=Data!R232,Data!AE232&lt;&gt;""),Data!AE232,"")</f>
        <v/>
      </c>
      <c r="L233" s="318">
        <f>IF(E233=Data!R234,Data!AI234,"")</f>
        <v>0</v>
      </c>
      <c r="M233" s="318">
        <f>IF(E233=Data!R234,Data!AJ234,"")</f>
        <v>0</v>
      </c>
      <c r="N233" s="437" t="str">
        <f>IF(AND(Data!R234&lt;&gt;"",Data!L234="Accepté"),Data!K234,"")</f>
        <v/>
      </c>
    </row>
    <row r="234" spans="1:14" hidden="1" x14ac:dyDescent="0.3">
      <c r="A234" s="393" t="str">
        <f>IF(AND(Data!R233&lt;&gt;"",Data!L233="Accepté"),Data!G233,"")</f>
        <v/>
      </c>
      <c r="B234" s="393" t="str">
        <f>IF(AND(Data!R233&lt;&gt;"",Data!L233="Accepté"),Data!L233,"")</f>
        <v/>
      </c>
      <c r="C234" s="391" t="str">
        <f t="shared" si="8"/>
        <v/>
      </c>
      <c r="D234" s="392" t="str">
        <f>IF(AND(Data!Q233&lt;&gt;"",Data!L233="Accepté"),Data!Q233,"")</f>
        <v/>
      </c>
      <c r="E234" s="237" t="str">
        <f>IF(AND(Data!R233&lt;&gt;"",Data!L233="Accepté"),Data!R233,"")</f>
        <v/>
      </c>
      <c r="F234" s="326" t="str">
        <f>IF(AND(Data!R233&lt;&gt;"",Data!L233="Accepté"),Data!S233,"")</f>
        <v/>
      </c>
      <c r="G234" s="322">
        <f>IF(Data!R233='Delivery Plan'!E234,Data!U233,"")</f>
        <v>0</v>
      </c>
      <c r="H234" s="259"/>
      <c r="I234" s="391" t="str">
        <f t="shared" si="9"/>
        <v/>
      </c>
      <c r="J234" s="392" t="str">
        <f>IF(AND(E234=Data!R233,Data!AA233&lt;&gt;""),Data!AA233,"")</f>
        <v/>
      </c>
      <c r="K234" s="313" t="str">
        <f>IF(AND(E234=Data!R233,Data!AE233&lt;&gt;""),Data!AE233,"")</f>
        <v/>
      </c>
      <c r="L234" s="318">
        <f>IF(E234=Data!R235,Data!AI235,"")</f>
        <v>0</v>
      </c>
      <c r="M234" s="318">
        <f>IF(E234=Data!R235,Data!AJ235,"")</f>
        <v>0</v>
      </c>
      <c r="N234" s="437" t="str">
        <f>IF(AND(Data!R235&lt;&gt;"",Data!L235="Accepté"),Data!K235,"")</f>
        <v/>
      </c>
    </row>
    <row r="235" spans="1:14" hidden="1" x14ac:dyDescent="0.3">
      <c r="A235" s="393" t="str">
        <f>IF(AND(Data!R234&lt;&gt;"",Data!L234="Accepté"),Data!G234,"")</f>
        <v/>
      </c>
      <c r="B235" s="393" t="str">
        <f>IF(AND(Data!R234&lt;&gt;"",Data!L234="Accepté"),Data!L234,"")</f>
        <v/>
      </c>
      <c r="C235" s="391" t="str">
        <f t="shared" si="8"/>
        <v/>
      </c>
      <c r="D235" s="392" t="str">
        <f>IF(AND(Data!Q234&lt;&gt;"",Data!L234="Accepté"),Data!Q234,"")</f>
        <v/>
      </c>
      <c r="E235" s="237" t="str">
        <f>IF(AND(Data!R234&lt;&gt;"",Data!L234="Accepté"),Data!R234,"")</f>
        <v/>
      </c>
      <c r="F235" s="326" t="str">
        <f>IF(AND(Data!R234&lt;&gt;"",Data!L234="Accepté"),Data!S234,"")</f>
        <v/>
      </c>
      <c r="G235" s="322">
        <f>IF(Data!R234='Delivery Plan'!E235,Data!U234,"")</f>
        <v>0</v>
      </c>
      <c r="H235" s="259"/>
      <c r="I235" s="391" t="str">
        <f t="shared" si="9"/>
        <v/>
      </c>
      <c r="J235" s="392" t="str">
        <f>IF(AND(E235=Data!R234,Data!AA234&lt;&gt;""),Data!AA234,"")</f>
        <v/>
      </c>
      <c r="K235" s="313" t="str">
        <f>IF(AND(E235=Data!R234,Data!AE234&lt;&gt;""),Data!AE234,"")</f>
        <v/>
      </c>
      <c r="L235" s="318">
        <f>IF(E235=Data!R236,Data!AI236,"")</f>
        <v>0</v>
      </c>
      <c r="M235" s="318">
        <f>IF(E235=Data!R236,Data!AJ236,"")</f>
        <v>0</v>
      </c>
      <c r="N235" s="437" t="str">
        <f>IF(AND(Data!R236&lt;&gt;"",Data!L236="Accepté"),Data!K236,"")</f>
        <v/>
      </c>
    </row>
    <row r="236" spans="1:14" hidden="1" x14ac:dyDescent="0.3">
      <c r="A236" s="393" t="str">
        <f>IF(AND(Data!R235&lt;&gt;"",Data!L235="Accepté"),Data!G235,"")</f>
        <v/>
      </c>
      <c r="B236" s="393" t="str">
        <f>IF(AND(Data!R235&lt;&gt;"",Data!L235="Accepté"),Data!L235,"")</f>
        <v/>
      </c>
      <c r="C236" s="391" t="str">
        <f t="shared" si="8"/>
        <v/>
      </c>
      <c r="D236" s="392" t="str">
        <f>IF(AND(Data!Q235&lt;&gt;"",Data!L235="Accepté"),Data!Q235,"")</f>
        <v/>
      </c>
      <c r="E236" s="237" t="str">
        <f>IF(AND(Data!R235&lt;&gt;"",Data!L235="Accepté"),Data!R235,"")</f>
        <v/>
      </c>
      <c r="F236" s="326" t="str">
        <f>IF(AND(Data!R235&lt;&gt;"",Data!L235="Accepté"),Data!S235,"")</f>
        <v/>
      </c>
      <c r="G236" s="322">
        <f>IF(Data!R235='Delivery Plan'!E236,Data!U235,"")</f>
        <v>0</v>
      </c>
      <c r="H236" s="259"/>
      <c r="I236" s="391" t="str">
        <f t="shared" si="9"/>
        <v/>
      </c>
      <c r="J236" s="392" t="str">
        <f>IF(AND(E236=Data!R235,Data!AA235&lt;&gt;""),Data!AA235,"")</f>
        <v/>
      </c>
      <c r="K236" s="313" t="str">
        <f>IF(AND(E236=Data!R235,Data!AE235&lt;&gt;""),Data!AE235,"")</f>
        <v/>
      </c>
      <c r="L236" s="318">
        <f>IF(E236=Data!R237,Data!AI237,"")</f>
        <v>0</v>
      </c>
      <c r="M236" s="318">
        <f>IF(E236=Data!R237,Data!AJ237,"")</f>
        <v>0</v>
      </c>
      <c r="N236" s="437" t="str">
        <f>IF(AND(Data!R237&lt;&gt;"",Data!L237="Accepté"),Data!K237,"")</f>
        <v/>
      </c>
    </row>
    <row r="237" spans="1:14" hidden="1" x14ac:dyDescent="0.3">
      <c r="A237" s="393" t="str">
        <f>IF(AND(Data!R236&lt;&gt;"",Data!L236="Accepté"),Data!G236,"")</f>
        <v/>
      </c>
      <c r="B237" s="393" t="str">
        <f>IF(AND(Data!R236&lt;&gt;"",Data!L236="Accepté"),Data!L236,"")</f>
        <v/>
      </c>
      <c r="C237" s="391" t="str">
        <f t="shared" si="8"/>
        <v/>
      </c>
      <c r="D237" s="392" t="str">
        <f>IF(AND(Data!Q236&lt;&gt;"",Data!L236="Accepté"),Data!Q236,"")</f>
        <v/>
      </c>
      <c r="E237" s="237" t="str">
        <f>IF(AND(Data!R236&lt;&gt;"",Data!L236="Accepté"),Data!R236,"")</f>
        <v/>
      </c>
      <c r="F237" s="326" t="str">
        <f>IF(AND(Data!R236&lt;&gt;"",Data!L236="Accepté"),Data!S236,"")</f>
        <v/>
      </c>
      <c r="G237" s="322">
        <f>IF(Data!R236='Delivery Plan'!E237,Data!U236,"")</f>
        <v>0</v>
      </c>
      <c r="H237" s="259"/>
      <c r="I237" s="391" t="str">
        <f t="shared" si="9"/>
        <v/>
      </c>
      <c r="J237" s="392" t="str">
        <f>IF(AND(E237=Data!R236,Data!AA236&lt;&gt;""),Data!AA236,"")</f>
        <v/>
      </c>
      <c r="K237" s="313" t="str">
        <f>IF(AND(E237=Data!R236,Data!AE236&lt;&gt;""),Data!AE236,"")</f>
        <v/>
      </c>
      <c r="L237" s="318">
        <f>IF(E237=Data!R238,Data!AI238,"")</f>
        <v>0</v>
      </c>
      <c r="M237" s="318">
        <f>IF(E237=Data!R238,Data!AJ238,"")</f>
        <v>0</v>
      </c>
      <c r="N237" s="437" t="str">
        <f>IF(AND(Data!R238&lt;&gt;"",Data!L238="Accepté"),Data!K238,"")</f>
        <v/>
      </c>
    </row>
    <row r="238" spans="1:14" hidden="1" x14ac:dyDescent="0.3">
      <c r="A238" s="393" t="str">
        <f>IF(AND(Data!R237&lt;&gt;"",Data!L237="Accepté"),Data!G237,"")</f>
        <v/>
      </c>
      <c r="B238" s="393" t="str">
        <f>IF(AND(Data!R237&lt;&gt;"",Data!L237="Accepté"),Data!L237,"")</f>
        <v/>
      </c>
      <c r="C238" s="391" t="str">
        <f t="shared" si="8"/>
        <v/>
      </c>
      <c r="D238" s="392" t="str">
        <f>IF(AND(Data!Q237&lt;&gt;"",Data!L237="Accepté"),Data!Q237,"")</f>
        <v/>
      </c>
      <c r="E238" s="237" t="str">
        <f>IF(AND(Data!R237&lt;&gt;"",Data!L237="Accepté"),Data!R237,"")</f>
        <v/>
      </c>
      <c r="F238" s="326" t="str">
        <f>IF(AND(Data!R237&lt;&gt;"",Data!L237="Accepté"),Data!S237,"")</f>
        <v/>
      </c>
      <c r="G238" s="322">
        <f>IF(Data!R237='Delivery Plan'!E238,Data!U237,"")</f>
        <v>0</v>
      </c>
      <c r="H238" s="259"/>
      <c r="I238" s="391" t="str">
        <f t="shared" si="9"/>
        <v/>
      </c>
      <c r="J238" s="392" t="str">
        <f>IF(AND(E238=Data!R237,Data!AA237&lt;&gt;""),Data!AA237,"")</f>
        <v/>
      </c>
      <c r="K238" s="313" t="str">
        <f>IF(AND(E238=Data!R237,Data!AE237&lt;&gt;""),Data!AE237,"")</f>
        <v/>
      </c>
      <c r="L238" s="318">
        <f>IF(E238=Data!R239,Data!AI239,"")</f>
        <v>0</v>
      </c>
      <c r="M238" s="318">
        <f>IF(E238=Data!R239,Data!AJ239,"")</f>
        <v>0</v>
      </c>
      <c r="N238" s="437" t="str">
        <f>IF(AND(Data!R239&lt;&gt;"",Data!L239="Accepté"),Data!K239,"")</f>
        <v/>
      </c>
    </row>
    <row r="239" spans="1:14" hidden="1" x14ac:dyDescent="0.3">
      <c r="A239" s="393" t="str">
        <f>IF(AND(Data!R238&lt;&gt;"",Data!L238="Accepté"),Data!G238,"")</f>
        <v/>
      </c>
      <c r="B239" s="393" t="str">
        <f>IF(AND(Data!R238&lt;&gt;"",Data!L238="Accepté"),Data!L238,"")</f>
        <v/>
      </c>
      <c r="C239" s="391" t="str">
        <f t="shared" si="8"/>
        <v/>
      </c>
      <c r="D239" s="392" t="str">
        <f>IF(AND(Data!Q238&lt;&gt;"",Data!L238="Accepté"),Data!Q238,"")</f>
        <v/>
      </c>
      <c r="E239" s="237" t="str">
        <f>IF(AND(Data!R238&lt;&gt;"",Data!L238="Accepté"),Data!R238,"")</f>
        <v/>
      </c>
      <c r="F239" s="326" t="str">
        <f>IF(AND(Data!R238&lt;&gt;"",Data!L238="Accepté"),Data!S238,"")</f>
        <v/>
      </c>
      <c r="G239" s="322">
        <f>IF(Data!R238='Delivery Plan'!E239,Data!U238,"")</f>
        <v>0</v>
      </c>
      <c r="H239" s="259"/>
      <c r="I239" s="391" t="str">
        <f t="shared" si="9"/>
        <v/>
      </c>
      <c r="J239" s="392" t="str">
        <f>IF(AND(E239=Data!R238,Data!AA238&lt;&gt;""),Data!AA238,"")</f>
        <v/>
      </c>
      <c r="K239" s="313" t="str">
        <f>IF(AND(E239=Data!R238,Data!AE238&lt;&gt;""),Data!AE238,"")</f>
        <v/>
      </c>
      <c r="L239" s="318">
        <f>IF(E239=Data!R240,Data!AI240,"")</f>
        <v>0</v>
      </c>
      <c r="M239" s="318">
        <f>IF(E239=Data!R240,Data!AJ240,"")</f>
        <v>0</v>
      </c>
      <c r="N239" s="437" t="str">
        <f>IF(AND(Data!R240&lt;&gt;"",Data!L240="Accepté"),Data!K240,"")</f>
        <v/>
      </c>
    </row>
    <row r="240" spans="1:14" hidden="1" x14ac:dyDescent="0.3">
      <c r="A240" s="393" t="str">
        <f>IF(AND(Data!R239&lt;&gt;"",Data!L239="Accepté"),Data!G239,"")</f>
        <v/>
      </c>
      <c r="B240" s="393" t="str">
        <f>IF(AND(Data!R239&lt;&gt;"",Data!L239="Accepté"),Data!L239,"")</f>
        <v/>
      </c>
      <c r="C240" s="391" t="str">
        <f t="shared" si="8"/>
        <v/>
      </c>
      <c r="D240" s="392" t="str">
        <f>IF(AND(Data!Q239&lt;&gt;"",Data!L239="Accepté"),Data!Q239,"")</f>
        <v/>
      </c>
      <c r="E240" s="237" t="str">
        <f>IF(AND(Data!R239&lt;&gt;"",Data!L239="Accepté"),Data!R239,"")</f>
        <v/>
      </c>
      <c r="F240" s="326" t="str">
        <f>IF(AND(Data!R239&lt;&gt;"",Data!L239="Accepté"),Data!S239,"")</f>
        <v/>
      </c>
      <c r="G240" s="322">
        <f>IF(Data!R239='Delivery Plan'!E240,Data!U239,"")</f>
        <v>0</v>
      </c>
      <c r="H240" s="259"/>
      <c r="I240" s="391" t="str">
        <f t="shared" si="9"/>
        <v/>
      </c>
      <c r="J240" s="392" t="str">
        <f>IF(AND(E240=Data!R239,Data!AA239&lt;&gt;""),Data!AA239,"")</f>
        <v/>
      </c>
      <c r="K240" s="313" t="str">
        <f>IF(AND(E240=Data!R239,Data!AE239&lt;&gt;""),Data!AE239,"")</f>
        <v/>
      </c>
      <c r="L240" s="318">
        <f>IF(E240=Data!R241,Data!AI241,"")</f>
        <v>0</v>
      </c>
      <c r="M240" s="318">
        <f>IF(E240=Data!R241,Data!AJ241,"")</f>
        <v>0</v>
      </c>
      <c r="N240" s="437" t="str">
        <f>IF(AND(Data!R241&lt;&gt;"",Data!L241="Accepté"),Data!K241,"")</f>
        <v/>
      </c>
    </row>
    <row r="241" spans="1:14" hidden="1" x14ac:dyDescent="0.3">
      <c r="A241" s="393" t="str">
        <f>IF(AND(Data!R240&lt;&gt;"",Data!L240="Accepté"),Data!G240,"")</f>
        <v/>
      </c>
      <c r="B241" s="393" t="str">
        <f>IF(AND(Data!R240&lt;&gt;"",Data!L240="Accepté"),Data!L240,"")</f>
        <v/>
      </c>
      <c r="C241" s="391" t="str">
        <f t="shared" si="8"/>
        <v/>
      </c>
      <c r="D241" s="392" t="str">
        <f>IF(AND(Data!Q240&lt;&gt;"",Data!L240="Accepté"),Data!Q240,"")</f>
        <v/>
      </c>
      <c r="E241" s="237" t="str">
        <f>IF(AND(Data!R240&lt;&gt;"",Data!L240="Accepté"),Data!R240,"")</f>
        <v/>
      </c>
      <c r="F241" s="326" t="str">
        <f>IF(AND(Data!R240&lt;&gt;"",Data!L240="Accepté"),Data!S240,"")</f>
        <v/>
      </c>
      <c r="G241" s="322">
        <f>IF(Data!R240='Delivery Plan'!E241,Data!U240,"")</f>
        <v>0</v>
      </c>
      <c r="H241" s="259"/>
      <c r="I241" s="391" t="str">
        <f t="shared" si="9"/>
        <v/>
      </c>
      <c r="J241" s="392" t="str">
        <f>IF(AND(E241=Data!R240,Data!AA240&lt;&gt;""),Data!AA240,"")</f>
        <v/>
      </c>
      <c r="K241" s="313" t="str">
        <f>IF(AND(E241=Data!R240,Data!AE240&lt;&gt;""),Data!AE240,"")</f>
        <v/>
      </c>
      <c r="L241" s="318">
        <f>IF(E241=Data!R242,Data!AI242,"")</f>
        <v>0</v>
      </c>
      <c r="M241" s="318">
        <f>IF(E241=Data!R242,Data!AJ242,"")</f>
        <v>0</v>
      </c>
      <c r="N241" s="437" t="str">
        <f>IF(AND(Data!R242&lt;&gt;"",Data!L242="Accepté"),Data!K242,"")</f>
        <v/>
      </c>
    </row>
    <row r="242" spans="1:14" hidden="1" x14ac:dyDescent="0.3">
      <c r="A242" s="393" t="str">
        <f>IF(AND(Data!R241&lt;&gt;"",Data!L241="Accepté"),Data!G241,"")</f>
        <v/>
      </c>
      <c r="B242" s="393" t="str">
        <f>IF(AND(Data!R241&lt;&gt;"",Data!L241="Accepté"),Data!L241,"")</f>
        <v/>
      </c>
      <c r="C242" s="391" t="str">
        <f t="shared" si="8"/>
        <v/>
      </c>
      <c r="D242" s="392" t="str">
        <f>IF(AND(Data!Q241&lt;&gt;"",Data!L241="Accepté"),Data!Q241,"")</f>
        <v/>
      </c>
      <c r="E242" s="237" t="str">
        <f>IF(AND(Data!R241&lt;&gt;"",Data!L241="Accepté"),Data!R241,"")</f>
        <v/>
      </c>
      <c r="F242" s="326" t="str">
        <f>IF(AND(Data!R241&lt;&gt;"",Data!L241="Accepté"),Data!S241,"")</f>
        <v/>
      </c>
      <c r="G242" s="322">
        <f>IF(Data!R241='Delivery Plan'!E242,Data!U241,"")</f>
        <v>0</v>
      </c>
      <c r="H242" s="259"/>
      <c r="I242" s="391" t="str">
        <f t="shared" si="9"/>
        <v/>
      </c>
      <c r="J242" s="392" t="str">
        <f>IF(AND(E242=Data!R241,Data!AA241&lt;&gt;""),Data!AA241,"")</f>
        <v/>
      </c>
      <c r="K242" s="313" t="str">
        <f>IF(AND(E242=Data!R241,Data!AE241&lt;&gt;""),Data!AE241,"")</f>
        <v/>
      </c>
      <c r="L242" s="318">
        <f>IF(E242=Data!R243,Data!AI243,"")</f>
        <v>0</v>
      </c>
      <c r="M242" s="318">
        <f>IF(E242=Data!R243,Data!AJ243,"")</f>
        <v>0</v>
      </c>
      <c r="N242" s="437" t="str">
        <f>IF(AND(Data!R243&lt;&gt;"",Data!L243="Accepté"),Data!K243,"")</f>
        <v/>
      </c>
    </row>
    <row r="243" spans="1:14" hidden="1" x14ac:dyDescent="0.3">
      <c r="A243" s="393" t="str">
        <f>IF(AND(Data!R242&lt;&gt;"",Data!L242="Accepté"),Data!G242,"")</f>
        <v/>
      </c>
      <c r="B243" s="393" t="str">
        <f>IF(AND(Data!R242&lt;&gt;"",Data!L242="Accepté"),Data!L242,"")</f>
        <v/>
      </c>
      <c r="C243" s="391" t="str">
        <f t="shared" si="8"/>
        <v/>
      </c>
      <c r="D243" s="392" t="str">
        <f>IF(AND(Data!Q242&lt;&gt;"",Data!L242="Accepté"),Data!Q242,"")</f>
        <v/>
      </c>
      <c r="E243" s="237" t="str">
        <f>IF(AND(Data!R242&lt;&gt;"",Data!L242="Accepté"),Data!R242,"")</f>
        <v/>
      </c>
      <c r="F243" s="326" t="str">
        <f>IF(AND(Data!R242&lt;&gt;"",Data!L242="Accepté"),Data!S242,"")</f>
        <v/>
      </c>
      <c r="G243" s="322">
        <f>IF(Data!R242='Delivery Plan'!E243,Data!U242,"")</f>
        <v>0</v>
      </c>
      <c r="H243" s="259"/>
      <c r="I243" s="391" t="str">
        <f t="shared" si="9"/>
        <v/>
      </c>
      <c r="J243" s="392" t="str">
        <f>IF(AND(E243=Data!R242,Data!AA242&lt;&gt;""),Data!AA242,"")</f>
        <v/>
      </c>
      <c r="K243" s="313" t="str">
        <f>IF(AND(E243=Data!R242,Data!AE242&lt;&gt;""),Data!AE242,"")</f>
        <v/>
      </c>
      <c r="L243" s="318">
        <f>IF(E243=Data!R244,Data!AI244,"")</f>
        <v>0</v>
      </c>
      <c r="M243" s="318">
        <f>IF(E243=Data!R244,Data!AJ244,"")</f>
        <v>0</v>
      </c>
      <c r="N243" s="437" t="str">
        <f>IF(AND(Data!R244&lt;&gt;"",Data!L244="Accepté"),Data!K244,"")</f>
        <v/>
      </c>
    </row>
    <row r="244" spans="1:14" hidden="1" x14ac:dyDescent="0.3">
      <c r="A244" s="393" t="str">
        <f>IF(AND(Data!R243&lt;&gt;"",Data!L243="Accepté"),Data!G243,"")</f>
        <v/>
      </c>
      <c r="B244" s="393" t="str">
        <f>IF(AND(Data!R243&lt;&gt;"",Data!L243="Accepté"),Data!L243,"")</f>
        <v/>
      </c>
      <c r="C244" s="391" t="str">
        <f t="shared" si="8"/>
        <v/>
      </c>
      <c r="D244" s="392" t="str">
        <f>IF(AND(Data!Q243&lt;&gt;"",Data!L243="Accepté"),Data!Q243,"")</f>
        <v/>
      </c>
      <c r="E244" s="237" t="str">
        <f>IF(AND(Data!R243&lt;&gt;"",Data!L243="Accepté"),Data!R243,"")</f>
        <v/>
      </c>
      <c r="F244" s="326" t="str">
        <f>IF(AND(Data!R243&lt;&gt;"",Data!L243="Accepté"),Data!S243,"")</f>
        <v/>
      </c>
      <c r="G244" s="322">
        <f>IF(Data!R243='Delivery Plan'!E244,Data!U243,"")</f>
        <v>0</v>
      </c>
      <c r="H244" s="259"/>
      <c r="I244" s="391" t="str">
        <f t="shared" si="9"/>
        <v/>
      </c>
      <c r="J244" s="392" t="str">
        <f>IF(AND(E244=Data!R243,Data!AA243&lt;&gt;""),Data!AA243,"")</f>
        <v/>
      </c>
      <c r="K244" s="313" t="str">
        <f>IF(AND(E244=Data!R243,Data!AE243&lt;&gt;""),Data!AE243,"")</f>
        <v/>
      </c>
      <c r="L244" s="318">
        <f>IF(E244=Data!R245,Data!AI245,"")</f>
        <v>0</v>
      </c>
      <c r="M244" s="318">
        <f>IF(E244=Data!R245,Data!AJ245,"")</f>
        <v>0</v>
      </c>
      <c r="N244" s="437" t="str">
        <f>IF(AND(Data!R245&lt;&gt;"",Data!L245="Accepté"),Data!K245,"")</f>
        <v/>
      </c>
    </row>
    <row r="245" spans="1:14" hidden="1" x14ac:dyDescent="0.3">
      <c r="A245" s="393" t="str">
        <f>IF(AND(Data!R244&lt;&gt;"",Data!L244="Accepté"),Data!G244,"")</f>
        <v/>
      </c>
      <c r="B245" s="393" t="str">
        <f>IF(AND(Data!R244&lt;&gt;"",Data!L244="Accepté"),Data!L244,"")</f>
        <v/>
      </c>
      <c r="C245" s="391" t="str">
        <f t="shared" si="8"/>
        <v/>
      </c>
      <c r="D245" s="392" t="str">
        <f>IF(AND(Data!Q244&lt;&gt;"",Data!L244="Accepté"),Data!Q244,"")</f>
        <v/>
      </c>
      <c r="E245" s="237" t="str">
        <f>IF(AND(Data!R244&lt;&gt;"",Data!L244="Accepté"),Data!R244,"")</f>
        <v/>
      </c>
      <c r="F245" s="326" t="str">
        <f>IF(AND(Data!R244&lt;&gt;"",Data!L244="Accepté"),Data!S244,"")</f>
        <v/>
      </c>
      <c r="G245" s="322">
        <f>IF(Data!R244='Delivery Plan'!E245,Data!U244,"")</f>
        <v>0</v>
      </c>
      <c r="H245" s="259"/>
      <c r="I245" s="391" t="str">
        <f t="shared" si="9"/>
        <v/>
      </c>
      <c r="J245" s="392" t="str">
        <f>IF(AND(E245=Data!R244,Data!AA244&lt;&gt;""),Data!AA244,"")</f>
        <v/>
      </c>
      <c r="K245" s="313" t="str">
        <f>IF(AND(E245=Data!R244,Data!AE244&lt;&gt;""),Data!AE244,"")</f>
        <v/>
      </c>
      <c r="L245" s="318">
        <f>IF(E245=Data!R246,Data!AI246,"")</f>
        <v>0</v>
      </c>
      <c r="M245" s="318">
        <f>IF(E245=Data!R246,Data!AJ246,"")</f>
        <v>0</v>
      </c>
      <c r="N245" s="437" t="str">
        <f>IF(AND(Data!R246&lt;&gt;"",Data!L246="Accepté"),Data!K246,"")</f>
        <v/>
      </c>
    </row>
    <row r="246" spans="1:14" hidden="1" x14ac:dyDescent="0.3">
      <c r="A246" s="393" t="str">
        <f>IF(AND(Data!R245&lt;&gt;"",Data!L245="Accepté"),Data!G245,"")</f>
        <v/>
      </c>
      <c r="B246" s="393" t="str">
        <f>IF(AND(Data!R245&lt;&gt;"",Data!L245="Accepté"),Data!L245,"")</f>
        <v/>
      </c>
      <c r="C246" s="391" t="str">
        <f t="shared" si="8"/>
        <v/>
      </c>
      <c r="D246" s="392" t="str">
        <f>IF(AND(Data!Q245&lt;&gt;"",Data!L245="Accepté"),Data!Q245,"")</f>
        <v/>
      </c>
      <c r="E246" s="237" t="str">
        <f>IF(AND(Data!R245&lt;&gt;"",Data!L245="Accepté"),Data!R245,"")</f>
        <v/>
      </c>
      <c r="F246" s="326" t="str">
        <f>IF(AND(Data!R245&lt;&gt;"",Data!L245="Accepté"),Data!S245,"")</f>
        <v/>
      </c>
      <c r="G246" s="322">
        <f>IF(Data!R245='Delivery Plan'!E246,Data!U245,"")</f>
        <v>0</v>
      </c>
      <c r="H246" s="259"/>
      <c r="I246" s="391" t="str">
        <f t="shared" si="9"/>
        <v/>
      </c>
      <c r="J246" s="392" t="str">
        <f>IF(AND(E246=Data!R245,Data!AA245&lt;&gt;""),Data!AA245,"")</f>
        <v/>
      </c>
      <c r="K246" s="313" t="str">
        <f>IF(AND(E246=Data!R245,Data!AE245&lt;&gt;""),Data!AE245,"")</f>
        <v/>
      </c>
      <c r="L246" s="318">
        <f>IF(E246=Data!R247,Data!AI247,"")</f>
        <v>0</v>
      </c>
      <c r="M246" s="318">
        <f>IF(E246=Data!R247,Data!AJ247,"")</f>
        <v>0</v>
      </c>
      <c r="N246" s="437" t="str">
        <f>IF(AND(Data!R247&lt;&gt;"",Data!L247="Accepté"),Data!K247,"")</f>
        <v/>
      </c>
    </row>
    <row r="247" spans="1:14" hidden="1" x14ac:dyDescent="0.3">
      <c r="A247" s="393" t="str">
        <f>IF(AND(Data!R246&lt;&gt;"",Data!L246="Accepté"),Data!G246,"")</f>
        <v/>
      </c>
      <c r="B247" s="393" t="str">
        <f>IF(AND(Data!R246&lt;&gt;"",Data!L246="Accepté"),Data!L246,"")</f>
        <v/>
      </c>
      <c r="C247" s="391" t="str">
        <f t="shared" si="8"/>
        <v/>
      </c>
      <c r="D247" s="392" t="str">
        <f>IF(AND(Data!Q246&lt;&gt;"",Data!L246="Accepté"),Data!Q246,"")</f>
        <v/>
      </c>
      <c r="E247" s="237" t="str">
        <f>IF(AND(Data!R246&lt;&gt;"",Data!L246="Accepté"),Data!R246,"")</f>
        <v/>
      </c>
      <c r="F247" s="326" t="str">
        <f>IF(AND(Data!R246&lt;&gt;"",Data!L246="Accepté"),Data!S246,"")</f>
        <v/>
      </c>
      <c r="G247" s="322">
        <f>IF(Data!R246='Delivery Plan'!E247,Data!U246,"")</f>
        <v>0</v>
      </c>
      <c r="H247" s="259"/>
      <c r="I247" s="391" t="str">
        <f t="shared" si="9"/>
        <v/>
      </c>
      <c r="J247" s="392" t="str">
        <f>IF(AND(E247=Data!R246,Data!AA246&lt;&gt;""),Data!AA246,"")</f>
        <v/>
      </c>
      <c r="K247" s="313" t="str">
        <f>IF(AND(E247=Data!R246,Data!AE246&lt;&gt;""),Data!AE246,"")</f>
        <v/>
      </c>
      <c r="L247" s="318">
        <f>IF(E247=Data!R248,Data!AI248,"")</f>
        <v>0</v>
      </c>
      <c r="M247" s="318">
        <f>IF(E247=Data!R248,Data!AJ248,"")</f>
        <v>0</v>
      </c>
      <c r="N247" s="437" t="str">
        <f>IF(AND(Data!R248&lt;&gt;"",Data!L248="Accepté"),Data!K248,"")</f>
        <v/>
      </c>
    </row>
    <row r="248" spans="1:14" hidden="1" x14ac:dyDescent="0.3">
      <c r="A248" s="393" t="str">
        <f>IF(AND(Data!R247&lt;&gt;"",Data!L247="Accepté"),Data!G247,"")</f>
        <v/>
      </c>
      <c r="B248" s="393" t="str">
        <f>IF(AND(Data!R247&lt;&gt;"",Data!L247="Accepté"),Data!L247,"")</f>
        <v/>
      </c>
      <c r="C248" s="391" t="str">
        <f t="shared" si="8"/>
        <v/>
      </c>
      <c r="D248" s="392" t="str">
        <f>IF(AND(Data!Q247&lt;&gt;"",Data!L247="Accepté"),Data!Q247,"")</f>
        <v/>
      </c>
      <c r="E248" s="237" t="str">
        <f>IF(AND(Data!R247&lt;&gt;"",Data!L247="Accepté"),Data!R247,"")</f>
        <v/>
      </c>
      <c r="F248" s="326" t="str">
        <f>IF(AND(Data!R247&lt;&gt;"",Data!L247="Accepté"),Data!S247,"")</f>
        <v/>
      </c>
      <c r="G248" s="322">
        <f>IF(Data!R247='Delivery Plan'!E248,Data!U247,"")</f>
        <v>0</v>
      </c>
      <c r="H248" s="259"/>
      <c r="I248" s="391" t="str">
        <f t="shared" si="9"/>
        <v/>
      </c>
      <c r="J248" s="392" t="str">
        <f>IF(AND(E248=Data!R247,Data!AA247&lt;&gt;""),Data!AA247,"")</f>
        <v/>
      </c>
      <c r="K248" s="313" t="str">
        <f>IF(AND(E248=Data!R247,Data!AE247&lt;&gt;""),Data!AE247,"")</f>
        <v/>
      </c>
      <c r="L248" s="318">
        <f>IF(E248=Data!R249,Data!AI249,"")</f>
        <v>0</v>
      </c>
      <c r="M248" s="318">
        <f>IF(E248=Data!R249,Data!AJ249,"")</f>
        <v>0</v>
      </c>
      <c r="N248" s="437" t="str">
        <f>IF(AND(Data!R249&lt;&gt;"",Data!L249="Accepté"),Data!K249,"")</f>
        <v/>
      </c>
    </row>
    <row r="249" spans="1:14" hidden="1" x14ac:dyDescent="0.3">
      <c r="A249" s="393" t="str">
        <f>IF(AND(Data!R248&lt;&gt;"",Data!L248="Accepté"),Data!G248,"")</f>
        <v/>
      </c>
      <c r="B249" s="393" t="str">
        <f>IF(AND(Data!R248&lt;&gt;"",Data!L248="Accepté"),Data!L248,"")</f>
        <v/>
      </c>
      <c r="C249" s="391" t="str">
        <f t="shared" si="8"/>
        <v/>
      </c>
      <c r="D249" s="392" t="str">
        <f>IF(AND(Data!Q248&lt;&gt;"",Data!L248="Accepté"),Data!Q248,"")</f>
        <v/>
      </c>
      <c r="E249" s="237" t="str">
        <f>IF(AND(Data!R248&lt;&gt;"",Data!L248="Accepté"),Data!R248,"")</f>
        <v/>
      </c>
      <c r="F249" s="326" t="str">
        <f>IF(AND(Data!R248&lt;&gt;"",Data!L248="Accepté"),Data!S248,"")</f>
        <v/>
      </c>
      <c r="G249" s="322">
        <f>IF(Data!R248='Delivery Plan'!E249,Data!U248,"")</f>
        <v>0</v>
      </c>
      <c r="H249" s="259"/>
      <c r="I249" s="391" t="str">
        <f t="shared" si="9"/>
        <v/>
      </c>
      <c r="J249" s="392" t="str">
        <f>IF(AND(E249=Data!R248,Data!AA248&lt;&gt;""),Data!AA248,"")</f>
        <v/>
      </c>
      <c r="K249" s="313" t="str">
        <f>IF(AND(E249=Data!R248,Data!AE248&lt;&gt;""),Data!AE248,"")</f>
        <v/>
      </c>
      <c r="L249" s="318">
        <f>IF(E249=Data!R250,Data!AI250,"")</f>
        <v>0</v>
      </c>
      <c r="M249" s="318">
        <f>IF(E249=Data!R250,Data!AJ250,"")</f>
        <v>0</v>
      </c>
      <c r="N249" s="437" t="str">
        <f>IF(AND(Data!R250&lt;&gt;"",Data!L250="Accepté"),Data!K250,"")</f>
        <v/>
      </c>
    </row>
    <row r="250" spans="1:14" hidden="1" x14ac:dyDescent="0.3">
      <c r="A250" s="393" t="str">
        <f>IF(AND(Data!R249&lt;&gt;"",Data!L249="Accepté"),Data!G249,"")</f>
        <v/>
      </c>
      <c r="B250" s="393" t="str">
        <f>IF(AND(Data!R249&lt;&gt;"",Data!L249="Accepté"),Data!L249,"")</f>
        <v/>
      </c>
      <c r="C250" s="391" t="str">
        <f t="shared" si="8"/>
        <v/>
      </c>
      <c r="D250" s="392" t="str">
        <f>IF(AND(Data!Q249&lt;&gt;"",Data!L249="Accepté"),Data!Q249,"")</f>
        <v/>
      </c>
      <c r="E250" s="237" t="str">
        <f>IF(AND(Data!R249&lt;&gt;"",Data!L249="Accepté"),Data!R249,"")</f>
        <v/>
      </c>
      <c r="F250" s="326" t="str">
        <f>IF(AND(Data!R249&lt;&gt;"",Data!L249="Accepté"),Data!S249,"")</f>
        <v/>
      </c>
      <c r="G250" s="322">
        <f>IF(Data!R249='Delivery Plan'!E250,Data!U249,"")</f>
        <v>0</v>
      </c>
      <c r="H250" s="259"/>
      <c r="I250" s="391" t="str">
        <f t="shared" si="9"/>
        <v/>
      </c>
      <c r="J250" s="392" t="str">
        <f>IF(AND(E250=Data!R249,Data!AA249&lt;&gt;""),Data!AA249,"")</f>
        <v/>
      </c>
      <c r="K250" s="313" t="str">
        <f>IF(AND(E250=Data!R249,Data!AE249&lt;&gt;""),Data!AE249,"")</f>
        <v/>
      </c>
      <c r="L250" s="318">
        <f>IF(E250=Data!R251,Data!AI251,"")</f>
        <v>0</v>
      </c>
      <c r="M250" s="318">
        <f>IF(E250=Data!R251,Data!AJ251,"")</f>
        <v>0</v>
      </c>
      <c r="N250" s="437" t="str">
        <f>IF(AND(Data!R251&lt;&gt;"",Data!L251="Accepté"),Data!K251,"")</f>
        <v/>
      </c>
    </row>
    <row r="251" spans="1:14" hidden="1" x14ac:dyDescent="0.3">
      <c r="A251" s="393" t="str">
        <f>IF(AND(Data!R250&lt;&gt;"",Data!L250="Accepté"),Data!G250,"")</f>
        <v/>
      </c>
      <c r="B251" s="393" t="str">
        <f>IF(AND(Data!R250&lt;&gt;"",Data!L250="Accepté"),Data!L250,"")</f>
        <v/>
      </c>
      <c r="C251" s="391" t="str">
        <f t="shared" si="8"/>
        <v/>
      </c>
      <c r="D251" s="392" t="str">
        <f>IF(AND(Data!Q250&lt;&gt;"",Data!L250="Accepté"),Data!Q250,"")</f>
        <v/>
      </c>
      <c r="E251" s="237" t="str">
        <f>IF(AND(Data!R250&lt;&gt;"",Data!L250="Accepté"),Data!R250,"")</f>
        <v/>
      </c>
      <c r="F251" s="326" t="str">
        <f>IF(AND(Data!R250&lt;&gt;"",Data!L250="Accepté"),Data!S250,"")</f>
        <v/>
      </c>
      <c r="G251" s="322">
        <f>IF(Data!R250='Delivery Plan'!E251,Data!U250,"")</f>
        <v>0</v>
      </c>
      <c r="H251" s="259"/>
      <c r="I251" s="391" t="str">
        <f t="shared" si="9"/>
        <v/>
      </c>
      <c r="J251" s="392" t="str">
        <f>IF(AND(E251=Data!R250,Data!AA250&lt;&gt;""),Data!AA250,"")</f>
        <v/>
      </c>
      <c r="K251" s="313" t="str">
        <f>IF(AND(E251=Data!R250,Data!AE250&lt;&gt;""),Data!AE250,"")</f>
        <v/>
      </c>
      <c r="L251" s="318">
        <f>IF(E251=Data!R252,Data!AI252,"")</f>
        <v>0</v>
      </c>
      <c r="M251" s="318">
        <f>IF(E251=Data!R252,Data!AJ252,"")</f>
        <v>0</v>
      </c>
      <c r="N251" s="437" t="str">
        <f>IF(AND(Data!R252&lt;&gt;"",Data!L252="Accepté"),Data!K252,"")</f>
        <v/>
      </c>
    </row>
    <row r="252" spans="1:14" hidden="1" x14ac:dyDescent="0.3">
      <c r="A252" s="393" t="str">
        <f>IF(AND(Data!R251&lt;&gt;"",Data!L251="Accepté"),Data!G251,"")</f>
        <v/>
      </c>
      <c r="B252" s="393" t="str">
        <f>IF(AND(Data!R251&lt;&gt;"",Data!L251="Accepté"),Data!L251,"")</f>
        <v/>
      </c>
      <c r="C252" s="391" t="str">
        <f t="shared" si="8"/>
        <v/>
      </c>
      <c r="D252" s="392" t="str">
        <f>IF(AND(Data!Q251&lt;&gt;"",Data!L251="Accepté"),Data!Q251,"")</f>
        <v/>
      </c>
      <c r="E252" s="237" t="str">
        <f>IF(AND(Data!R251&lt;&gt;"",Data!L251="Accepté"),Data!R251,"")</f>
        <v/>
      </c>
      <c r="F252" s="326" t="str">
        <f>IF(AND(Data!R251&lt;&gt;"",Data!L251="Accepté"),Data!S251,"")</f>
        <v/>
      </c>
      <c r="G252" s="322">
        <f>IF(Data!R251='Delivery Plan'!E252,Data!U251,"")</f>
        <v>0</v>
      </c>
      <c r="H252" s="259"/>
      <c r="I252" s="391" t="str">
        <f t="shared" si="9"/>
        <v/>
      </c>
      <c r="J252" s="392" t="str">
        <f>IF(AND(E252=Data!R251,Data!AA251&lt;&gt;""),Data!AA251,"")</f>
        <v/>
      </c>
      <c r="K252" s="313" t="str">
        <f>IF(AND(E252=Data!R251,Data!AE251&lt;&gt;""),Data!AE251,"")</f>
        <v/>
      </c>
      <c r="L252" s="318">
        <f>IF(E252=Data!R253,Data!AI253,"")</f>
        <v>0</v>
      </c>
      <c r="M252" s="318">
        <f>IF(E252=Data!R253,Data!AJ253,"")</f>
        <v>0</v>
      </c>
      <c r="N252" s="437" t="str">
        <f>IF(AND(Data!R253&lt;&gt;"",Data!L253="Accepté"),Data!K253,"")</f>
        <v/>
      </c>
    </row>
    <row r="253" spans="1:14" hidden="1" x14ac:dyDescent="0.3">
      <c r="A253" s="393" t="str">
        <f>IF(AND(Data!R252&lt;&gt;"",Data!L252="Accepté"),Data!G252,"")</f>
        <v/>
      </c>
      <c r="B253" s="393" t="str">
        <f>IF(AND(Data!R252&lt;&gt;"",Data!L252="Accepté"),Data!L252,"")</f>
        <v/>
      </c>
      <c r="C253" s="391" t="str">
        <f t="shared" si="8"/>
        <v/>
      </c>
      <c r="D253" s="392" t="str">
        <f>IF(AND(Data!Q252&lt;&gt;"",Data!L252="Accepté"),Data!Q252,"")</f>
        <v/>
      </c>
      <c r="E253" s="237" t="str">
        <f>IF(AND(Data!R252&lt;&gt;"",Data!L252="Accepté"),Data!R252,"")</f>
        <v/>
      </c>
      <c r="F253" s="326" t="str">
        <f>IF(AND(Data!R252&lt;&gt;"",Data!L252="Accepté"),Data!S252,"")</f>
        <v/>
      </c>
      <c r="G253" s="322">
        <f>IF(Data!R252='Delivery Plan'!E253,Data!U252,"")</f>
        <v>0</v>
      </c>
      <c r="H253" s="259"/>
      <c r="I253" s="391" t="str">
        <f t="shared" si="9"/>
        <v/>
      </c>
      <c r="J253" s="392" t="str">
        <f>IF(AND(E253=Data!R252,Data!AA252&lt;&gt;""),Data!AA252,"")</f>
        <v/>
      </c>
      <c r="K253" s="313" t="str">
        <f>IF(AND(E253=Data!R252,Data!AE252&lt;&gt;""),Data!AE252,"")</f>
        <v/>
      </c>
      <c r="L253" s="318">
        <f>IF(E253=Data!R254,Data!AI254,"")</f>
        <v>0</v>
      </c>
      <c r="M253" s="318">
        <f>IF(E253=Data!R254,Data!AJ254,"")</f>
        <v>0</v>
      </c>
      <c r="N253" s="437" t="str">
        <f>IF(AND(Data!R254&lt;&gt;"",Data!L254="Accepté"),Data!K254,"")</f>
        <v/>
      </c>
    </row>
    <row r="254" spans="1:14" hidden="1" x14ac:dyDescent="0.3">
      <c r="A254" s="393" t="str">
        <f>IF(AND(Data!R253&lt;&gt;"",Data!L253="Accepté"),Data!G253,"")</f>
        <v/>
      </c>
      <c r="B254" s="393" t="str">
        <f>IF(AND(Data!R253&lt;&gt;"",Data!L253="Accepté"),Data!L253,"")</f>
        <v/>
      </c>
      <c r="C254" s="391" t="str">
        <f t="shared" si="8"/>
        <v/>
      </c>
      <c r="D254" s="392" t="str">
        <f>IF(AND(Data!Q253&lt;&gt;"",Data!L253="Accepté"),Data!Q253,"")</f>
        <v/>
      </c>
      <c r="E254" s="237" t="str">
        <f>IF(AND(Data!R253&lt;&gt;"",Data!L253="Accepté"),Data!R253,"")</f>
        <v/>
      </c>
      <c r="F254" s="326" t="str">
        <f>IF(AND(Data!R253&lt;&gt;"",Data!L253="Accepté"),Data!S253,"")</f>
        <v/>
      </c>
      <c r="G254" s="322">
        <f>IF(Data!R253='Delivery Plan'!E254,Data!U253,"")</f>
        <v>0</v>
      </c>
      <c r="H254" s="259"/>
      <c r="I254" s="391" t="str">
        <f t="shared" si="9"/>
        <v/>
      </c>
      <c r="J254" s="392" t="str">
        <f>IF(AND(E254=Data!R253,Data!AA253&lt;&gt;""),Data!AA253,"")</f>
        <v/>
      </c>
      <c r="K254" s="313" t="str">
        <f>IF(AND(E254=Data!R253,Data!AE253&lt;&gt;""),Data!AE253,"")</f>
        <v/>
      </c>
      <c r="L254" s="318">
        <f>IF(E254=Data!R255,Data!AI255,"")</f>
        <v>0</v>
      </c>
      <c r="M254" s="318">
        <f>IF(E254=Data!R255,Data!AJ255,"")</f>
        <v>0</v>
      </c>
      <c r="N254" s="437" t="str">
        <f>IF(AND(Data!R255&lt;&gt;"",Data!L255="Accepté"),Data!K255,"")</f>
        <v/>
      </c>
    </row>
    <row r="255" spans="1:14" hidden="1" x14ac:dyDescent="0.3">
      <c r="A255" s="393" t="str">
        <f>IF(AND(Data!R254&lt;&gt;"",Data!L254="Accepté"),Data!G254,"")</f>
        <v/>
      </c>
      <c r="B255" s="393" t="str">
        <f>IF(AND(Data!R254&lt;&gt;"",Data!L254="Accepté"),Data!L254,"")</f>
        <v/>
      </c>
      <c r="C255" s="391" t="str">
        <f t="shared" si="8"/>
        <v/>
      </c>
      <c r="D255" s="392" t="str">
        <f>IF(AND(Data!Q254&lt;&gt;"",Data!L254="Accepté"),Data!Q254,"")</f>
        <v/>
      </c>
      <c r="E255" s="237" t="str">
        <f>IF(AND(Data!R254&lt;&gt;"",Data!L254="Accepté"),Data!R254,"")</f>
        <v/>
      </c>
      <c r="F255" s="326" t="str">
        <f>IF(AND(Data!R254&lt;&gt;"",Data!L254="Accepté"),Data!S254,"")</f>
        <v/>
      </c>
      <c r="G255" s="322">
        <f>IF(Data!R254='Delivery Plan'!E255,Data!U254,"")</f>
        <v>0</v>
      </c>
      <c r="H255" s="259"/>
      <c r="I255" s="391" t="str">
        <f t="shared" si="9"/>
        <v/>
      </c>
      <c r="J255" s="392" t="str">
        <f>IF(AND(E255=Data!R254,Data!AA254&lt;&gt;""),Data!AA254,"")</f>
        <v/>
      </c>
      <c r="K255" s="313" t="str">
        <f>IF(AND(E255=Data!R254,Data!AE254&lt;&gt;""),Data!AE254,"")</f>
        <v/>
      </c>
      <c r="L255" s="318">
        <f>IF(E255=Data!R256,Data!AI256,"")</f>
        <v>0</v>
      </c>
      <c r="M255" s="318">
        <f>IF(E255=Data!R256,Data!AJ256,"")</f>
        <v>0</v>
      </c>
      <c r="N255" s="437" t="str">
        <f>IF(AND(Data!R256&lt;&gt;"",Data!L256="Accepté"),Data!K256,"")</f>
        <v/>
      </c>
    </row>
    <row r="256" spans="1:14" hidden="1" x14ac:dyDescent="0.3">
      <c r="A256" s="393" t="str">
        <f>IF(AND(Data!R255&lt;&gt;"",Data!L255="Accepté"),Data!G255,"")</f>
        <v/>
      </c>
      <c r="B256" s="393" t="str">
        <f>IF(AND(Data!R255&lt;&gt;"",Data!L255="Accepté"),Data!L255,"")</f>
        <v/>
      </c>
      <c r="C256" s="391" t="str">
        <f t="shared" si="8"/>
        <v/>
      </c>
      <c r="D256" s="392" t="str">
        <f>IF(AND(Data!Q255&lt;&gt;"",Data!L255="Accepté"),Data!Q255,"")</f>
        <v/>
      </c>
      <c r="E256" s="237" t="str">
        <f>IF(AND(Data!R255&lt;&gt;"",Data!L255="Accepté"),Data!R255,"")</f>
        <v/>
      </c>
      <c r="F256" s="326" t="str">
        <f>IF(AND(Data!R255&lt;&gt;"",Data!L255="Accepté"),Data!S255,"")</f>
        <v/>
      </c>
      <c r="G256" s="322">
        <f>IF(Data!R255='Delivery Plan'!E256,Data!U255,"")</f>
        <v>0</v>
      </c>
      <c r="H256" s="259"/>
      <c r="I256" s="391" t="str">
        <f t="shared" si="9"/>
        <v/>
      </c>
      <c r="J256" s="392" t="str">
        <f>IF(AND(E256=Data!R255,Data!AA255&lt;&gt;""),Data!AA255,"")</f>
        <v/>
      </c>
      <c r="K256" s="313" t="str">
        <f>IF(AND(E256=Data!R255,Data!AE255&lt;&gt;""),Data!AE255,"")</f>
        <v/>
      </c>
      <c r="L256" s="318">
        <f>IF(E256=Data!R257,Data!AI257,"")</f>
        <v>0</v>
      </c>
      <c r="M256" s="318">
        <f>IF(E256=Data!R257,Data!AJ257,"")</f>
        <v>0</v>
      </c>
      <c r="N256" s="437" t="str">
        <f>IF(AND(Data!R257&lt;&gt;"",Data!L257="Accepté"),Data!K257,"")</f>
        <v/>
      </c>
    </row>
    <row r="257" spans="1:14" hidden="1" x14ac:dyDescent="0.3">
      <c r="A257" s="393" t="str">
        <f>IF(AND(Data!R256&lt;&gt;"",Data!L256="Accepté"),Data!G256,"")</f>
        <v/>
      </c>
      <c r="B257" s="393" t="str">
        <f>IF(AND(Data!R256&lt;&gt;"",Data!L256="Accepté"),Data!L256,"")</f>
        <v/>
      </c>
      <c r="C257" s="391" t="str">
        <f t="shared" si="8"/>
        <v/>
      </c>
      <c r="D257" s="392" t="str">
        <f>IF(AND(Data!Q256&lt;&gt;"",Data!L256="Accepté"),Data!Q256,"")</f>
        <v/>
      </c>
      <c r="E257" s="237" t="str">
        <f>IF(AND(Data!R256&lt;&gt;"",Data!L256="Accepté"),Data!R256,"")</f>
        <v/>
      </c>
      <c r="F257" s="326" t="str">
        <f>IF(AND(Data!R256&lt;&gt;"",Data!L256="Accepté"),Data!S256,"")</f>
        <v/>
      </c>
      <c r="G257" s="322">
        <f>IF(Data!R256='Delivery Plan'!E257,Data!U256,"")</f>
        <v>0</v>
      </c>
      <c r="H257" s="259"/>
      <c r="I257" s="391" t="str">
        <f t="shared" si="9"/>
        <v/>
      </c>
      <c r="J257" s="392" t="str">
        <f>IF(AND(E257=Data!R256,Data!AA256&lt;&gt;""),Data!AA256,"")</f>
        <v/>
      </c>
      <c r="K257" s="313" t="str">
        <f>IF(AND(E257=Data!R256,Data!AE256&lt;&gt;""),Data!AE256,"")</f>
        <v/>
      </c>
      <c r="L257" s="318">
        <f>IF(E257=Data!R258,Data!AI258,"")</f>
        <v>0</v>
      </c>
      <c r="M257" s="318">
        <f>IF(E257=Data!R258,Data!AJ258,"")</f>
        <v>0</v>
      </c>
      <c r="N257" s="437" t="str">
        <f>IF(AND(Data!R258&lt;&gt;"",Data!L258="Accepté"),Data!K258,"")</f>
        <v/>
      </c>
    </row>
    <row r="258" spans="1:14" hidden="1" x14ac:dyDescent="0.3">
      <c r="A258" s="393" t="str">
        <f>IF(AND(Data!R257&lt;&gt;"",Data!L257="Accepté"),Data!G257,"")</f>
        <v/>
      </c>
      <c r="B258" s="393" t="str">
        <f>IF(AND(Data!R257&lt;&gt;"",Data!L257="Accepté"),Data!L257,"")</f>
        <v/>
      </c>
      <c r="C258" s="391" t="str">
        <f t="shared" si="8"/>
        <v/>
      </c>
      <c r="D258" s="392" t="str">
        <f>IF(AND(Data!Q257&lt;&gt;"",Data!L257="Accepté"),Data!Q257,"")</f>
        <v/>
      </c>
      <c r="E258" s="237" t="str">
        <f>IF(AND(Data!R257&lt;&gt;"",Data!L257="Accepté"),Data!R257,"")</f>
        <v/>
      </c>
      <c r="F258" s="326" t="str">
        <f>IF(AND(Data!R257&lt;&gt;"",Data!L257="Accepté"),Data!S257,"")</f>
        <v/>
      </c>
      <c r="G258" s="322">
        <f>IF(Data!R257='Delivery Plan'!E258,Data!U257,"")</f>
        <v>0</v>
      </c>
      <c r="H258" s="259"/>
      <c r="I258" s="391" t="str">
        <f t="shared" si="9"/>
        <v/>
      </c>
      <c r="J258" s="392" t="str">
        <f>IF(AND(E258=Data!R257,Data!AA257&lt;&gt;""),Data!AA257,"")</f>
        <v/>
      </c>
      <c r="K258" s="313" t="str">
        <f>IF(AND(E258=Data!R257,Data!AE257&lt;&gt;""),Data!AE257,"")</f>
        <v/>
      </c>
      <c r="L258" s="318">
        <f>IF(E258=Data!R259,Data!AI259,"")</f>
        <v>0</v>
      </c>
      <c r="M258" s="318">
        <f>IF(E258=Data!R259,Data!AJ259,"")</f>
        <v>0</v>
      </c>
      <c r="N258" s="437" t="str">
        <f>IF(AND(Data!R259&lt;&gt;"",Data!L259="Accepté"),Data!K259,"")</f>
        <v/>
      </c>
    </row>
    <row r="259" spans="1:14" hidden="1" x14ac:dyDescent="0.3">
      <c r="A259" s="393" t="str">
        <f>IF(AND(Data!R258&lt;&gt;"",Data!L258="Accepté"),Data!G258,"")</f>
        <v/>
      </c>
      <c r="B259" s="393" t="str">
        <f>IF(AND(Data!R258&lt;&gt;"",Data!L258="Accepté"),Data!L258,"")</f>
        <v/>
      </c>
      <c r="C259" s="391" t="str">
        <f t="shared" si="8"/>
        <v/>
      </c>
      <c r="D259" s="392" t="str">
        <f>IF(AND(Data!Q258&lt;&gt;"",Data!L258="Accepté"),Data!Q258,"")</f>
        <v/>
      </c>
      <c r="E259" s="237" t="str">
        <f>IF(AND(Data!R258&lt;&gt;"",Data!L258="Accepté"),Data!R258,"")</f>
        <v/>
      </c>
      <c r="F259" s="326" t="str">
        <f>IF(AND(Data!R258&lt;&gt;"",Data!L258="Accepté"),Data!S258,"")</f>
        <v/>
      </c>
      <c r="G259" s="322">
        <f>IF(Data!R258='Delivery Plan'!E259,Data!U258,"")</f>
        <v>0</v>
      </c>
      <c r="H259" s="259"/>
      <c r="I259" s="391" t="str">
        <f t="shared" si="9"/>
        <v/>
      </c>
      <c r="J259" s="392" t="str">
        <f>IF(AND(E259=Data!R258,Data!AA258&lt;&gt;""),Data!AA258,"")</f>
        <v/>
      </c>
      <c r="K259" s="313" t="str">
        <f>IF(AND(E259=Data!R258,Data!AE258&lt;&gt;""),Data!AE258,"")</f>
        <v/>
      </c>
      <c r="L259" s="318">
        <f>IF(E259=Data!R260,Data!AI260,"")</f>
        <v>0</v>
      </c>
      <c r="M259" s="318">
        <f>IF(E259=Data!R260,Data!AJ260,"")</f>
        <v>0</v>
      </c>
      <c r="N259" s="437" t="str">
        <f>IF(AND(Data!R260&lt;&gt;"",Data!L260="Accepté"),Data!K260,"")</f>
        <v/>
      </c>
    </row>
    <row r="260" spans="1:14" hidden="1" x14ac:dyDescent="0.3">
      <c r="A260" s="393" t="str">
        <f>IF(AND(Data!R259&lt;&gt;"",Data!L259="Accepté"),Data!G259,"")</f>
        <v/>
      </c>
      <c r="B260" s="393" t="str">
        <f>IF(AND(Data!R259&lt;&gt;"",Data!L259="Accepté"),Data!L259,"")</f>
        <v/>
      </c>
      <c r="C260" s="391" t="str">
        <f t="shared" si="8"/>
        <v/>
      </c>
      <c r="D260" s="392" t="str">
        <f>IF(AND(Data!Q259&lt;&gt;"",Data!L259="Accepté"),Data!Q259,"")</f>
        <v/>
      </c>
      <c r="E260" s="237" t="str">
        <f>IF(AND(Data!R259&lt;&gt;"",Data!L259="Accepté"),Data!R259,"")</f>
        <v/>
      </c>
      <c r="F260" s="326" t="str">
        <f>IF(AND(Data!R259&lt;&gt;"",Data!L259="Accepté"),Data!S259,"")</f>
        <v/>
      </c>
      <c r="G260" s="322">
        <f>IF(Data!R259='Delivery Plan'!E260,Data!U259,"")</f>
        <v>0</v>
      </c>
      <c r="H260" s="259"/>
      <c r="I260" s="391" t="str">
        <f t="shared" si="9"/>
        <v/>
      </c>
      <c r="J260" s="392" t="str">
        <f>IF(AND(E260=Data!R259,Data!AA259&lt;&gt;""),Data!AA259,"")</f>
        <v/>
      </c>
      <c r="K260" s="313" t="str">
        <f>IF(AND(E260=Data!R259,Data!AE259&lt;&gt;""),Data!AE259,"")</f>
        <v/>
      </c>
      <c r="L260" s="318">
        <f>IF(E260=Data!R261,Data!AI261,"")</f>
        <v>0</v>
      </c>
      <c r="M260" s="318">
        <f>IF(E260=Data!R261,Data!AJ261,"")</f>
        <v>0</v>
      </c>
      <c r="N260" s="437" t="str">
        <f>IF(AND(Data!R261&lt;&gt;"",Data!L261="Accepté"),Data!K261,"")</f>
        <v/>
      </c>
    </row>
    <row r="261" spans="1:14" hidden="1" x14ac:dyDescent="0.3">
      <c r="A261" s="393" t="str">
        <f>IF(AND(Data!R260&lt;&gt;"",Data!L260="Accepté"),Data!G260,"")</f>
        <v/>
      </c>
      <c r="B261" s="393" t="str">
        <f>IF(AND(Data!R260&lt;&gt;"",Data!L260="Accepté"),Data!L260,"")</f>
        <v/>
      </c>
      <c r="C261" s="391" t="str">
        <f t="shared" ref="C261:C324" si="10">IF(D261&lt;&gt;"","S"&amp;TEXT(WEEKNUM(D261),"00"),"")</f>
        <v/>
      </c>
      <c r="D261" s="392" t="str">
        <f>IF(AND(Data!Q260&lt;&gt;"",Data!L260="Accepté"),Data!Q260,"")</f>
        <v/>
      </c>
      <c r="E261" s="237" t="str">
        <f>IF(AND(Data!R260&lt;&gt;"",Data!L260="Accepté"),Data!R260,"")</f>
        <v/>
      </c>
      <c r="F261" s="326" t="str">
        <f>IF(AND(Data!R260&lt;&gt;"",Data!L260="Accepté"),Data!S260,"")</f>
        <v/>
      </c>
      <c r="G261" s="322">
        <f>IF(Data!R260='Delivery Plan'!E261,Data!U260,"")</f>
        <v>0</v>
      </c>
      <c r="H261" s="259"/>
      <c r="I261" s="391" t="str">
        <f t="shared" ref="I261:I324" si="11">IF(J261&lt;&gt;"","S"&amp;TEXT(WEEKNUM(J261),"00"),"")</f>
        <v/>
      </c>
      <c r="J261" s="392" t="str">
        <f>IF(AND(E261=Data!R260,Data!AA260&lt;&gt;""),Data!AA260,"")</f>
        <v/>
      </c>
      <c r="K261" s="313" t="str">
        <f>IF(AND(E261=Data!R260,Data!AE260&lt;&gt;""),Data!AE260,"")</f>
        <v/>
      </c>
      <c r="L261" s="318">
        <f>IF(E261=Data!R262,Data!AI262,"")</f>
        <v>0</v>
      </c>
      <c r="M261" s="318">
        <f>IF(E261=Data!R262,Data!AJ262,"")</f>
        <v>0</v>
      </c>
      <c r="N261" s="437" t="str">
        <f>IF(AND(Data!R262&lt;&gt;"",Data!L262="Accepté"),Data!K262,"")</f>
        <v/>
      </c>
    </row>
    <row r="262" spans="1:14" hidden="1" x14ac:dyDescent="0.3">
      <c r="A262" s="393" t="str">
        <f>IF(AND(Data!R261&lt;&gt;"",Data!L261="Accepté"),Data!G261,"")</f>
        <v/>
      </c>
      <c r="B262" s="393" t="str">
        <f>IF(AND(Data!R261&lt;&gt;"",Data!L261="Accepté"),Data!L261,"")</f>
        <v/>
      </c>
      <c r="C262" s="391" t="str">
        <f t="shared" si="10"/>
        <v/>
      </c>
      <c r="D262" s="392" t="str">
        <f>IF(AND(Data!Q261&lt;&gt;"",Data!L261="Accepté"),Data!Q261,"")</f>
        <v/>
      </c>
      <c r="E262" s="237" t="str">
        <f>IF(AND(Data!R261&lt;&gt;"",Data!L261="Accepté"),Data!R261,"")</f>
        <v/>
      </c>
      <c r="F262" s="326" t="str">
        <f>IF(AND(Data!R261&lt;&gt;"",Data!L261="Accepté"),Data!S261,"")</f>
        <v/>
      </c>
      <c r="G262" s="322">
        <f>IF(Data!R261='Delivery Plan'!E262,Data!U261,"")</f>
        <v>0</v>
      </c>
      <c r="H262" s="259"/>
      <c r="I262" s="391" t="str">
        <f t="shared" si="11"/>
        <v/>
      </c>
      <c r="J262" s="392" t="str">
        <f>IF(AND(E262=Data!R261,Data!AA261&lt;&gt;""),Data!AA261,"")</f>
        <v/>
      </c>
      <c r="K262" s="313" t="str">
        <f>IF(AND(E262=Data!R261,Data!AE261&lt;&gt;""),Data!AE261,"")</f>
        <v/>
      </c>
      <c r="L262" s="318">
        <f>IF(E262=Data!R263,Data!AI263,"")</f>
        <v>0</v>
      </c>
      <c r="M262" s="318">
        <f>IF(E262=Data!R263,Data!AJ263,"")</f>
        <v>0</v>
      </c>
      <c r="N262" s="437" t="str">
        <f>IF(AND(Data!R263&lt;&gt;"",Data!L263="Accepté"),Data!K263,"")</f>
        <v/>
      </c>
    </row>
    <row r="263" spans="1:14" hidden="1" x14ac:dyDescent="0.3">
      <c r="A263" s="393" t="str">
        <f>IF(AND(Data!R262&lt;&gt;"",Data!L262="Accepté"),Data!G262,"")</f>
        <v/>
      </c>
      <c r="B263" s="393" t="str">
        <f>IF(AND(Data!R262&lt;&gt;"",Data!L262="Accepté"),Data!L262,"")</f>
        <v/>
      </c>
      <c r="C263" s="391" t="str">
        <f t="shared" si="10"/>
        <v/>
      </c>
      <c r="D263" s="392" t="str">
        <f>IF(AND(Data!Q262&lt;&gt;"",Data!L262="Accepté"),Data!Q262,"")</f>
        <v/>
      </c>
      <c r="E263" s="237" t="str">
        <f>IF(AND(Data!R262&lt;&gt;"",Data!L262="Accepté"),Data!R262,"")</f>
        <v/>
      </c>
      <c r="F263" s="326" t="str">
        <f>IF(AND(Data!R262&lt;&gt;"",Data!L262="Accepté"),Data!S262,"")</f>
        <v/>
      </c>
      <c r="G263" s="322">
        <f>IF(Data!R262='Delivery Plan'!E263,Data!U262,"")</f>
        <v>0</v>
      </c>
      <c r="H263" s="259"/>
      <c r="I263" s="391" t="str">
        <f t="shared" si="11"/>
        <v/>
      </c>
      <c r="J263" s="392" t="str">
        <f>IF(AND(E263=Data!R262,Data!AA262&lt;&gt;""),Data!AA262,"")</f>
        <v/>
      </c>
      <c r="K263" s="313" t="str">
        <f>IF(AND(E263=Data!R262,Data!AE262&lt;&gt;""),Data!AE262,"")</f>
        <v/>
      </c>
      <c r="L263" s="318">
        <f>IF(E263=Data!R264,Data!AI264,"")</f>
        <v>0</v>
      </c>
      <c r="M263" s="318">
        <f>IF(E263=Data!R264,Data!AJ264,"")</f>
        <v>0</v>
      </c>
      <c r="N263" s="437" t="str">
        <f>IF(AND(Data!R264&lt;&gt;"",Data!L264="Accepté"),Data!K264,"")</f>
        <v/>
      </c>
    </row>
    <row r="264" spans="1:14" hidden="1" x14ac:dyDescent="0.3">
      <c r="A264" s="393" t="str">
        <f>IF(AND(Data!R263&lt;&gt;"",Data!L263="Accepté"),Data!G263,"")</f>
        <v/>
      </c>
      <c r="B264" s="393" t="str">
        <f>IF(AND(Data!R263&lt;&gt;"",Data!L263="Accepté"),Data!L263,"")</f>
        <v/>
      </c>
      <c r="C264" s="391" t="str">
        <f t="shared" si="10"/>
        <v/>
      </c>
      <c r="D264" s="392" t="str">
        <f>IF(AND(Data!Q263&lt;&gt;"",Data!L263="Accepté"),Data!Q263,"")</f>
        <v/>
      </c>
      <c r="E264" s="237" t="str">
        <f>IF(AND(Data!R263&lt;&gt;"",Data!L263="Accepté"),Data!R263,"")</f>
        <v/>
      </c>
      <c r="F264" s="326" t="str">
        <f>IF(AND(Data!R263&lt;&gt;"",Data!L263="Accepté"),Data!S263,"")</f>
        <v/>
      </c>
      <c r="G264" s="322">
        <f>IF(Data!R263='Delivery Plan'!E264,Data!U263,"")</f>
        <v>0</v>
      </c>
      <c r="H264" s="259"/>
      <c r="I264" s="391" t="str">
        <f t="shared" si="11"/>
        <v/>
      </c>
      <c r="J264" s="392" t="str">
        <f>IF(AND(E264=Data!R263,Data!AA263&lt;&gt;""),Data!AA263,"")</f>
        <v/>
      </c>
      <c r="K264" s="313" t="str">
        <f>IF(AND(E264=Data!R263,Data!AE263&lt;&gt;""),Data!AE263,"")</f>
        <v/>
      </c>
      <c r="L264" s="318">
        <f>IF(E264=Data!R265,Data!AI265,"")</f>
        <v>0</v>
      </c>
      <c r="M264" s="318">
        <f>IF(E264=Data!R265,Data!AJ265,"")</f>
        <v>0</v>
      </c>
      <c r="N264" s="437" t="str">
        <f>IF(AND(Data!R265&lt;&gt;"",Data!L265="Accepté"),Data!K265,"")</f>
        <v/>
      </c>
    </row>
    <row r="265" spans="1:14" hidden="1" x14ac:dyDescent="0.3">
      <c r="A265" s="393" t="str">
        <f>IF(AND(Data!R264&lt;&gt;"",Data!L264="Accepté"),Data!G264,"")</f>
        <v/>
      </c>
      <c r="B265" s="393" t="str">
        <f>IF(AND(Data!R264&lt;&gt;"",Data!L264="Accepté"),Data!L264,"")</f>
        <v/>
      </c>
      <c r="C265" s="391" t="str">
        <f t="shared" si="10"/>
        <v/>
      </c>
      <c r="D265" s="392" t="str">
        <f>IF(AND(Data!Q264&lt;&gt;"",Data!L264="Accepté"),Data!Q264,"")</f>
        <v/>
      </c>
      <c r="E265" s="237" t="str">
        <f>IF(AND(Data!R264&lt;&gt;"",Data!L264="Accepté"),Data!R264,"")</f>
        <v/>
      </c>
      <c r="F265" s="326" t="str">
        <f>IF(AND(Data!R264&lt;&gt;"",Data!L264="Accepté"),Data!S264,"")</f>
        <v/>
      </c>
      <c r="G265" s="322">
        <f>IF(Data!R264='Delivery Plan'!E265,Data!U264,"")</f>
        <v>0</v>
      </c>
      <c r="H265" s="259"/>
      <c r="I265" s="391" t="str">
        <f t="shared" si="11"/>
        <v/>
      </c>
      <c r="J265" s="392" t="str">
        <f>IF(AND(E265=Data!R264,Data!AA264&lt;&gt;""),Data!AA264,"")</f>
        <v/>
      </c>
      <c r="K265" s="313" t="str">
        <f>IF(AND(E265=Data!R264,Data!AE264&lt;&gt;""),Data!AE264,"")</f>
        <v/>
      </c>
      <c r="L265" s="318">
        <f>IF(E265=Data!R266,Data!AI266,"")</f>
        <v>0</v>
      </c>
      <c r="M265" s="318">
        <f>IF(E265=Data!R266,Data!AJ266,"")</f>
        <v>0</v>
      </c>
      <c r="N265" s="437" t="str">
        <f>IF(AND(Data!R266&lt;&gt;"",Data!L266="Accepté"),Data!K266,"")</f>
        <v/>
      </c>
    </row>
    <row r="266" spans="1:14" hidden="1" x14ac:dyDescent="0.3">
      <c r="A266" s="393" t="str">
        <f>IF(AND(Data!R265&lt;&gt;"",Data!L265="Accepté"),Data!G265,"")</f>
        <v/>
      </c>
      <c r="B266" s="393" t="str">
        <f>IF(AND(Data!R265&lt;&gt;"",Data!L265="Accepté"),Data!L265,"")</f>
        <v/>
      </c>
      <c r="C266" s="391" t="str">
        <f t="shared" si="10"/>
        <v/>
      </c>
      <c r="D266" s="392" t="str">
        <f>IF(AND(Data!Q265&lt;&gt;"",Data!L265="Accepté"),Data!Q265,"")</f>
        <v/>
      </c>
      <c r="E266" s="237" t="str">
        <f>IF(AND(Data!R265&lt;&gt;"",Data!L265="Accepté"),Data!R265,"")</f>
        <v/>
      </c>
      <c r="F266" s="326" t="str">
        <f>IF(AND(Data!R265&lt;&gt;"",Data!L265="Accepté"),Data!S265,"")</f>
        <v/>
      </c>
      <c r="G266" s="322">
        <f>IF(Data!R265='Delivery Plan'!E266,Data!U265,"")</f>
        <v>0</v>
      </c>
      <c r="H266" s="259"/>
      <c r="I266" s="391" t="str">
        <f t="shared" si="11"/>
        <v/>
      </c>
      <c r="J266" s="392" t="str">
        <f>IF(AND(E266=Data!R265,Data!AA265&lt;&gt;""),Data!AA265,"")</f>
        <v/>
      </c>
      <c r="K266" s="313" t="str">
        <f>IF(AND(E266=Data!R265,Data!AE265&lt;&gt;""),Data!AE265,"")</f>
        <v/>
      </c>
      <c r="L266" s="318">
        <f>IF(E266=Data!R267,Data!AI267,"")</f>
        <v>0</v>
      </c>
      <c r="M266" s="318">
        <f>IF(E266=Data!R267,Data!AJ267,"")</f>
        <v>0</v>
      </c>
      <c r="N266" s="437" t="str">
        <f>IF(AND(Data!R267&lt;&gt;"",Data!L267="Accepté"),Data!K267,"")</f>
        <v/>
      </c>
    </row>
    <row r="267" spans="1:14" hidden="1" x14ac:dyDescent="0.3">
      <c r="A267" s="393" t="str">
        <f>IF(AND(Data!R266&lt;&gt;"",Data!L266="Accepté"),Data!G266,"")</f>
        <v/>
      </c>
      <c r="B267" s="393" t="str">
        <f>IF(AND(Data!R266&lt;&gt;"",Data!L266="Accepté"),Data!L266,"")</f>
        <v/>
      </c>
      <c r="C267" s="391" t="str">
        <f t="shared" si="10"/>
        <v/>
      </c>
      <c r="D267" s="392" t="str">
        <f>IF(AND(Data!Q266&lt;&gt;"",Data!L266="Accepté"),Data!Q266,"")</f>
        <v/>
      </c>
      <c r="E267" s="237" t="str">
        <f>IF(AND(Data!R266&lt;&gt;"",Data!L266="Accepté"),Data!R266,"")</f>
        <v/>
      </c>
      <c r="F267" s="326" t="str">
        <f>IF(AND(Data!R266&lt;&gt;"",Data!L266="Accepté"),Data!S266,"")</f>
        <v/>
      </c>
      <c r="G267" s="322">
        <f>IF(Data!R266='Delivery Plan'!E267,Data!U266,"")</f>
        <v>0</v>
      </c>
      <c r="H267" s="259"/>
      <c r="I267" s="391" t="str">
        <f t="shared" si="11"/>
        <v/>
      </c>
      <c r="J267" s="392" t="str">
        <f>IF(AND(E267=Data!R266,Data!AA266&lt;&gt;""),Data!AA266,"")</f>
        <v/>
      </c>
      <c r="K267" s="313" t="str">
        <f>IF(AND(E267=Data!R266,Data!AE266&lt;&gt;""),Data!AE266,"")</f>
        <v/>
      </c>
      <c r="L267" s="318">
        <f>IF(E267=Data!R268,Data!AI268,"")</f>
        <v>0</v>
      </c>
      <c r="M267" s="318">
        <f>IF(E267=Data!R268,Data!AJ268,"")</f>
        <v>0</v>
      </c>
      <c r="N267" s="437" t="str">
        <f>IF(AND(Data!R268&lt;&gt;"",Data!L268="Accepté"),Data!K268,"")</f>
        <v/>
      </c>
    </row>
    <row r="268" spans="1:14" hidden="1" x14ac:dyDescent="0.3">
      <c r="A268" s="393" t="str">
        <f>IF(AND(Data!R267&lt;&gt;"",Data!L267="Accepté"),Data!G267,"")</f>
        <v/>
      </c>
      <c r="B268" s="393" t="str">
        <f>IF(AND(Data!R267&lt;&gt;"",Data!L267="Accepté"),Data!L267,"")</f>
        <v/>
      </c>
      <c r="C268" s="391" t="str">
        <f t="shared" si="10"/>
        <v/>
      </c>
      <c r="D268" s="392" t="str">
        <f>IF(AND(Data!Q267&lt;&gt;"",Data!L267="Accepté"),Data!Q267,"")</f>
        <v/>
      </c>
      <c r="E268" s="237" t="str">
        <f>IF(AND(Data!R267&lt;&gt;"",Data!L267="Accepté"),Data!R267,"")</f>
        <v/>
      </c>
      <c r="F268" s="326" t="str">
        <f>IF(AND(Data!R267&lt;&gt;"",Data!L267="Accepté"),Data!S267,"")</f>
        <v/>
      </c>
      <c r="G268" s="322">
        <f>IF(Data!R267='Delivery Plan'!E268,Data!U267,"")</f>
        <v>0</v>
      </c>
      <c r="H268" s="259"/>
      <c r="I268" s="391" t="str">
        <f t="shared" si="11"/>
        <v/>
      </c>
      <c r="J268" s="392" t="str">
        <f>IF(AND(E268=Data!R267,Data!AA267&lt;&gt;""),Data!AA267,"")</f>
        <v/>
      </c>
      <c r="K268" s="313" t="str">
        <f>IF(AND(E268=Data!R267,Data!AE267&lt;&gt;""),Data!AE267,"")</f>
        <v/>
      </c>
      <c r="L268" s="318">
        <f>IF(E268=Data!R269,Data!AI269,"")</f>
        <v>0</v>
      </c>
      <c r="M268" s="318">
        <f>IF(E268=Data!R269,Data!AJ269,"")</f>
        <v>0</v>
      </c>
      <c r="N268" s="437" t="str">
        <f>IF(AND(Data!R269&lt;&gt;"",Data!L269="Accepté"),Data!K269,"")</f>
        <v/>
      </c>
    </row>
    <row r="269" spans="1:14" hidden="1" x14ac:dyDescent="0.3">
      <c r="A269" s="393" t="str">
        <f>IF(AND(Data!R268&lt;&gt;"",Data!L268="Accepté"),Data!G268,"")</f>
        <v/>
      </c>
      <c r="B269" s="393" t="str">
        <f>IF(AND(Data!R268&lt;&gt;"",Data!L268="Accepté"),Data!L268,"")</f>
        <v/>
      </c>
      <c r="C269" s="391" t="str">
        <f t="shared" si="10"/>
        <v/>
      </c>
      <c r="D269" s="392" t="str">
        <f>IF(AND(Data!Q268&lt;&gt;"",Data!L268="Accepté"),Data!Q268,"")</f>
        <v/>
      </c>
      <c r="E269" s="237" t="str">
        <f>IF(AND(Data!R268&lt;&gt;"",Data!L268="Accepté"),Data!R268,"")</f>
        <v/>
      </c>
      <c r="F269" s="326" t="str">
        <f>IF(AND(Data!R268&lt;&gt;"",Data!L268="Accepté"),Data!S268,"")</f>
        <v/>
      </c>
      <c r="G269" s="322">
        <f>IF(Data!R268='Delivery Plan'!E269,Data!U268,"")</f>
        <v>0</v>
      </c>
      <c r="H269" s="259"/>
      <c r="I269" s="391" t="str">
        <f t="shared" si="11"/>
        <v/>
      </c>
      <c r="J269" s="392" t="str">
        <f>IF(AND(E269=Data!R268,Data!AA268&lt;&gt;""),Data!AA268,"")</f>
        <v/>
      </c>
      <c r="K269" s="313" t="str">
        <f>IF(AND(E269=Data!R268,Data!AE268&lt;&gt;""),Data!AE268,"")</f>
        <v/>
      </c>
      <c r="L269" s="318">
        <f>IF(E269=Data!R270,Data!AI270,"")</f>
        <v>0</v>
      </c>
      <c r="M269" s="318">
        <f>IF(E269=Data!R270,Data!AJ270,"")</f>
        <v>0</v>
      </c>
      <c r="N269" s="437" t="str">
        <f>IF(AND(Data!R270&lt;&gt;"",Data!L270="Accepté"),Data!K270,"")</f>
        <v/>
      </c>
    </row>
    <row r="270" spans="1:14" hidden="1" x14ac:dyDescent="0.3">
      <c r="A270" s="393" t="str">
        <f>IF(AND(Data!R269&lt;&gt;"",Data!L269="Accepté"),Data!G269,"")</f>
        <v/>
      </c>
      <c r="B270" s="393" t="str">
        <f>IF(AND(Data!R269&lt;&gt;"",Data!L269="Accepté"),Data!L269,"")</f>
        <v/>
      </c>
      <c r="C270" s="391" t="str">
        <f t="shared" si="10"/>
        <v/>
      </c>
      <c r="D270" s="392" t="str">
        <f>IF(AND(Data!Q269&lt;&gt;"",Data!L269="Accepté"),Data!Q269,"")</f>
        <v/>
      </c>
      <c r="E270" s="237" t="str">
        <f>IF(AND(Data!R269&lt;&gt;"",Data!L269="Accepté"),Data!R269,"")</f>
        <v/>
      </c>
      <c r="F270" s="326" t="str">
        <f>IF(AND(Data!R269&lt;&gt;"",Data!L269="Accepté"),Data!S269,"")</f>
        <v/>
      </c>
      <c r="G270" s="322">
        <f>IF(Data!R269='Delivery Plan'!E270,Data!U269,"")</f>
        <v>0</v>
      </c>
      <c r="H270" s="259"/>
      <c r="I270" s="391" t="str">
        <f t="shared" si="11"/>
        <v/>
      </c>
      <c r="J270" s="392" t="str">
        <f>IF(AND(E270=Data!R269,Data!AA269&lt;&gt;""),Data!AA269,"")</f>
        <v/>
      </c>
      <c r="K270" s="313" t="str">
        <f>IF(AND(E270=Data!R269,Data!AE269&lt;&gt;""),Data!AE269,"")</f>
        <v/>
      </c>
      <c r="L270" s="318">
        <f>IF(E270=Data!R271,Data!AI271,"")</f>
        <v>0</v>
      </c>
      <c r="M270" s="318">
        <f>IF(E270=Data!R271,Data!AJ271,"")</f>
        <v>0</v>
      </c>
      <c r="N270" s="437" t="str">
        <f>IF(AND(Data!R271&lt;&gt;"",Data!L271="Accepté"),Data!K271,"")</f>
        <v/>
      </c>
    </row>
    <row r="271" spans="1:14" hidden="1" x14ac:dyDescent="0.3">
      <c r="A271" s="393" t="str">
        <f>IF(AND(Data!R270&lt;&gt;"",Data!L270="Accepté"),Data!G270,"")</f>
        <v/>
      </c>
      <c r="B271" s="393" t="str">
        <f>IF(AND(Data!R270&lt;&gt;"",Data!L270="Accepté"),Data!L270,"")</f>
        <v/>
      </c>
      <c r="C271" s="391" t="str">
        <f t="shared" si="10"/>
        <v/>
      </c>
      <c r="D271" s="392" t="str">
        <f>IF(AND(Data!Q270&lt;&gt;"",Data!L270="Accepté"),Data!Q270,"")</f>
        <v/>
      </c>
      <c r="E271" s="237" t="str">
        <f>IF(AND(Data!R270&lt;&gt;"",Data!L270="Accepté"),Data!R270,"")</f>
        <v/>
      </c>
      <c r="F271" s="326" t="str">
        <f>IF(AND(Data!R270&lt;&gt;"",Data!L270="Accepté"),Data!S270,"")</f>
        <v/>
      </c>
      <c r="G271" s="322">
        <f>IF(Data!R270='Delivery Plan'!E271,Data!U270,"")</f>
        <v>0</v>
      </c>
      <c r="H271" s="259"/>
      <c r="I271" s="391" t="str">
        <f t="shared" si="11"/>
        <v/>
      </c>
      <c r="J271" s="392" t="str">
        <f>IF(AND(E271=Data!R270,Data!AA270&lt;&gt;""),Data!AA270,"")</f>
        <v/>
      </c>
      <c r="K271" s="313" t="str">
        <f>IF(AND(E271=Data!R270,Data!AE270&lt;&gt;""),Data!AE270,"")</f>
        <v/>
      </c>
      <c r="L271" s="318">
        <f>IF(E271=Data!R272,Data!AI272,"")</f>
        <v>0</v>
      </c>
      <c r="M271" s="318">
        <f>IF(E271=Data!R272,Data!AJ272,"")</f>
        <v>0</v>
      </c>
      <c r="N271" s="437" t="str">
        <f>IF(AND(Data!R272&lt;&gt;"",Data!L272="Accepté"),Data!K272,"")</f>
        <v/>
      </c>
    </row>
    <row r="272" spans="1:14" hidden="1" x14ac:dyDescent="0.3">
      <c r="A272" s="393" t="str">
        <f>IF(AND(Data!R271&lt;&gt;"",Data!L271="Accepté"),Data!G271,"")</f>
        <v/>
      </c>
      <c r="B272" s="393" t="str">
        <f>IF(AND(Data!R271&lt;&gt;"",Data!L271="Accepté"),Data!L271,"")</f>
        <v/>
      </c>
      <c r="C272" s="391" t="str">
        <f t="shared" si="10"/>
        <v/>
      </c>
      <c r="D272" s="392" t="str">
        <f>IF(AND(Data!Q271&lt;&gt;"",Data!L271="Accepté"),Data!Q271,"")</f>
        <v/>
      </c>
      <c r="E272" s="237" t="str">
        <f>IF(AND(Data!R271&lt;&gt;"",Data!L271="Accepté"),Data!R271,"")</f>
        <v/>
      </c>
      <c r="F272" s="326" t="str">
        <f>IF(AND(Data!R271&lt;&gt;"",Data!L271="Accepté"),Data!S271,"")</f>
        <v/>
      </c>
      <c r="G272" s="322">
        <f>IF(Data!R271='Delivery Plan'!E272,Data!U271,"")</f>
        <v>0</v>
      </c>
      <c r="H272" s="259"/>
      <c r="I272" s="391" t="str">
        <f t="shared" si="11"/>
        <v/>
      </c>
      <c r="J272" s="392" t="str">
        <f>IF(AND(E272=Data!R271,Data!AA271&lt;&gt;""),Data!AA271,"")</f>
        <v/>
      </c>
      <c r="K272" s="313" t="str">
        <f>IF(AND(E272=Data!R271,Data!AE271&lt;&gt;""),Data!AE271,"")</f>
        <v/>
      </c>
      <c r="L272" s="318">
        <f>IF(E272=Data!R273,Data!AI273,"")</f>
        <v>0</v>
      </c>
      <c r="M272" s="318">
        <f>IF(E272=Data!R273,Data!AJ273,"")</f>
        <v>0</v>
      </c>
      <c r="N272" s="437" t="str">
        <f>IF(AND(Data!R273&lt;&gt;"",Data!L273="Accepté"),Data!K273,"")</f>
        <v/>
      </c>
    </row>
    <row r="273" spans="1:14" hidden="1" x14ac:dyDescent="0.3">
      <c r="A273" s="393" t="str">
        <f>IF(AND(Data!R272&lt;&gt;"",Data!L272="Accepté"),Data!G272,"")</f>
        <v/>
      </c>
      <c r="B273" s="393" t="str">
        <f>IF(AND(Data!R272&lt;&gt;"",Data!L272="Accepté"),Data!L272,"")</f>
        <v/>
      </c>
      <c r="C273" s="391" t="str">
        <f t="shared" si="10"/>
        <v/>
      </c>
      <c r="D273" s="392" t="str">
        <f>IF(AND(Data!Q272&lt;&gt;"",Data!L272="Accepté"),Data!Q272,"")</f>
        <v/>
      </c>
      <c r="E273" s="237" t="str">
        <f>IF(AND(Data!R272&lt;&gt;"",Data!L272="Accepté"),Data!R272,"")</f>
        <v/>
      </c>
      <c r="F273" s="326" t="str">
        <f>IF(AND(Data!R272&lt;&gt;"",Data!L272="Accepté"),Data!S272,"")</f>
        <v/>
      </c>
      <c r="G273" s="322">
        <f>IF(Data!R272='Delivery Plan'!E273,Data!U272,"")</f>
        <v>0</v>
      </c>
      <c r="H273" s="259"/>
      <c r="I273" s="391" t="str">
        <f t="shared" si="11"/>
        <v/>
      </c>
      <c r="J273" s="392" t="str">
        <f>IF(AND(E273=Data!R272,Data!AA272&lt;&gt;""),Data!AA272,"")</f>
        <v/>
      </c>
      <c r="K273" s="313" t="str">
        <f>IF(AND(E273=Data!R272,Data!AE272&lt;&gt;""),Data!AE272,"")</f>
        <v/>
      </c>
      <c r="L273" s="318">
        <f>IF(E273=Data!R274,Data!AI274,"")</f>
        <v>0</v>
      </c>
      <c r="M273" s="318">
        <f>IF(E273=Data!R274,Data!AJ274,"")</f>
        <v>0</v>
      </c>
      <c r="N273" s="437" t="str">
        <f>IF(AND(Data!R274&lt;&gt;"",Data!L274="Accepté"),Data!K274,"")</f>
        <v/>
      </c>
    </row>
    <row r="274" spans="1:14" hidden="1" x14ac:dyDescent="0.3">
      <c r="A274" s="393" t="str">
        <f>IF(AND(Data!R273&lt;&gt;"",Data!L273="Accepté"),Data!G273,"")</f>
        <v/>
      </c>
      <c r="B274" s="393" t="str">
        <f>IF(AND(Data!R273&lt;&gt;"",Data!L273="Accepté"),Data!L273,"")</f>
        <v/>
      </c>
      <c r="C274" s="391" t="str">
        <f t="shared" si="10"/>
        <v/>
      </c>
      <c r="D274" s="392" t="str">
        <f>IF(AND(Data!Q273&lt;&gt;"",Data!L273="Accepté"),Data!Q273,"")</f>
        <v/>
      </c>
      <c r="E274" s="237" t="str">
        <f>IF(AND(Data!R273&lt;&gt;"",Data!L273="Accepté"),Data!R273,"")</f>
        <v/>
      </c>
      <c r="F274" s="326" t="str">
        <f>IF(AND(Data!R273&lt;&gt;"",Data!L273="Accepté"),Data!S273,"")</f>
        <v/>
      </c>
      <c r="G274" s="322">
        <f>IF(Data!R273='Delivery Plan'!E274,Data!U273,"")</f>
        <v>0</v>
      </c>
      <c r="H274" s="259"/>
      <c r="I274" s="391" t="str">
        <f t="shared" si="11"/>
        <v/>
      </c>
      <c r="J274" s="392" t="str">
        <f>IF(AND(E274=Data!R273,Data!AA273&lt;&gt;""),Data!AA273,"")</f>
        <v/>
      </c>
      <c r="K274" s="313" t="str">
        <f>IF(AND(E274=Data!R273,Data!AE273&lt;&gt;""),Data!AE273,"")</f>
        <v/>
      </c>
      <c r="L274" s="318">
        <f>IF(E274=Data!R275,Data!AI275,"")</f>
        <v>0</v>
      </c>
      <c r="M274" s="318">
        <f>IF(E274=Data!R275,Data!AJ275,"")</f>
        <v>0</v>
      </c>
      <c r="N274" s="437" t="str">
        <f>IF(AND(Data!R275&lt;&gt;"",Data!L275="Accepté"),Data!K275,"")</f>
        <v/>
      </c>
    </row>
    <row r="275" spans="1:14" hidden="1" x14ac:dyDescent="0.3">
      <c r="A275" s="393" t="str">
        <f>IF(AND(Data!R274&lt;&gt;"",Data!L274="Accepté"),Data!G274,"")</f>
        <v/>
      </c>
      <c r="B275" s="393" t="str">
        <f>IF(AND(Data!R274&lt;&gt;"",Data!L274="Accepté"),Data!L274,"")</f>
        <v/>
      </c>
      <c r="C275" s="391" t="str">
        <f t="shared" si="10"/>
        <v/>
      </c>
      <c r="D275" s="392" t="str">
        <f>IF(AND(Data!Q274&lt;&gt;"",Data!L274="Accepté"),Data!Q274,"")</f>
        <v/>
      </c>
      <c r="E275" s="237" t="str">
        <f>IF(AND(Data!R274&lt;&gt;"",Data!L274="Accepté"),Data!R274,"")</f>
        <v/>
      </c>
      <c r="F275" s="326" t="str">
        <f>IF(AND(Data!R274&lt;&gt;"",Data!L274="Accepté"),Data!S274,"")</f>
        <v/>
      </c>
      <c r="G275" s="322">
        <f>IF(Data!R274='Delivery Plan'!E275,Data!U274,"")</f>
        <v>0</v>
      </c>
      <c r="H275" s="259"/>
      <c r="I275" s="391" t="str">
        <f t="shared" si="11"/>
        <v/>
      </c>
      <c r="J275" s="392" t="str">
        <f>IF(AND(E275=Data!R274,Data!AA274&lt;&gt;""),Data!AA274,"")</f>
        <v/>
      </c>
      <c r="K275" s="313" t="str">
        <f>IF(AND(E275=Data!R274,Data!AE274&lt;&gt;""),Data!AE274,"")</f>
        <v/>
      </c>
      <c r="L275" s="318">
        <f>IF(E275=Data!R276,Data!AI276,"")</f>
        <v>0</v>
      </c>
      <c r="M275" s="318">
        <f>IF(E275=Data!R276,Data!AJ276,"")</f>
        <v>0</v>
      </c>
      <c r="N275" s="437" t="str">
        <f>IF(AND(Data!R276&lt;&gt;"",Data!L276="Accepté"),Data!K276,"")</f>
        <v/>
      </c>
    </row>
    <row r="276" spans="1:14" hidden="1" x14ac:dyDescent="0.3">
      <c r="A276" s="393" t="str">
        <f>IF(AND(Data!R275&lt;&gt;"",Data!L275="Accepté"),Data!G275,"")</f>
        <v/>
      </c>
      <c r="B276" s="393" t="str">
        <f>IF(AND(Data!R275&lt;&gt;"",Data!L275="Accepté"),Data!L275,"")</f>
        <v/>
      </c>
      <c r="C276" s="391" t="str">
        <f t="shared" si="10"/>
        <v/>
      </c>
      <c r="D276" s="392" t="str">
        <f>IF(AND(Data!Q275&lt;&gt;"",Data!L275="Accepté"),Data!Q275,"")</f>
        <v/>
      </c>
      <c r="E276" s="237" t="str">
        <f>IF(AND(Data!R275&lt;&gt;"",Data!L275="Accepté"),Data!R275,"")</f>
        <v/>
      </c>
      <c r="F276" s="326" t="str">
        <f>IF(AND(Data!R275&lt;&gt;"",Data!L275="Accepté"),Data!S275,"")</f>
        <v/>
      </c>
      <c r="G276" s="322">
        <f>IF(Data!R275='Delivery Plan'!E276,Data!U275,"")</f>
        <v>0</v>
      </c>
      <c r="H276" s="259"/>
      <c r="I276" s="391" t="str">
        <f t="shared" si="11"/>
        <v/>
      </c>
      <c r="J276" s="392" t="str">
        <f>IF(AND(E276=Data!R275,Data!AA275&lt;&gt;""),Data!AA275,"")</f>
        <v/>
      </c>
      <c r="K276" s="313" t="str">
        <f>IF(AND(E276=Data!R275,Data!AE275&lt;&gt;""),Data!AE275,"")</f>
        <v/>
      </c>
      <c r="L276" s="318">
        <f>IF(E276=Data!R277,Data!AI277,"")</f>
        <v>0</v>
      </c>
      <c r="M276" s="318">
        <f>IF(E276=Data!R277,Data!AJ277,"")</f>
        <v>0</v>
      </c>
      <c r="N276" s="437" t="str">
        <f>IF(AND(Data!R277&lt;&gt;"",Data!L277="Accepté"),Data!K277,"")</f>
        <v/>
      </c>
    </row>
    <row r="277" spans="1:14" hidden="1" x14ac:dyDescent="0.3">
      <c r="A277" s="393" t="str">
        <f>IF(AND(Data!R276&lt;&gt;"",Data!L276="Accepté"),Data!G276,"")</f>
        <v/>
      </c>
      <c r="B277" s="393" t="str">
        <f>IF(AND(Data!R276&lt;&gt;"",Data!L276="Accepté"),Data!L276,"")</f>
        <v/>
      </c>
      <c r="C277" s="391" t="str">
        <f t="shared" si="10"/>
        <v/>
      </c>
      <c r="D277" s="392" t="str">
        <f>IF(AND(Data!Q276&lt;&gt;"",Data!L276="Accepté"),Data!Q276,"")</f>
        <v/>
      </c>
      <c r="E277" s="237" t="str">
        <f>IF(AND(Data!R276&lt;&gt;"",Data!L276="Accepté"),Data!R276,"")</f>
        <v/>
      </c>
      <c r="F277" s="326" t="str">
        <f>IF(AND(Data!R276&lt;&gt;"",Data!L276="Accepté"),Data!S276,"")</f>
        <v/>
      </c>
      <c r="G277" s="322">
        <f>IF(Data!R276='Delivery Plan'!E277,Data!U276,"")</f>
        <v>0</v>
      </c>
      <c r="H277" s="259"/>
      <c r="I277" s="391" t="str">
        <f t="shared" si="11"/>
        <v/>
      </c>
      <c r="J277" s="392" t="str">
        <f>IF(AND(E277=Data!R276,Data!AA276&lt;&gt;""),Data!AA276,"")</f>
        <v/>
      </c>
      <c r="K277" s="313" t="str">
        <f>IF(AND(E277=Data!R276,Data!AE276&lt;&gt;""),Data!AE276,"")</f>
        <v/>
      </c>
      <c r="L277" s="318">
        <f>IF(E277=Data!R278,Data!AI278,"")</f>
        <v>0</v>
      </c>
      <c r="M277" s="318">
        <f>IF(E277=Data!R278,Data!AJ278,"")</f>
        <v>0</v>
      </c>
      <c r="N277" s="437" t="str">
        <f>IF(AND(Data!R278&lt;&gt;"",Data!L278="Accepté"),Data!K278,"")</f>
        <v/>
      </c>
    </row>
    <row r="278" spans="1:14" hidden="1" x14ac:dyDescent="0.3">
      <c r="A278" s="393" t="str">
        <f>IF(AND(Data!R277&lt;&gt;"",Data!L277="Accepté"),Data!G277,"")</f>
        <v/>
      </c>
      <c r="B278" s="393" t="str">
        <f>IF(AND(Data!R277&lt;&gt;"",Data!L277="Accepté"),Data!L277,"")</f>
        <v/>
      </c>
      <c r="C278" s="391" t="str">
        <f t="shared" si="10"/>
        <v/>
      </c>
      <c r="D278" s="392" t="str">
        <f>IF(AND(Data!Q277&lt;&gt;"",Data!L277="Accepté"),Data!Q277,"")</f>
        <v/>
      </c>
      <c r="E278" s="237" t="str">
        <f>IF(AND(Data!R277&lt;&gt;"",Data!L277="Accepté"),Data!R277,"")</f>
        <v/>
      </c>
      <c r="F278" s="326" t="str">
        <f>IF(AND(Data!R277&lt;&gt;"",Data!L277="Accepté"),Data!S277,"")</f>
        <v/>
      </c>
      <c r="G278" s="322">
        <f>IF(Data!R277='Delivery Plan'!E278,Data!U277,"")</f>
        <v>0</v>
      </c>
      <c r="H278" s="259"/>
      <c r="I278" s="391" t="str">
        <f t="shared" si="11"/>
        <v/>
      </c>
      <c r="J278" s="392" t="str">
        <f>IF(AND(E278=Data!R277,Data!AA277&lt;&gt;""),Data!AA277,"")</f>
        <v/>
      </c>
      <c r="K278" s="313" t="str">
        <f>IF(AND(E278=Data!R277,Data!AE277&lt;&gt;""),Data!AE277,"")</f>
        <v/>
      </c>
      <c r="L278" s="318">
        <f>IF(E278=Data!R279,Data!AI279,"")</f>
        <v>0</v>
      </c>
      <c r="M278" s="318">
        <f>IF(E278=Data!R279,Data!AJ279,"")</f>
        <v>0</v>
      </c>
      <c r="N278" s="437" t="str">
        <f>IF(AND(Data!R279&lt;&gt;"",Data!L279="Accepté"),Data!K279,"")</f>
        <v/>
      </c>
    </row>
    <row r="279" spans="1:14" hidden="1" x14ac:dyDescent="0.3">
      <c r="A279" s="393" t="str">
        <f>IF(AND(Data!R278&lt;&gt;"",Data!L278="Accepté"),Data!G278,"")</f>
        <v/>
      </c>
      <c r="B279" s="393" t="str">
        <f>IF(AND(Data!R278&lt;&gt;"",Data!L278="Accepté"),Data!L278,"")</f>
        <v/>
      </c>
      <c r="C279" s="391" t="str">
        <f t="shared" si="10"/>
        <v/>
      </c>
      <c r="D279" s="392" t="str">
        <f>IF(AND(Data!Q278&lt;&gt;"",Data!L278="Accepté"),Data!Q278,"")</f>
        <v/>
      </c>
      <c r="E279" s="237" t="str">
        <f>IF(AND(Data!R278&lt;&gt;"",Data!L278="Accepté"),Data!R278,"")</f>
        <v/>
      </c>
      <c r="F279" s="326" t="str">
        <f>IF(AND(Data!R278&lt;&gt;"",Data!L278="Accepté"),Data!S278,"")</f>
        <v/>
      </c>
      <c r="G279" s="322">
        <f>IF(Data!R278='Delivery Plan'!E279,Data!U278,"")</f>
        <v>0</v>
      </c>
      <c r="H279" s="259"/>
      <c r="I279" s="391" t="str">
        <f t="shared" si="11"/>
        <v/>
      </c>
      <c r="J279" s="392" t="str">
        <f>IF(AND(E279=Data!R278,Data!AA278&lt;&gt;""),Data!AA278,"")</f>
        <v/>
      </c>
      <c r="K279" s="313" t="str">
        <f>IF(AND(E279=Data!R278,Data!AE278&lt;&gt;""),Data!AE278,"")</f>
        <v/>
      </c>
      <c r="L279" s="318">
        <f>IF(E279=Data!R280,Data!AI280,"")</f>
        <v>0</v>
      </c>
      <c r="M279" s="318">
        <f>IF(E279=Data!R280,Data!AJ280,"")</f>
        <v>0</v>
      </c>
      <c r="N279" s="437" t="str">
        <f>IF(AND(Data!R280&lt;&gt;"",Data!L280="Accepté"),Data!K280,"")</f>
        <v/>
      </c>
    </row>
    <row r="280" spans="1:14" hidden="1" x14ac:dyDescent="0.3">
      <c r="A280" s="393" t="str">
        <f>IF(AND(Data!R279&lt;&gt;"",Data!L279="Accepté"),Data!G279,"")</f>
        <v/>
      </c>
      <c r="B280" s="393" t="str">
        <f>IF(AND(Data!R279&lt;&gt;"",Data!L279="Accepté"),Data!L279,"")</f>
        <v/>
      </c>
      <c r="C280" s="391" t="str">
        <f t="shared" si="10"/>
        <v/>
      </c>
      <c r="D280" s="392" t="str">
        <f>IF(AND(Data!Q279&lt;&gt;"",Data!L279="Accepté"),Data!Q279,"")</f>
        <v/>
      </c>
      <c r="E280" s="237" t="str">
        <f>IF(AND(Data!R279&lt;&gt;"",Data!L279="Accepté"),Data!R279,"")</f>
        <v/>
      </c>
      <c r="F280" s="326" t="str">
        <f>IF(AND(Data!R279&lt;&gt;"",Data!L279="Accepté"),Data!S279,"")</f>
        <v/>
      </c>
      <c r="G280" s="322">
        <f>IF(Data!R279='Delivery Plan'!E280,Data!U279,"")</f>
        <v>0</v>
      </c>
      <c r="H280" s="259"/>
      <c r="I280" s="391" t="str">
        <f t="shared" si="11"/>
        <v/>
      </c>
      <c r="J280" s="392" t="str">
        <f>IF(AND(E280=Data!R279,Data!AA279&lt;&gt;""),Data!AA279,"")</f>
        <v/>
      </c>
      <c r="K280" s="313" t="str">
        <f>IF(AND(E280=Data!R279,Data!AE279&lt;&gt;""),Data!AE279,"")</f>
        <v/>
      </c>
      <c r="L280" s="318">
        <f>IF(E280=Data!R281,Data!AI281,"")</f>
        <v>0</v>
      </c>
      <c r="M280" s="318">
        <f>IF(E280=Data!R281,Data!AJ281,"")</f>
        <v>0</v>
      </c>
      <c r="N280" s="437" t="str">
        <f>IF(AND(Data!R281&lt;&gt;"",Data!L281="Accepté"),Data!K281,"")</f>
        <v/>
      </c>
    </row>
    <row r="281" spans="1:14" hidden="1" x14ac:dyDescent="0.3">
      <c r="A281" s="393" t="str">
        <f>IF(AND(Data!R280&lt;&gt;"",Data!L280="Accepté"),Data!G280,"")</f>
        <v/>
      </c>
      <c r="B281" s="393" t="str">
        <f>IF(AND(Data!R280&lt;&gt;"",Data!L280="Accepté"),Data!L280,"")</f>
        <v/>
      </c>
      <c r="C281" s="391" t="str">
        <f t="shared" si="10"/>
        <v/>
      </c>
      <c r="D281" s="392" t="str">
        <f>IF(AND(Data!Q280&lt;&gt;"",Data!L280="Accepté"),Data!Q280,"")</f>
        <v/>
      </c>
      <c r="E281" s="237" t="str">
        <f>IF(AND(Data!R280&lt;&gt;"",Data!L280="Accepté"),Data!R280,"")</f>
        <v/>
      </c>
      <c r="F281" s="326" t="str">
        <f>IF(AND(Data!R280&lt;&gt;"",Data!L280="Accepté"),Data!S280,"")</f>
        <v/>
      </c>
      <c r="G281" s="322">
        <f>IF(Data!R280='Delivery Plan'!E281,Data!U280,"")</f>
        <v>0</v>
      </c>
      <c r="H281" s="259"/>
      <c r="I281" s="391" t="str">
        <f t="shared" si="11"/>
        <v/>
      </c>
      <c r="J281" s="392" t="str">
        <f>IF(AND(E281=Data!R280,Data!AA280&lt;&gt;""),Data!AA280,"")</f>
        <v/>
      </c>
      <c r="K281" s="313" t="str">
        <f>IF(AND(E281=Data!R280,Data!AE280&lt;&gt;""),Data!AE280,"")</f>
        <v/>
      </c>
      <c r="L281" s="318">
        <f>IF(E281=Data!R282,Data!AI282,"")</f>
        <v>0</v>
      </c>
      <c r="M281" s="318">
        <f>IF(E281=Data!R282,Data!AJ282,"")</f>
        <v>0</v>
      </c>
      <c r="N281" s="437" t="str">
        <f>IF(AND(Data!R282&lt;&gt;"",Data!L282="Accepté"),Data!K282,"")</f>
        <v/>
      </c>
    </row>
    <row r="282" spans="1:14" hidden="1" x14ac:dyDescent="0.3">
      <c r="A282" s="393" t="str">
        <f>IF(AND(Data!R281&lt;&gt;"",Data!L281="Accepté"),Data!G281,"")</f>
        <v/>
      </c>
      <c r="B282" s="393" t="str">
        <f>IF(AND(Data!R281&lt;&gt;"",Data!L281="Accepté"),Data!L281,"")</f>
        <v/>
      </c>
      <c r="C282" s="391" t="str">
        <f t="shared" si="10"/>
        <v/>
      </c>
      <c r="D282" s="392" t="str">
        <f>IF(AND(Data!Q281&lt;&gt;"",Data!L281="Accepté"),Data!Q281,"")</f>
        <v/>
      </c>
      <c r="E282" s="237" t="str">
        <f>IF(AND(Data!R281&lt;&gt;"",Data!L281="Accepté"),Data!R281,"")</f>
        <v/>
      </c>
      <c r="F282" s="326" t="str">
        <f>IF(AND(Data!R281&lt;&gt;"",Data!L281="Accepté"),Data!S281,"")</f>
        <v/>
      </c>
      <c r="G282" s="322">
        <f>IF(Data!R281='Delivery Plan'!E282,Data!U281,"")</f>
        <v>0</v>
      </c>
      <c r="H282" s="259"/>
      <c r="I282" s="391" t="str">
        <f t="shared" si="11"/>
        <v/>
      </c>
      <c r="J282" s="392" t="str">
        <f>IF(AND(E282=Data!R281,Data!AA281&lt;&gt;""),Data!AA281,"")</f>
        <v/>
      </c>
      <c r="K282" s="313" t="str">
        <f>IF(AND(E282=Data!R281,Data!AE281&lt;&gt;""),Data!AE281,"")</f>
        <v/>
      </c>
      <c r="L282" s="318">
        <f>IF(E282=Data!R283,Data!AI283,"")</f>
        <v>0</v>
      </c>
      <c r="M282" s="318">
        <f>IF(E282=Data!R283,Data!AJ283,"")</f>
        <v>0</v>
      </c>
      <c r="N282" s="437" t="str">
        <f>IF(AND(Data!R283&lt;&gt;"",Data!L283="Accepté"),Data!K283,"")</f>
        <v/>
      </c>
    </row>
    <row r="283" spans="1:14" hidden="1" x14ac:dyDescent="0.3">
      <c r="A283" s="393" t="str">
        <f>IF(AND(Data!R282&lt;&gt;"",Data!L282="Accepté"),Data!G282,"")</f>
        <v/>
      </c>
      <c r="B283" s="393" t="str">
        <f>IF(AND(Data!R282&lt;&gt;"",Data!L282="Accepté"),Data!L282,"")</f>
        <v/>
      </c>
      <c r="C283" s="391" t="str">
        <f t="shared" si="10"/>
        <v/>
      </c>
      <c r="D283" s="392" t="str">
        <f>IF(AND(Data!Q282&lt;&gt;"",Data!L282="Accepté"),Data!Q282,"")</f>
        <v/>
      </c>
      <c r="E283" s="237" t="str">
        <f>IF(AND(Data!R282&lt;&gt;"",Data!L282="Accepté"),Data!R282,"")</f>
        <v/>
      </c>
      <c r="F283" s="326" t="str">
        <f>IF(AND(Data!R282&lt;&gt;"",Data!L282="Accepté"),Data!S282,"")</f>
        <v/>
      </c>
      <c r="G283" s="322">
        <f>IF(Data!R282='Delivery Plan'!E283,Data!U282,"")</f>
        <v>0</v>
      </c>
      <c r="H283" s="259"/>
      <c r="I283" s="391" t="str">
        <f t="shared" si="11"/>
        <v/>
      </c>
      <c r="J283" s="392" t="str">
        <f>IF(AND(E283=Data!R282,Data!AA282&lt;&gt;""),Data!AA282,"")</f>
        <v/>
      </c>
      <c r="K283" s="313" t="str">
        <f>IF(AND(E283=Data!R282,Data!AE282&lt;&gt;""),Data!AE282,"")</f>
        <v/>
      </c>
      <c r="L283" s="318">
        <f>IF(E283=Data!R284,Data!AI284,"")</f>
        <v>0</v>
      </c>
      <c r="M283" s="318">
        <f>IF(E283=Data!R284,Data!AJ284,"")</f>
        <v>0</v>
      </c>
      <c r="N283" s="437" t="str">
        <f>IF(AND(Data!R284&lt;&gt;"",Data!L284="Accepté"),Data!K284,"")</f>
        <v/>
      </c>
    </row>
    <row r="284" spans="1:14" hidden="1" x14ac:dyDescent="0.3">
      <c r="A284" s="393" t="str">
        <f>IF(AND(Data!R283&lt;&gt;"",Data!L283="Accepté"),Data!G283,"")</f>
        <v/>
      </c>
      <c r="B284" s="393" t="str">
        <f>IF(AND(Data!R283&lt;&gt;"",Data!L283="Accepté"),Data!L283,"")</f>
        <v/>
      </c>
      <c r="C284" s="391" t="str">
        <f t="shared" si="10"/>
        <v/>
      </c>
      <c r="D284" s="392" t="str">
        <f>IF(AND(Data!Q283&lt;&gt;"",Data!L283="Accepté"),Data!Q283,"")</f>
        <v/>
      </c>
      <c r="E284" s="237" t="str">
        <f>IF(AND(Data!R283&lt;&gt;"",Data!L283="Accepté"),Data!R283,"")</f>
        <v/>
      </c>
      <c r="F284" s="326" t="str">
        <f>IF(AND(Data!R283&lt;&gt;"",Data!L283="Accepté"),Data!S283,"")</f>
        <v/>
      </c>
      <c r="G284" s="322">
        <f>IF(Data!R283='Delivery Plan'!E284,Data!U283,"")</f>
        <v>0</v>
      </c>
      <c r="H284" s="259"/>
      <c r="I284" s="391" t="str">
        <f t="shared" si="11"/>
        <v/>
      </c>
      <c r="J284" s="392" t="str">
        <f>IF(AND(E284=Data!R283,Data!AA283&lt;&gt;""),Data!AA283,"")</f>
        <v/>
      </c>
      <c r="K284" s="313" t="str">
        <f>IF(AND(E284=Data!R283,Data!AE283&lt;&gt;""),Data!AE283,"")</f>
        <v/>
      </c>
      <c r="L284" s="318">
        <f>IF(E284=Data!R285,Data!AI285,"")</f>
        <v>0</v>
      </c>
      <c r="M284" s="318">
        <f>IF(E284=Data!R285,Data!AJ285,"")</f>
        <v>0</v>
      </c>
      <c r="N284" s="437" t="str">
        <f>IF(AND(Data!R285&lt;&gt;"",Data!L285="Accepté"),Data!K285,"")</f>
        <v/>
      </c>
    </row>
    <row r="285" spans="1:14" hidden="1" x14ac:dyDescent="0.3">
      <c r="A285" s="393" t="str">
        <f>IF(AND(Data!R284&lt;&gt;"",Data!L284="Accepté"),Data!G284,"")</f>
        <v/>
      </c>
      <c r="B285" s="393" t="str">
        <f>IF(AND(Data!R284&lt;&gt;"",Data!L284="Accepté"),Data!L284,"")</f>
        <v/>
      </c>
      <c r="C285" s="391" t="str">
        <f t="shared" si="10"/>
        <v/>
      </c>
      <c r="D285" s="392" t="str">
        <f>IF(AND(Data!Q284&lt;&gt;"",Data!L284="Accepté"),Data!Q284,"")</f>
        <v/>
      </c>
      <c r="E285" s="237" t="str">
        <f>IF(AND(Data!R284&lt;&gt;"",Data!L284="Accepté"),Data!R284,"")</f>
        <v/>
      </c>
      <c r="F285" s="326" t="str">
        <f>IF(AND(Data!R284&lt;&gt;"",Data!L284="Accepté"),Data!S284,"")</f>
        <v/>
      </c>
      <c r="G285" s="322">
        <f>IF(Data!R284='Delivery Plan'!E285,Data!U284,"")</f>
        <v>0</v>
      </c>
      <c r="H285" s="259"/>
      <c r="I285" s="391" t="str">
        <f t="shared" si="11"/>
        <v/>
      </c>
      <c r="J285" s="392" t="str">
        <f>IF(AND(E285=Data!R284,Data!AA284&lt;&gt;""),Data!AA284,"")</f>
        <v/>
      </c>
      <c r="K285" s="313" t="str">
        <f>IF(AND(E285=Data!R284,Data!AE284&lt;&gt;""),Data!AE284,"")</f>
        <v/>
      </c>
      <c r="L285" s="318">
        <f>IF(E285=Data!R286,Data!AI286,"")</f>
        <v>0</v>
      </c>
      <c r="M285" s="318">
        <f>IF(E285=Data!R286,Data!AJ286,"")</f>
        <v>0</v>
      </c>
      <c r="N285" s="437" t="str">
        <f>IF(AND(Data!R286&lt;&gt;"",Data!L286="Accepté"),Data!K286,"")</f>
        <v/>
      </c>
    </row>
    <row r="286" spans="1:14" hidden="1" x14ac:dyDescent="0.3">
      <c r="A286" s="393" t="str">
        <f>IF(AND(Data!R285&lt;&gt;"",Data!L285="Accepté"),Data!G285,"")</f>
        <v/>
      </c>
      <c r="B286" s="393" t="str">
        <f>IF(AND(Data!R285&lt;&gt;"",Data!L285="Accepté"),Data!L285,"")</f>
        <v/>
      </c>
      <c r="C286" s="391" t="str">
        <f t="shared" si="10"/>
        <v/>
      </c>
      <c r="D286" s="392" t="str">
        <f>IF(AND(Data!Q285&lt;&gt;"",Data!L285="Accepté"),Data!Q285,"")</f>
        <v/>
      </c>
      <c r="E286" s="237" t="str">
        <f>IF(AND(Data!R285&lt;&gt;"",Data!L285="Accepté"),Data!R285,"")</f>
        <v/>
      </c>
      <c r="F286" s="326" t="str">
        <f>IF(AND(Data!R285&lt;&gt;"",Data!L285="Accepté"),Data!S285,"")</f>
        <v/>
      </c>
      <c r="G286" s="322">
        <f>IF(Data!R285='Delivery Plan'!E286,Data!U285,"")</f>
        <v>0</v>
      </c>
      <c r="H286" s="259"/>
      <c r="I286" s="391" t="str">
        <f t="shared" si="11"/>
        <v/>
      </c>
      <c r="J286" s="392" t="str">
        <f>IF(AND(E286=Data!R285,Data!AA285&lt;&gt;""),Data!AA285,"")</f>
        <v/>
      </c>
      <c r="K286" s="313" t="str">
        <f>IF(AND(E286=Data!R285,Data!AE285&lt;&gt;""),Data!AE285,"")</f>
        <v/>
      </c>
      <c r="L286" s="318">
        <f>IF(E286=Data!R287,Data!AI287,"")</f>
        <v>0</v>
      </c>
      <c r="M286" s="318">
        <f>IF(E286=Data!R287,Data!AJ287,"")</f>
        <v>0</v>
      </c>
      <c r="N286" s="437" t="str">
        <f>IF(AND(Data!R287&lt;&gt;"",Data!L287="Accepté"),Data!K287,"")</f>
        <v/>
      </c>
    </row>
    <row r="287" spans="1:14" hidden="1" x14ac:dyDescent="0.3">
      <c r="A287" s="393" t="str">
        <f>IF(AND(Data!R286&lt;&gt;"",Data!L286="Accepté"),Data!G286,"")</f>
        <v/>
      </c>
      <c r="B287" s="393" t="str">
        <f>IF(AND(Data!R286&lt;&gt;"",Data!L286="Accepté"),Data!L286,"")</f>
        <v/>
      </c>
      <c r="C287" s="391" t="str">
        <f t="shared" si="10"/>
        <v/>
      </c>
      <c r="D287" s="392" t="str">
        <f>IF(AND(Data!Q286&lt;&gt;"",Data!L286="Accepté"),Data!Q286,"")</f>
        <v/>
      </c>
      <c r="E287" s="237" t="str">
        <f>IF(AND(Data!R286&lt;&gt;"",Data!L286="Accepté"),Data!R286,"")</f>
        <v/>
      </c>
      <c r="F287" s="326" t="str">
        <f>IF(AND(Data!R286&lt;&gt;"",Data!L286="Accepté"),Data!S286,"")</f>
        <v/>
      </c>
      <c r="G287" s="322">
        <f>IF(Data!R286='Delivery Plan'!E287,Data!U286,"")</f>
        <v>0</v>
      </c>
      <c r="H287" s="259"/>
      <c r="I287" s="391" t="str">
        <f t="shared" si="11"/>
        <v/>
      </c>
      <c r="J287" s="392" t="str">
        <f>IF(AND(E287=Data!R286,Data!AA286&lt;&gt;""),Data!AA286,"")</f>
        <v/>
      </c>
      <c r="K287" s="313" t="str">
        <f>IF(AND(E287=Data!R286,Data!AE286&lt;&gt;""),Data!AE286,"")</f>
        <v/>
      </c>
      <c r="L287" s="318">
        <f>IF(E287=Data!R288,Data!AI288,"")</f>
        <v>0</v>
      </c>
      <c r="M287" s="318">
        <f>IF(E287=Data!R288,Data!AJ288,"")</f>
        <v>0</v>
      </c>
      <c r="N287" s="437" t="str">
        <f>IF(AND(Data!R288&lt;&gt;"",Data!L288="Accepté"),Data!K288,"")</f>
        <v/>
      </c>
    </row>
    <row r="288" spans="1:14" hidden="1" x14ac:dyDescent="0.3">
      <c r="A288" s="393" t="str">
        <f>IF(AND(Data!R287&lt;&gt;"",Data!L287="Accepté"),Data!G287,"")</f>
        <v/>
      </c>
      <c r="B288" s="393" t="str">
        <f>IF(AND(Data!R287&lt;&gt;"",Data!L287="Accepté"),Data!L287,"")</f>
        <v/>
      </c>
      <c r="C288" s="391" t="str">
        <f t="shared" si="10"/>
        <v/>
      </c>
      <c r="D288" s="392" t="str">
        <f>IF(AND(Data!Q287&lt;&gt;"",Data!L287="Accepté"),Data!Q287,"")</f>
        <v/>
      </c>
      <c r="E288" s="237" t="str">
        <f>IF(AND(Data!R287&lt;&gt;"",Data!L287="Accepté"),Data!R287,"")</f>
        <v/>
      </c>
      <c r="F288" s="326" t="str">
        <f>IF(AND(Data!R287&lt;&gt;"",Data!L287="Accepté"),Data!S287,"")</f>
        <v/>
      </c>
      <c r="G288" s="322">
        <f>IF(Data!R287='Delivery Plan'!E288,Data!U287,"")</f>
        <v>0</v>
      </c>
      <c r="H288" s="259"/>
      <c r="I288" s="391" t="str">
        <f t="shared" si="11"/>
        <v/>
      </c>
      <c r="J288" s="392" t="str">
        <f>IF(AND(E288=Data!R287,Data!AA287&lt;&gt;""),Data!AA287,"")</f>
        <v/>
      </c>
      <c r="K288" s="313" t="str">
        <f>IF(AND(E288=Data!R287,Data!AE287&lt;&gt;""),Data!AE287,"")</f>
        <v/>
      </c>
      <c r="L288" s="318">
        <f>IF(E288=Data!R289,Data!AI289,"")</f>
        <v>0</v>
      </c>
      <c r="M288" s="318">
        <f>IF(E288=Data!R289,Data!AJ289,"")</f>
        <v>0</v>
      </c>
      <c r="N288" s="437" t="str">
        <f>IF(AND(Data!R289&lt;&gt;"",Data!L289="Accepté"),Data!K289,"")</f>
        <v/>
      </c>
    </row>
    <row r="289" spans="1:14" hidden="1" x14ac:dyDescent="0.3">
      <c r="A289" s="393" t="str">
        <f>IF(AND(Data!R288&lt;&gt;"",Data!L288="Accepté"),Data!G288,"")</f>
        <v/>
      </c>
      <c r="B289" s="393" t="str">
        <f>IF(AND(Data!R288&lt;&gt;"",Data!L288="Accepté"),Data!L288,"")</f>
        <v/>
      </c>
      <c r="C289" s="391" t="str">
        <f t="shared" si="10"/>
        <v/>
      </c>
      <c r="D289" s="392" t="str">
        <f>IF(AND(Data!Q288&lt;&gt;"",Data!L288="Accepté"),Data!Q288,"")</f>
        <v/>
      </c>
      <c r="E289" s="237" t="str">
        <f>IF(AND(Data!R288&lt;&gt;"",Data!L288="Accepté"),Data!R288,"")</f>
        <v/>
      </c>
      <c r="F289" s="326" t="str">
        <f>IF(AND(Data!R288&lt;&gt;"",Data!L288="Accepté"),Data!S288,"")</f>
        <v/>
      </c>
      <c r="G289" s="322">
        <f>IF(Data!R288='Delivery Plan'!E289,Data!U288,"")</f>
        <v>0</v>
      </c>
      <c r="H289" s="259"/>
      <c r="I289" s="391" t="str">
        <f t="shared" si="11"/>
        <v/>
      </c>
      <c r="J289" s="392" t="str">
        <f>IF(AND(E289=Data!R288,Data!AA288&lt;&gt;""),Data!AA288,"")</f>
        <v/>
      </c>
      <c r="K289" s="313" t="str">
        <f>IF(AND(E289=Data!R288,Data!AE288&lt;&gt;""),Data!AE288,"")</f>
        <v/>
      </c>
      <c r="L289" s="318">
        <f>IF(E289=Data!R290,Data!AI290,"")</f>
        <v>0</v>
      </c>
      <c r="M289" s="318">
        <f>IF(E289=Data!R290,Data!AJ290,"")</f>
        <v>0</v>
      </c>
      <c r="N289" s="437" t="str">
        <f>IF(AND(Data!R290&lt;&gt;"",Data!L290="Accepté"),Data!K290,"")</f>
        <v/>
      </c>
    </row>
    <row r="290" spans="1:14" hidden="1" x14ac:dyDescent="0.3">
      <c r="A290" s="393" t="str">
        <f>IF(AND(Data!R289&lt;&gt;"",Data!L289="Accepté"),Data!G289,"")</f>
        <v/>
      </c>
      <c r="B290" s="393" t="str">
        <f>IF(AND(Data!R289&lt;&gt;"",Data!L289="Accepté"),Data!L289,"")</f>
        <v/>
      </c>
      <c r="C290" s="391" t="str">
        <f t="shared" si="10"/>
        <v/>
      </c>
      <c r="D290" s="392" t="str">
        <f>IF(AND(Data!Q289&lt;&gt;"",Data!L289="Accepté"),Data!Q289,"")</f>
        <v/>
      </c>
      <c r="E290" s="237" t="str">
        <f>IF(AND(Data!R289&lt;&gt;"",Data!L289="Accepté"),Data!R289,"")</f>
        <v/>
      </c>
      <c r="F290" s="326" t="str">
        <f>IF(AND(Data!R289&lt;&gt;"",Data!L289="Accepté"),Data!S289,"")</f>
        <v/>
      </c>
      <c r="G290" s="322">
        <f>IF(Data!R289='Delivery Plan'!E290,Data!U289,"")</f>
        <v>0</v>
      </c>
      <c r="H290" s="259"/>
      <c r="I290" s="391" t="str">
        <f t="shared" si="11"/>
        <v/>
      </c>
      <c r="J290" s="392" t="str">
        <f>IF(AND(E290=Data!R289,Data!AA289&lt;&gt;""),Data!AA289,"")</f>
        <v/>
      </c>
      <c r="K290" s="313" t="str">
        <f>IF(AND(E290=Data!R289,Data!AE289&lt;&gt;""),Data!AE289,"")</f>
        <v/>
      </c>
      <c r="L290" s="318">
        <f>IF(E290=Data!R291,Data!AI291,"")</f>
        <v>0</v>
      </c>
      <c r="M290" s="318">
        <f>IF(E290=Data!R291,Data!AJ291,"")</f>
        <v>0</v>
      </c>
      <c r="N290" s="437" t="str">
        <f>IF(AND(Data!R291&lt;&gt;"",Data!L291="Accepté"),Data!K291,"")</f>
        <v/>
      </c>
    </row>
    <row r="291" spans="1:14" hidden="1" x14ac:dyDescent="0.3">
      <c r="A291" s="393" t="str">
        <f>IF(AND(Data!R290&lt;&gt;"",Data!L290="Accepté"),Data!G290,"")</f>
        <v/>
      </c>
      <c r="B291" s="393" t="str">
        <f>IF(AND(Data!R290&lt;&gt;"",Data!L290="Accepté"),Data!L290,"")</f>
        <v/>
      </c>
      <c r="C291" s="391" t="str">
        <f t="shared" si="10"/>
        <v/>
      </c>
      <c r="D291" s="392" t="str">
        <f>IF(AND(Data!Q290&lt;&gt;"",Data!L290="Accepté"),Data!Q290,"")</f>
        <v/>
      </c>
      <c r="E291" s="237" t="str">
        <f>IF(AND(Data!R290&lt;&gt;"",Data!L290="Accepté"),Data!R290,"")</f>
        <v/>
      </c>
      <c r="F291" s="326" t="str">
        <f>IF(AND(Data!R290&lt;&gt;"",Data!L290="Accepté"),Data!S290,"")</f>
        <v/>
      </c>
      <c r="G291" s="322">
        <f>IF(Data!R290='Delivery Plan'!E291,Data!U290,"")</f>
        <v>0</v>
      </c>
      <c r="H291" s="259"/>
      <c r="I291" s="391" t="str">
        <f t="shared" si="11"/>
        <v/>
      </c>
      <c r="J291" s="392" t="str">
        <f>IF(AND(E291=Data!R290,Data!AA290&lt;&gt;""),Data!AA290,"")</f>
        <v/>
      </c>
      <c r="K291" s="313" t="str">
        <f>IF(AND(E291=Data!R290,Data!AE290&lt;&gt;""),Data!AE290,"")</f>
        <v/>
      </c>
      <c r="L291" s="318">
        <f>IF(E291=Data!R292,Data!AI292,"")</f>
        <v>0</v>
      </c>
      <c r="M291" s="318">
        <f>IF(E291=Data!R292,Data!AJ292,"")</f>
        <v>0</v>
      </c>
      <c r="N291" s="437" t="str">
        <f>IF(AND(Data!R292&lt;&gt;"",Data!L292="Accepté"),Data!K292,"")</f>
        <v/>
      </c>
    </row>
    <row r="292" spans="1:14" hidden="1" x14ac:dyDescent="0.3">
      <c r="A292" s="393" t="str">
        <f>IF(AND(Data!R291&lt;&gt;"",Data!L291="Accepté"),Data!G291,"")</f>
        <v/>
      </c>
      <c r="B292" s="393" t="str">
        <f>IF(AND(Data!R291&lt;&gt;"",Data!L291="Accepté"),Data!L291,"")</f>
        <v/>
      </c>
      <c r="C292" s="391" t="str">
        <f t="shared" si="10"/>
        <v/>
      </c>
      <c r="D292" s="392" t="str">
        <f>IF(AND(Data!Q291&lt;&gt;"",Data!L291="Accepté"),Data!Q291,"")</f>
        <v/>
      </c>
      <c r="E292" s="237" t="str">
        <f>IF(AND(Data!R291&lt;&gt;"",Data!L291="Accepté"),Data!R291,"")</f>
        <v/>
      </c>
      <c r="F292" s="326" t="str">
        <f>IF(AND(Data!R291&lt;&gt;"",Data!L291="Accepté"),Data!S291,"")</f>
        <v/>
      </c>
      <c r="G292" s="322">
        <f>IF(Data!R291='Delivery Plan'!E292,Data!U291,"")</f>
        <v>0</v>
      </c>
      <c r="H292" s="259"/>
      <c r="I292" s="391" t="str">
        <f t="shared" si="11"/>
        <v/>
      </c>
      <c r="J292" s="392" t="str">
        <f>IF(AND(E292=Data!R291,Data!AA291&lt;&gt;""),Data!AA291,"")</f>
        <v/>
      </c>
      <c r="K292" s="313" t="str">
        <f>IF(AND(E292=Data!R291,Data!AE291&lt;&gt;""),Data!AE291,"")</f>
        <v/>
      </c>
      <c r="L292" s="318">
        <f>IF(E292=Data!R293,Data!AI293,"")</f>
        <v>0</v>
      </c>
      <c r="M292" s="318">
        <f>IF(E292=Data!R293,Data!AJ293,"")</f>
        <v>0</v>
      </c>
      <c r="N292" s="437" t="str">
        <f>IF(AND(Data!R293&lt;&gt;"",Data!L293="Accepté"),Data!K293,"")</f>
        <v/>
      </c>
    </row>
    <row r="293" spans="1:14" hidden="1" x14ac:dyDescent="0.3">
      <c r="A293" s="393" t="str">
        <f>IF(AND(Data!R292&lt;&gt;"",Data!L292="Accepté"),Data!G292,"")</f>
        <v/>
      </c>
      <c r="B293" s="393" t="str">
        <f>IF(AND(Data!R292&lt;&gt;"",Data!L292="Accepté"),Data!L292,"")</f>
        <v/>
      </c>
      <c r="C293" s="391" t="str">
        <f t="shared" si="10"/>
        <v/>
      </c>
      <c r="D293" s="392" t="str">
        <f>IF(AND(Data!Q292&lt;&gt;"",Data!L292="Accepté"),Data!Q292,"")</f>
        <v/>
      </c>
      <c r="E293" s="237" t="str">
        <f>IF(AND(Data!R292&lt;&gt;"",Data!L292="Accepté"),Data!R292,"")</f>
        <v/>
      </c>
      <c r="F293" s="326" t="str">
        <f>IF(AND(Data!R292&lt;&gt;"",Data!L292="Accepté"),Data!S292,"")</f>
        <v/>
      </c>
      <c r="G293" s="322">
        <f>IF(Data!R292='Delivery Plan'!E293,Data!U292,"")</f>
        <v>0</v>
      </c>
      <c r="H293" s="259"/>
      <c r="I293" s="391" t="str">
        <f t="shared" si="11"/>
        <v/>
      </c>
      <c r="J293" s="392" t="str">
        <f>IF(AND(E293=Data!R292,Data!AA292&lt;&gt;""),Data!AA292,"")</f>
        <v/>
      </c>
      <c r="K293" s="313" t="str">
        <f>IF(AND(E293=Data!R292,Data!AE292&lt;&gt;""),Data!AE292,"")</f>
        <v/>
      </c>
      <c r="L293" s="318">
        <f>IF(E293=Data!R294,Data!AI294,"")</f>
        <v>0</v>
      </c>
      <c r="M293" s="318">
        <f>IF(E293=Data!R294,Data!AJ294,"")</f>
        <v>0</v>
      </c>
      <c r="N293" s="437" t="str">
        <f>IF(AND(Data!R294&lt;&gt;"",Data!L294="Accepté"),Data!K294,"")</f>
        <v/>
      </c>
    </row>
    <row r="294" spans="1:14" hidden="1" x14ac:dyDescent="0.3">
      <c r="A294" s="393" t="str">
        <f>IF(AND(Data!R293&lt;&gt;"",Data!L293="Accepté"),Data!G293,"")</f>
        <v/>
      </c>
      <c r="B294" s="393" t="str">
        <f>IF(AND(Data!R293&lt;&gt;"",Data!L293="Accepté"),Data!L293,"")</f>
        <v/>
      </c>
      <c r="C294" s="391" t="str">
        <f t="shared" si="10"/>
        <v/>
      </c>
      <c r="D294" s="392" t="str">
        <f>IF(AND(Data!Q293&lt;&gt;"",Data!L293="Accepté"),Data!Q293,"")</f>
        <v/>
      </c>
      <c r="E294" s="237" t="str">
        <f>IF(AND(Data!R293&lt;&gt;"",Data!L293="Accepté"),Data!R293,"")</f>
        <v/>
      </c>
      <c r="F294" s="326" t="str">
        <f>IF(AND(Data!R293&lt;&gt;"",Data!L293="Accepté"),Data!S293,"")</f>
        <v/>
      </c>
      <c r="G294" s="322">
        <f>IF(Data!R293='Delivery Plan'!E294,Data!U293,"")</f>
        <v>0</v>
      </c>
      <c r="H294" s="259"/>
      <c r="I294" s="391" t="str">
        <f t="shared" si="11"/>
        <v/>
      </c>
      <c r="J294" s="392" t="str">
        <f>IF(AND(E294=Data!R293,Data!AA293&lt;&gt;""),Data!AA293,"")</f>
        <v/>
      </c>
      <c r="K294" s="313" t="str">
        <f>IF(AND(E294=Data!R293,Data!AE293&lt;&gt;""),Data!AE293,"")</f>
        <v/>
      </c>
      <c r="L294" s="318">
        <f>IF(E294=Data!R295,Data!AI295,"")</f>
        <v>0</v>
      </c>
      <c r="M294" s="318">
        <f>IF(E294=Data!R295,Data!AJ295,"")</f>
        <v>0</v>
      </c>
      <c r="N294" s="437" t="str">
        <f>IF(AND(Data!R295&lt;&gt;"",Data!L295="Accepté"),Data!K295,"")</f>
        <v/>
      </c>
    </row>
    <row r="295" spans="1:14" hidden="1" x14ac:dyDescent="0.3">
      <c r="A295" s="393" t="str">
        <f>IF(AND(Data!R294&lt;&gt;"",Data!L294="Accepté"),Data!G294,"")</f>
        <v/>
      </c>
      <c r="B295" s="393" t="str">
        <f>IF(AND(Data!R294&lt;&gt;"",Data!L294="Accepté"),Data!L294,"")</f>
        <v/>
      </c>
      <c r="C295" s="391" t="str">
        <f t="shared" si="10"/>
        <v/>
      </c>
      <c r="D295" s="392" t="str">
        <f>IF(AND(Data!Q294&lt;&gt;"",Data!L294="Accepté"),Data!Q294,"")</f>
        <v/>
      </c>
      <c r="E295" s="237" t="str">
        <f>IF(AND(Data!R294&lt;&gt;"",Data!L294="Accepté"),Data!R294,"")</f>
        <v/>
      </c>
      <c r="F295" s="326" t="str">
        <f>IF(AND(Data!R294&lt;&gt;"",Data!L294="Accepté"),Data!S294,"")</f>
        <v/>
      </c>
      <c r="G295" s="322">
        <f>IF(Data!R294='Delivery Plan'!E295,Data!U294,"")</f>
        <v>0</v>
      </c>
      <c r="H295" s="259"/>
      <c r="I295" s="391" t="str">
        <f t="shared" si="11"/>
        <v/>
      </c>
      <c r="J295" s="392" t="str">
        <f>IF(AND(E295=Data!R294,Data!AA294&lt;&gt;""),Data!AA294,"")</f>
        <v/>
      </c>
      <c r="K295" s="313" t="str">
        <f>IF(AND(E295=Data!R294,Data!AE294&lt;&gt;""),Data!AE294,"")</f>
        <v/>
      </c>
      <c r="L295" s="318">
        <f>IF(E295=Data!R296,Data!AI296,"")</f>
        <v>0</v>
      </c>
      <c r="M295" s="318">
        <f>IF(E295=Data!R296,Data!AJ296,"")</f>
        <v>0</v>
      </c>
      <c r="N295" s="437" t="str">
        <f>IF(AND(Data!R296&lt;&gt;"",Data!L296="Accepté"),Data!K296,"")</f>
        <v/>
      </c>
    </row>
    <row r="296" spans="1:14" hidden="1" x14ac:dyDescent="0.3">
      <c r="A296" s="393" t="str">
        <f>IF(AND(Data!R295&lt;&gt;"",Data!L295="Accepté"),Data!G295,"")</f>
        <v/>
      </c>
      <c r="B296" s="393" t="str">
        <f>IF(AND(Data!R295&lt;&gt;"",Data!L295="Accepté"),Data!L295,"")</f>
        <v/>
      </c>
      <c r="C296" s="391" t="str">
        <f t="shared" si="10"/>
        <v/>
      </c>
      <c r="D296" s="392" t="str">
        <f>IF(AND(Data!Q295&lt;&gt;"",Data!L295="Accepté"),Data!Q295,"")</f>
        <v/>
      </c>
      <c r="E296" s="237" t="str">
        <f>IF(AND(Data!R295&lt;&gt;"",Data!L295="Accepté"),Data!R295,"")</f>
        <v/>
      </c>
      <c r="F296" s="326" t="str">
        <f>IF(AND(Data!R295&lt;&gt;"",Data!L295="Accepté"),Data!S295,"")</f>
        <v/>
      </c>
      <c r="G296" s="322">
        <f>IF(Data!R295='Delivery Plan'!E296,Data!U295,"")</f>
        <v>0</v>
      </c>
      <c r="H296" s="259"/>
      <c r="I296" s="391" t="str">
        <f t="shared" si="11"/>
        <v/>
      </c>
      <c r="J296" s="392" t="str">
        <f>IF(AND(E296=Data!R295,Data!AA295&lt;&gt;""),Data!AA295,"")</f>
        <v/>
      </c>
      <c r="K296" s="313" t="str">
        <f>IF(AND(E296=Data!R295,Data!AE295&lt;&gt;""),Data!AE295,"")</f>
        <v/>
      </c>
      <c r="L296" s="318">
        <f>IF(E296=Data!R297,Data!AI297,"")</f>
        <v>0</v>
      </c>
      <c r="M296" s="318">
        <f>IF(E296=Data!R297,Data!AJ297,"")</f>
        <v>0</v>
      </c>
      <c r="N296" s="437" t="str">
        <f>IF(AND(Data!R297&lt;&gt;"",Data!L297="Accepté"),Data!K297,"")</f>
        <v/>
      </c>
    </row>
    <row r="297" spans="1:14" hidden="1" x14ac:dyDescent="0.3">
      <c r="A297" s="393" t="str">
        <f>IF(AND(Data!R296&lt;&gt;"",Data!L296="Accepté"),Data!G296,"")</f>
        <v/>
      </c>
      <c r="B297" s="393" t="str">
        <f>IF(AND(Data!R296&lt;&gt;"",Data!L296="Accepté"),Data!L296,"")</f>
        <v/>
      </c>
      <c r="C297" s="391" t="str">
        <f t="shared" si="10"/>
        <v/>
      </c>
      <c r="D297" s="392" t="str">
        <f>IF(AND(Data!Q296&lt;&gt;"",Data!L296="Accepté"),Data!Q296,"")</f>
        <v/>
      </c>
      <c r="E297" s="237" t="str">
        <f>IF(AND(Data!R296&lt;&gt;"",Data!L296="Accepté"),Data!R296,"")</f>
        <v/>
      </c>
      <c r="F297" s="326" t="str">
        <f>IF(AND(Data!R296&lt;&gt;"",Data!L296="Accepté"),Data!S296,"")</f>
        <v/>
      </c>
      <c r="G297" s="322">
        <f>IF(Data!R296='Delivery Plan'!E297,Data!U296,"")</f>
        <v>0</v>
      </c>
      <c r="H297" s="259"/>
      <c r="I297" s="391" t="str">
        <f t="shared" si="11"/>
        <v/>
      </c>
      <c r="J297" s="392" t="str">
        <f>IF(AND(E297=Data!R296,Data!AA296&lt;&gt;""),Data!AA296,"")</f>
        <v/>
      </c>
      <c r="K297" s="313" t="str">
        <f>IF(AND(E297=Data!R296,Data!AE296&lt;&gt;""),Data!AE296,"")</f>
        <v/>
      </c>
      <c r="L297" s="318">
        <f>IF(E297=Data!R298,Data!AI298,"")</f>
        <v>0</v>
      </c>
      <c r="M297" s="318">
        <f>IF(E297=Data!R298,Data!AJ298,"")</f>
        <v>0</v>
      </c>
      <c r="N297" s="437" t="str">
        <f>IF(AND(Data!R298&lt;&gt;"",Data!L298="Accepté"),Data!K298,"")</f>
        <v/>
      </c>
    </row>
    <row r="298" spans="1:14" hidden="1" x14ac:dyDescent="0.3">
      <c r="A298" s="393" t="str">
        <f>IF(AND(Data!R297&lt;&gt;"",Data!L297="Accepté"),Data!G297,"")</f>
        <v/>
      </c>
      <c r="B298" s="393" t="str">
        <f>IF(AND(Data!R297&lt;&gt;"",Data!L297="Accepté"),Data!L297,"")</f>
        <v/>
      </c>
      <c r="C298" s="391" t="str">
        <f t="shared" si="10"/>
        <v/>
      </c>
      <c r="D298" s="392" t="str">
        <f>IF(AND(Data!Q297&lt;&gt;"",Data!L297="Accepté"),Data!Q297,"")</f>
        <v/>
      </c>
      <c r="E298" s="237" t="str">
        <f>IF(AND(Data!R297&lt;&gt;"",Data!L297="Accepté"),Data!R297,"")</f>
        <v/>
      </c>
      <c r="F298" s="326" t="str">
        <f>IF(AND(Data!R297&lt;&gt;"",Data!L297="Accepté"),Data!S297,"")</f>
        <v/>
      </c>
      <c r="G298" s="322">
        <f>IF(Data!R297='Delivery Plan'!E298,Data!U297,"")</f>
        <v>0</v>
      </c>
      <c r="H298" s="259"/>
      <c r="I298" s="391" t="str">
        <f t="shared" si="11"/>
        <v/>
      </c>
      <c r="J298" s="392" t="str">
        <f>IF(AND(E298=Data!R297,Data!AA297&lt;&gt;""),Data!AA297,"")</f>
        <v/>
      </c>
      <c r="K298" s="313" t="str">
        <f>IF(AND(E298=Data!R297,Data!AE297&lt;&gt;""),Data!AE297,"")</f>
        <v/>
      </c>
      <c r="L298" s="318">
        <f>IF(E298=Data!R299,Data!AI299,"")</f>
        <v>0</v>
      </c>
      <c r="M298" s="318">
        <f>IF(E298=Data!R299,Data!AJ299,"")</f>
        <v>0</v>
      </c>
      <c r="N298" s="437" t="str">
        <f>IF(AND(Data!R299&lt;&gt;"",Data!L299="Accepté"),Data!K299,"")</f>
        <v/>
      </c>
    </row>
    <row r="299" spans="1:14" hidden="1" x14ac:dyDescent="0.3">
      <c r="A299" s="393" t="str">
        <f>IF(AND(Data!R298&lt;&gt;"",Data!L298="Accepté"),Data!G298,"")</f>
        <v/>
      </c>
      <c r="B299" s="393" t="str">
        <f>IF(AND(Data!R298&lt;&gt;"",Data!L298="Accepté"),Data!L298,"")</f>
        <v/>
      </c>
      <c r="C299" s="391" t="str">
        <f t="shared" si="10"/>
        <v/>
      </c>
      <c r="D299" s="392" t="str">
        <f>IF(AND(Data!Q298&lt;&gt;"",Data!L298="Accepté"),Data!Q298,"")</f>
        <v/>
      </c>
      <c r="E299" s="237" t="str">
        <f>IF(AND(Data!R298&lt;&gt;"",Data!L298="Accepté"),Data!R298,"")</f>
        <v/>
      </c>
      <c r="F299" s="326" t="str">
        <f>IF(AND(Data!R298&lt;&gt;"",Data!L298="Accepté"),Data!S298,"")</f>
        <v/>
      </c>
      <c r="G299" s="322">
        <f>IF(Data!R298='Delivery Plan'!E299,Data!U298,"")</f>
        <v>0</v>
      </c>
      <c r="H299" s="259"/>
      <c r="I299" s="391" t="str">
        <f t="shared" si="11"/>
        <v/>
      </c>
      <c r="J299" s="392" t="str">
        <f>IF(AND(E299=Data!R298,Data!AA298&lt;&gt;""),Data!AA298,"")</f>
        <v/>
      </c>
      <c r="K299" s="313" t="str">
        <f>IF(AND(E299=Data!R298,Data!AE298&lt;&gt;""),Data!AE298,"")</f>
        <v/>
      </c>
      <c r="L299" s="318">
        <f>IF(E299=Data!R300,Data!AI300,"")</f>
        <v>0</v>
      </c>
      <c r="M299" s="318">
        <f>IF(E299=Data!R300,Data!AJ300,"")</f>
        <v>0</v>
      </c>
      <c r="N299" s="437" t="str">
        <f>IF(AND(Data!R300&lt;&gt;"",Data!L300="Accepté"),Data!K300,"")</f>
        <v/>
      </c>
    </row>
    <row r="300" spans="1:14" hidden="1" x14ac:dyDescent="0.3">
      <c r="A300" s="393" t="str">
        <f>IF(AND(Data!R299&lt;&gt;"",Data!L299="Accepté"),Data!G299,"")</f>
        <v/>
      </c>
      <c r="B300" s="393" t="str">
        <f>IF(AND(Data!R299&lt;&gt;"",Data!L299="Accepté"),Data!L299,"")</f>
        <v/>
      </c>
      <c r="C300" s="391" t="str">
        <f t="shared" si="10"/>
        <v/>
      </c>
      <c r="D300" s="392" t="str">
        <f>IF(AND(Data!Q299&lt;&gt;"",Data!L299="Accepté"),Data!Q299,"")</f>
        <v/>
      </c>
      <c r="E300" s="237" t="str">
        <f>IF(AND(Data!R299&lt;&gt;"",Data!L299="Accepté"),Data!R299,"")</f>
        <v/>
      </c>
      <c r="F300" s="326" t="str">
        <f>IF(AND(Data!R299&lt;&gt;"",Data!L299="Accepté"),Data!S299,"")</f>
        <v/>
      </c>
      <c r="G300" s="322">
        <f>IF(Data!R299='Delivery Plan'!E300,Data!U299,"")</f>
        <v>0</v>
      </c>
      <c r="H300" s="259"/>
      <c r="I300" s="391" t="str">
        <f t="shared" si="11"/>
        <v/>
      </c>
      <c r="J300" s="392" t="str">
        <f>IF(AND(E300=Data!R299,Data!AA299&lt;&gt;""),Data!AA299,"")</f>
        <v/>
      </c>
      <c r="K300" s="313" t="str">
        <f>IF(AND(E300=Data!R299,Data!AE299&lt;&gt;""),Data!AE299,"")</f>
        <v/>
      </c>
      <c r="L300" s="318">
        <f>IF(E300=Data!R301,Data!AI301,"")</f>
        <v>0</v>
      </c>
      <c r="M300" s="318">
        <f>IF(E300=Data!R301,Data!AJ301,"")</f>
        <v>0</v>
      </c>
      <c r="N300" s="437" t="str">
        <f>IF(AND(Data!R301&lt;&gt;"",Data!L301="Accepté"),Data!K301,"")</f>
        <v/>
      </c>
    </row>
    <row r="301" spans="1:14" hidden="1" x14ac:dyDescent="0.3">
      <c r="A301" s="393" t="str">
        <f>IF(AND(Data!R300&lt;&gt;"",Data!L300="Accepté"),Data!G300,"")</f>
        <v/>
      </c>
      <c r="B301" s="393" t="str">
        <f>IF(AND(Data!R300&lt;&gt;"",Data!L300="Accepté"),Data!L300,"")</f>
        <v/>
      </c>
      <c r="C301" s="391" t="str">
        <f t="shared" si="10"/>
        <v/>
      </c>
      <c r="D301" s="392" t="str">
        <f>IF(AND(Data!Q300&lt;&gt;"",Data!L300="Accepté"),Data!Q300,"")</f>
        <v/>
      </c>
      <c r="E301" s="237" t="str">
        <f>IF(AND(Data!R300&lt;&gt;"",Data!L300="Accepté"),Data!R300,"")</f>
        <v/>
      </c>
      <c r="F301" s="326" t="str">
        <f>IF(AND(Data!R300&lt;&gt;"",Data!L300="Accepté"),Data!S300,"")</f>
        <v/>
      </c>
      <c r="G301" s="322">
        <f>IF(Data!R300='Delivery Plan'!E301,Data!U300,"")</f>
        <v>0</v>
      </c>
      <c r="H301" s="259"/>
      <c r="I301" s="391" t="str">
        <f t="shared" si="11"/>
        <v/>
      </c>
      <c r="J301" s="392" t="str">
        <f>IF(AND(E301=Data!R300,Data!AA300&lt;&gt;""),Data!AA300,"")</f>
        <v/>
      </c>
      <c r="K301" s="313" t="str">
        <f>IF(AND(E301=Data!R300,Data!AE300&lt;&gt;""),Data!AE300,"")</f>
        <v/>
      </c>
      <c r="L301" s="318">
        <f>IF(E301=Data!R302,Data!AI302,"")</f>
        <v>0</v>
      </c>
      <c r="M301" s="318">
        <f>IF(E301=Data!R302,Data!AJ302,"")</f>
        <v>0</v>
      </c>
      <c r="N301" s="437" t="str">
        <f>IF(AND(Data!R302&lt;&gt;"",Data!L302="Accepté"),Data!K302,"")</f>
        <v/>
      </c>
    </row>
    <row r="302" spans="1:14" hidden="1" x14ac:dyDescent="0.3">
      <c r="A302" s="393" t="str">
        <f>IF(AND(Data!R301&lt;&gt;"",Data!L301="Accepté"),Data!G301,"")</f>
        <v/>
      </c>
      <c r="B302" s="393" t="str">
        <f>IF(AND(Data!R301&lt;&gt;"",Data!L301="Accepté"),Data!L301,"")</f>
        <v/>
      </c>
      <c r="C302" s="391" t="str">
        <f t="shared" si="10"/>
        <v/>
      </c>
      <c r="D302" s="392" t="str">
        <f>IF(AND(Data!Q301&lt;&gt;"",Data!L301="Accepté"),Data!Q301,"")</f>
        <v/>
      </c>
      <c r="E302" s="237" t="str">
        <f>IF(AND(Data!R301&lt;&gt;"",Data!L301="Accepté"),Data!R301,"")</f>
        <v/>
      </c>
      <c r="F302" s="326" t="str">
        <f>IF(AND(Data!R301&lt;&gt;"",Data!L301="Accepté"),Data!S301,"")</f>
        <v/>
      </c>
      <c r="G302" s="322">
        <f>IF(Data!R301='Delivery Plan'!E302,Data!U301,"")</f>
        <v>0</v>
      </c>
      <c r="H302" s="259"/>
      <c r="I302" s="391" t="str">
        <f t="shared" si="11"/>
        <v/>
      </c>
      <c r="J302" s="392" t="str">
        <f>IF(AND(E302=Data!R301,Data!AA301&lt;&gt;""),Data!AA301,"")</f>
        <v/>
      </c>
      <c r="K302" s="313" t="str">
        <f>IF(AND(E302=Data!R301,Data!AE301&lt;&gt;""),Data!AE301,"")</f>
        <v/>
      </c>
      <c r="L302" s="318">
        <f>IF(E302=Data!R303,Data!AI303,"")</f>
        <v>0</v>
      </c>
      <c r="M302" s="318">
        <f>IF(E302=Data!R303,Data!AJ303,"")</f>
        <v>0</v>
      </c>
      <c r="N302" s="437" t="str">
        <f>IF(AND(Data!R303&lt;&gt;"",Data!L303="Accepté"),Data!K303,"")</f>
        <v/>
      </c>
    </row>
    <row r="303" spans="1:14" hidden="1" x14ac:dyDescent="0.3">
      <c r="A303" s="393" t="str">
        <f>IF(AND(Data!R302&lt;&gt;"",Data!L302="Accepté"),Data!G302,"")</f>
        <v/>
      </c>
      <c r="B303" s="393" t="str">
        <f>IF(AND(Data!R302&lt;&gt;"",Data!L302="Accepté"),Data!L302,"")</f>
        <v/>
      </c>
      <c r="C303" s="391" t="str">
        <f t="shared" si="10"/>
        <v/>
      </c>
      <c r="D303" s="392" t="str">
        <f>IF(AND(Data!Q302&lt;&gt;"",Data!L302="Accepté"),Data!Q302,"")</f>
        <v/>
      </c>
      <c r="E303" s="237" t="str">
        <f>IF(AND(Data!R302&lt;&gt;"",Data!L302="Accepté"),Data!R302,"")</f>
        <v/>
      </c>
      <c r="F303" s="326" t="str">
        <f>IF(AND(Data!R302&lt;&gt;"",Data!L302="Accepté"),Data!S302,"")</f>
        <v/>
      </c>
      <c r="G303" s="322">
        <f>IF(Data!R302='Delivery Plan'!E303,Data!U302,"")</f>
        <v>0</v>
      </c>
      <c r="H303" s="259"/>
      <c r="I303" s="391" t="str">
        <f t="shared" si="11"/>
        <v/>
      </c>
      <c r="J303" s="392" t="str">
        <f>IF(AND(E303=Data!R302,Data!AA302&lt;&gt;""),Data!AA302,"")</f>
        <v/>
      </c>
      <c r="K303" s="313" t="str">
        <f>IF(AND(E303=Data!R302,Data!AE302&lt;&gt;""),Data!AE302,"")</f>
        <v/>
      </c>
      <c r="L303" s="318">
        <f>IF(E303=Data!R304,Data!AI304,"")</f>
        <v>0</v>
      </c>
      <c r="M303" s="318">
        <f>IF(E303=Data!R304,Data!AJ304,"")</f>
        <v>0</v>
      </c>
      <c r="N303" s="437" t="str">
        <f>IF(AND(Data!R304&lt;&gt;"",Data!L304="Accepté"),Data!K304,"")</f>
        <v/>
      </c>
    </row>
    <row r="304" spans="1:14" hidden="1" x14ac:dyDescent="0.3">
      <c r="A304" s="393" t="str">
        <f>IF(AND(Data!R303&lt;&gt;"",Data!L303="Accepté"),Data!G303,"")</f>
        <v/>
      </c>
      <c r="B304" s="393" t="str">
        <f>IF(AND(Data!R303&lt;&gt;"",Data!L303="Accepté"),Data!L303,"")</f>
        <v/>
      </c>
      <c r="C304" s="391" t="str">
        <f t="shared" si="10"/>
        <v/>
      </c>
      <c r="D304" s="392" t="str">
        <f>IF(AND(Data!Q303&lt;&gt;"",Data!L303="Accepté"),Data!Q303,"")</f>
        <v/>
      </c>
      <c r="E304" s="237" t="str">
        <f>IF(AND(Data!R303&lt;&gt;"",Data!L303="Accepté"),Data!R303,"")</f>
        <v/>
      </c>
      <c r="F304" s="326" t="str">
        <f>IF(AND(Data!R303&lt;&gt;"",Data!L303="Accepté"),Data!S303,"")</f>
        <v/>
      </c>
      <c r="G304" s="322">
        <f>IF(Data!R303='Delivery Plan'!E304,Data!U303,"")</f>
        <v>0</v>
      </c>
      <c r="H304" s="259"/>
      <c r="I304" s="391" t="str">
        <f t="shared" si="11"/>
        <v/>
      </c>
      <c r="J304" s="392" t="str">
        <f>IF(AND(E304=Data!R303,Data!AA303&lt;&gt;""),Data!AA303,"")</f>
        <v/>
      </c>
      <c r="K304" s="313" t="str">
        <f>IF(AND(E304=Data!R303,Data!AE303&lt;&gt;""),Data!AE303,"")</f>
        <v/>
      </c>
      <c r="L304" s="318">
        <f>IF(E304=Data!R305,Data!AI305,"")</f>
        <v>0</v>
      </c>
      <c r="M304" s="318">
        <f>IF(E304=Data!R305,Data!AJ305,"")</f>
        <v>0</v>
      </c>
      <c r="N304" s="437" t="str">
        <f>IF(AND(Data!R305&lt;&gt;"",Data!L305="Accepté"),Data!K305,"")</f>
        <v/>
      </c>
    </row>
    <row r="305" spans="1:14" hidden="1" x14ac:dyDescent="0.3">
      <c r="A305" s="393" t="str">
        <f>IF(AND(Data!R304&lt;&gt;"",Data!L304="Accepté"),Data!G304,"")</f>
        <v/>
      </c>
      <c r="B305" s="393" t="str">
        <f>IF(AND(Data!R304&lt;&gt;"",Data!L304="Accepté"),Data!L304,"")</f>
        <v/>
      </c>
      <c r="C305" s="391" t="str">
        <f t="shared" si="10"/>
        <v/>
      </c>
      <c r="D305" s="392" t="str">
        <f>IF(AND(Data!Q304&lt;&gt;"",Data!L304="Accepté"),Data!Q304,"")</f>
        <v/>
      </c>
      <c r="E305" s="237" t="str">
        <f>IF(AND(Data!R304&lt;&gt;"",Data!L304="Accepté"),Data!R304,"")</f>
        <v/>
      </c>
      <c r="F305" s="326" t="str">
        <f>IF(AND(Data!R304&lt;&gt;"",Data!L304="Accepté"),Data!S304,"")</f>
        <v/>
      </c>
      <c r="G305" s="322">
        <f>IF(Data!R304='Delivery Plan'!E305,Data!U304,"")</f>
        <v>0</v>
      </c>
      <c r="H305" s="259"/>
      <c r="I305" s="391" t="str">
        <f t="shared" si="11"/>
        <v/>
      </c>
      <c r="J305" s="392" t="str">
        <f>IF(AND(E305=Data!R304,Data!AA304&lt;&gt;""),Data!AA304,"")</f>
        <v/>
      </c>
      <c r="K305" s="313" t="str">
        <f>IF(AND(E305=Data!R304,Data!AE304&lt;&gt;""),Data!AE304,"")</f>
        <v/>
      </c>
      <c r="L305" s="318">
        <f>IF(E305=Data!R317,Data!AI317,"")</f>
        <v>0</v>
      </c>
      <c r="M305" s="318">
        <f>IF(E305=Data!R317,Data!AJ317,"")</f>
        <v>0</v>
      </c>
      <c r="N305" s="437" t="str">
        <f>IF(AND(Data!R317&lt;&gt;"",Data!L317="Accepté"),Data!K317,"")</f>
        <v/>
      </c>
    </row>
    <row r="306" spans="1:14" hidden="1" x14ac:dyDescent="0.3">
      <c r="A306" s="393" t="str">
        <f>IF(AND(Data!R305&lt;&gt;"",Data!L305="Accepté"),Data!G305,"")</f>
        <v/>
      </c>
      <c r="B306" s="393" t="str">
        <f>IF(AND(Data!R305&lt;&gt;"",Data!L305="Accepté"),Data!L305,"")</f>
        <v/>
      </c>
      <c r="C306" s="391" t="str">
        <f t="shared" si="10"/>
        <v/>
      </c>
      <c r="D306" s="392" t="str">
        <f>IF(AND(Data!Q305&lt;&gt;"",Data!L305="Accepté"),Data!Q305,"")</f>
        <v/>
      </c>
      <c r="E306" s="237" t="str">
        <f>IF(AND(Data!R305&lt;&gt;"",Data!L305="Accepté"),Data!R305,"")</f>
        <v/>
      </c>
      <c r="F306" s="326" t="str">
        <f>IF(AND(Data!R305&lt;&gt;"",Data!L305="Accepté"),Data!S305,"")</f>
        <v/>
      </c>
      <c r="G306" s="322">
        <f>IF(Data!R305='Delivery Plan'!E306,Data!U305,"")</f>
        <v>0</v>
      </c>
      <c r="H306" s="259"/>
      <c r="I306" s="391" t="str">
        <f t="shared" si="11"/>
        <v/>
      </c>
      <c r="J306" s="392" t="str">
        <f>IF(AND(E306=Data!R305,Data!AA305&lt;&gt;""),Data!AA305,"")</f>
        <v/>
      </c>
      <c r="K306" s="313" t="str">
        <f>IF(AND(E306=Data!R305,Data!AE305&lt;&gt;""),Data!AE305,"")</f>
        <v/>
      </c>
      <c r="L306" s="318">
        <f>IF(E306=Data!R318,Data!AI318,"")</f>
        <v>0</v>
      </c>
      <c r="M306" s="318">
        <f>IF(E306=Data!R318,Data!AJ318,"")</f>
        <v>0</v>
      </c>
      <c r="N306" s="437" t="str">
        <f>IF(AND(Data!R318&lt;&gt;"",Data!L318="Accepté"),Data!K318,"")</f>
        <v/>
      </c>
    </row>
    <row r="307" spans="1:14" hidden="1" x14ac:dyDescent="0.3">
      <c r="A307" s="393" t="str">
        <f>IF(AND(Data!R306&lt;&gt;"",Data!L306="Accepté"),Data!G306,"")</f>
        <v/>
      </c>
      <c r="B307" s="393" t="str">
        <f>IF(AND(Data!R306&lt;&gt;"",Data!L306="Accepté"),Data!L306,"")</f>
        <v/>
      </c>
      <c r="C307" s="391" t="str">
        <f t="shared" si="10"/>
        <v/>
      </c>
      <c r="D307" s="392" t="str">
        <f>IF(AND(Data!Q306&lt;&gt;"",Data!L306="Accepté"),Data!Q306,"")</f>
        <v/>
      </c>
      <c r="E307" s="237" t="str">
        <f>IF(AND(Data!R306&lt;&gt;"",Data!L306="Accepté"),Data!R306,"")</f>
        <v/>
      </c>
      <c r="F307" s="326" t="str">
        <f>IF(AND(Data!R306&lt;&gt;"",Data!L306="Accepté"),Data!S306,"")</f>
        <v/>
      </c>
      <c r="G307" s="322">
        <f>IF(Data!R306='Delivery Plan'!E307,Data!U306,"")</f>
        <v>0</v>
      </c>
      <c r="H307" s="259"/>
      <c r="I307" s="391" t="str">
        <f t="shared" si="11"/>
        <v/>
      </c>
      <c r="J307" s="392" t="str">
        <f>IF(AND(E307=Data!R306,Data!AA306&lt;&gt;""),Data!AA306,"")</f>
        <v/>
      </c>
      <c r="K307" s="313" t="str">
        <f>IF(AND(E307=Data!R306,Data!AE306&lt;&gt;""),Data!AE306,"")</f>
        <v/>
      </c>
      <c r="L307" s="318">
        <f>IF(E307=Data!R319,Data!AI319,"")</f>
        <v>0</v>
      </c>
      <c r="M307" s="318">
        <f>IF(E307=Data!R319,Data!AJ319,"")</f>
        <v>0</v>
      </c>
      <c r="N307" s="437" t="str">
        <f>IF(AND(Data!R319&lt;&gt;"",Data!L319="Accepté"),Data!K319,"")</f>
        <v/>
      </c>
    </row>
    <row r="308" spans="1:14" hidden="1" x14ac:dyDescent="0.3">
      <c r="A308" s="393" t="str">
        <f>IF(AND(Data!R307&lt;&gt;"",Data!L307="Accepté"),Data!G307,"")</f>
        <v/>
      </c>
      <c r="B308" s="393" t="str">
        <f>IF(AND(Data!R307&lt;&gt;"",Data!L307="Accepté"),Data!L307,"")</f>
        <v/>
      </c>
      <c r="C308" s="391" t="str">
        <f t="shared" si="10"/>
        <v/>
      </c>
      <c r="D308" s="392" t="str">
        <f>IF(AND(Data!Q307&lt;&gt;"",Data!L307="Accepté"),Data!Q307,"")</f>
        <v/>
      </c>
      <c r="E308" s="237" t="str">
        <f>IF(AND(Data!R307&lt;&gt;"",Data!L307="Accepté"),Data!R307,"")</f>
        <v/>
      </c>
      <c r="F308" s="326" t="str">
        <f>IF(AND(Data!R307&lt;&gt;"",Data!L307="Accepté"),Data!S307,"")</f>
        <v/>
      </c>
      <c r="G308" s="322">
        <f>IF(Data!R307='Delivery Plan'!E308,Data!U307,"")</f>
        <v>0</v>
      </c>
      <c r="H308" s="259"/>
      <c r="I308" s="391" t="str">
        <f t="shared" si="11"/>
        <v/>
      </c>
      <c r="J308" s="392" t="str">
        <f>IF(AND(E308=Data!R307,Data!AA307&lt;&gt;""),Data!AA307,"")</f>
        <v/>
      </c>
      <c r="K308" s="313" t="str">
        <f>IF(AND(E308=Data!R307,Data!AE307&lt;&gt;""),Data!AE307,"")</f>
        <v/>
      </c>
      <c r="L308" s="318">
        <f>IF(E308=Data!R320,Data!AI320,"")</f>
        <v>0</v>
      </c>
      <c r="M308" s="318">
        <f>IF(E308=Data!R320,Data!AJ320,"")</f>
        <v>0</v>
      </c>
      <c r="N308" s="437" t="str">
        <f>IF(AND(Data!R320&lt;&gt;"",Data!L320="Accepté"),Data!K320,"")</f>
        <v/>
      </c>
    </row>
    <row r="309" spans="1:14" hidden="1" x14ac:dyDescent="0.3">
      <c r="A309" s="393" t="str">
        <f>IF(AND(Data!R308&lt;&gt;"",Data!L308="Accepté"),Data!G308,"")</f>
        <v/>
      </c>
      <c r="B309" s="393" t="str">
        <f>IF(AND(Data!R308&lt;&gt;"",Data!L308="Accepté"),Data!L308,"")</f>
        <v/>
      </c>
      <c r="C309" s="391" t="str">
        <f t="shared" si="10"/>
        <v/>
      </c>
      <c r="D309" s="392" t="str">
        <f>IF(AND(Data!Q308&lt;&gt;"",Data!L308="Accepté"),Data!Q308,"")</f>
        <v/>
      </c>
      <c r="E309" s="237" t="str">
        <f>IF(AND(Data!R308&lt;&gt;"",Data!L308="Accepté"),Data!R308,"")</f>
        <v/>
      </c>
      <c r="F309" s="326" t="str">
        <f>IF(AND(Data!R308&lt;&gt;"",Data!L308="Accepté"),Data!S308,"")</f>
        <v/>
      </c>
      <c r="G309" s="322">
        <f>IF(Data!R308='Delivery Plan'!E309,Data!U308,"")</f>
        <v>0</v>
      </c>
      <c r="H309" s="259"/>
      <c r="I309" s="391" t="str">
        <f t="shared" si="11"/>
        <v/>
      </c>
      <c r="J309" s="392" t="str">
        <f>IF(AND(E309=Data!R308,Data!AA308&lt;&gt;""),Data!AA308,"")</f>
        <v/>
      </c>
      <c r="K309" s="313" t="str">
        <f>IF(AND(E309=Data!R308,Data!AE308&lt;&gt;""),Data!AE308,"")</f>
        <v/>
      </c>
      <c r="L309" s="318">
        <f>IF(E309=Data!R321,Data!AI321,"")</f>
        <v>0</v>
      </c>
      <c r="M309" s="318">
        <f>IF(E309=Data!R321,Data!AJ321,"")</f>
        <v>0</v>
      </c>
      <c r="N309" s="437" t="str">
        <f>IF(AND(Data!R321&lt;&gt;"",Data!L321="Accepté"),Data!K321,"")</f>
        <v/>
      </c>
    </row>
    <row r="310" spans="1:14" hidden="1" x14ac:dyDescent="0.3">
      <c r="A310" s="393" t="str">
        <f>IF(AND(Data!R309&lt;&gt;"",Data!L309="Accepté"),Data!G309,"")</f>
        <v/>
      </c>
      <c r="B310" s="393" t="str">
        <f>IF(AND(Data!R309&lt;&gt;"",Data!L309="Accepté"),Data!L309,"")</f>
        <v/>
      </c>
      <c r="C310" s="391" t="str">
        <f t="shared" si="10"/>
        <v/>
      </c>
      <c r="D310" s="392" t="str">
        <f>IF(AND(Data!Q309&lt;&gt;"",Data!L309="Accepté"),Data!Q309,"")</f>
        <v/>
      </c>
      <c r="E310" s="237" t="str">
        <f>IF(AND(Data!R309&lt;&gt;"",Data!L309="Accepté"),Data!R309,"")</f>
        <v/>
      </c>
      <c r="F310" s="326" t="str">
        <f>IF(AND(Data!R309&lt;&gt;"",Data!L309="Accepté"),Data!S309,"")</f>
        <v/>
      </c>
      <c r="G310" s="322">
        <f>IF(Data!R309='Delivery Plan'!E310,Data!U309,"")</f>
        <v>0</v>
      </c>
      <c r="H310" s="259"/>
      <c r="I310" s="391" t="str">
        <f t="shared" si="11"/>
        <v/>
      </c>
      <c r="J310" s="392" t="str">
        <f>IF(AND(E310=Data!R309,Data!AA309&lt;&gt;""),Data!AA309,"")</f>
        <v/>
      </c>
      <c r="K310" s="313" t="str">
        <f>IF(AND(E310=Data!R309,Data!AE309&lt;&gt;""),Data!AE309,"")</f>
        <v/>
      </c>
      <c r="L310" s="318">
        <f>IF(E310=Data!R322,Data!AI322,"")</f>
        <v>0</v>
      </c>
      <c r="M310" s="318">
        <f>IF(E310=Data!R322,Data!AJ322,"")</f>
        <v>0</v>
      </c>
      <c r="N310" s="437" t="str">
        <f>IF(AND(Data!R322&lt;&gt;"",Data!L322="Accepté"),Data!K322,"")</f>
        <v/>
      </c>
    </row>
    <row r="311" spans="1:14" hidden="1" x14ac:dyDescent="0.3">
      <c r="A311" s="393" t="str">
        <f>IF(AND(Data!R310&lt;&gt;"",Data!L310="Accepté"),Data!G310,"")</f>
        <v/>
      </c>
      <c r="B311" s="393" t="str">
        <f>IF(AND(Data!R310&lt;&gt;"",Data!L310="Accepté"),Data!L310,"")</f>
        <v/>
      </c>
      <c r="C311" s="391" t="str">
        <f t="shared" si="10"/>
        <v/>
      </c>
      <c r="D311" s="392" t="str">
        <f>IF(AND(Data!Q310&lt;&gt;"",Data!L310="Accepté"),Data!Q310,"")</f>
        <v/>
      </c>
      <c r="E311" s="237" t="str">
        <f>IF(AND(Data!R310&lt;&gt;"",Data!L310="Accepté"),Data!R310,"")</f>
        <v/>
      </c>
      <c r="F311" s="326" t="str">
        <f>IF(AND(Data!R310&lt;&gt;"",Data!L310="Accepté"),Data!S310,"")</f>
        <v/>
      </c>
      <c r="G311" s="322">
        <f>IF(Data!R310='Delivery Plan'!E311,Data!U310,"")</f>
        <v>0</v>
      </c>
      <c r="H311" s="259"/>
      <c r="I311" s="391" t="str">
        <f t="shared" si="11"/>
        <v/>
      </c>
      <c r="J311" s="392" t="str">
        <f>IF(AND(E311=Data!R310,Data!AA310&lt;&gt;""),Data!AA310,"")</f>
        <v/>
      </c>
      <c r="K311" s="313" t="str">
        <f>IF(AND(E311=Data!R310,Data!AE310&lt;&gt;""),Data!AE310,"")</f>
        <v/>
      </c>
      <c r="L311" s="318">
        <f>IF(E311=Data!R323,Data!AI323,"")</f>
        <v>0</v>
      </c>
      <c r="M311" s="318">
        <f>IF(E311=Data!R323,Data!AJ323,"")</f>
        <v>0</v>
      </c>
      <c r="N311" s="437" t="str">
        <f>IF(AND(Data!R323&lt;&gt;"",Data!L323="Accepté"),Data!K323,"")</f>
        <v/>
      </c>
    </row>
    <row r="312" spans="1:14" hidden="1" x14ac:dyDescent="0.3">
      <c r="A312" s="393" t="str">
        <f>IF(AND(Data!R311&lt;&gt;"",Data!L311="Accepté"),Data!G311,"")</f>
        <v/>
      </c>
      <c r="B312" s="393" t="str">
        <f>IF(AND(Data!R311&lt;&gt;"",Data!L311="Accepté"),Data!L311,"")</f>
        <v/>
      </c>
      <c r="C312" s="391" t="str">
        <f t="shared" si="10"/>
        <v/>
      </c>
      <c r="D312" s="392" t="str">
        <f>IF(AND(Data!Q311&lt;&gt;"",Data!L311="Accepté"),Data!Q311,"")</f>
        <v/>
      </c>
      <c r="E312" s="237" t="str">
        <f>IF(AND(Data!R311&lt;&gt;"",Data!L311="Accepté"),Data!R311,"")</f>
        <v/>
      </c>
      <c r="F312" s="326" t="str">
        <f>IF(AND(Data!R311&lt;&gt;"",Data!L311="Accepté"),Data!S311,"")</f>
        <v/>
      </c>
      <c r="G312" s="322">
        <f>IF(Data!R311='Delivery Plan'!E312,Data!U311,"")</f>
        <v>0</v>
      </c>
      <c r="H312" s="259"/>
      <c r="I312" s="391" t="str">
        <f t="shared" si="11"/>
        <v/>
      </c>
      <c r="J312" s="392" t="str">
        <f>IF(AND(E312=Data!R311,Data!AA311&lt;&gt;""),Data!AA311,"")</f>
        <v/>
      </c>
      <c r="K312" s="313" t="str">
        <f>IF(AND(E312=Data!R311,Data!AE311&lt;&gt;""),Data!AE311,"")</f>
        <v/>
      </c>
      <c r="L312" s="318">
        <f>IF(E312=Data!R324,Data!AI324,"")</f>
        <v>0</v>
      </c>
      <c r="M312" s="318">
        <f>IF(E312=Data!R324,Data!AJ324,"")</f>
        <v>0</v>
      </c>
      <c r="N312" s="437" t="str">
        <f>IF(AND(Data!R324&lt;&gt;"",Data!L324="Accepté"),Data!K324,"")</f>
        <v/>
      </c>
    </row>
    <row r="313" spans="1:14" hidden="1" x14ac:dyDescent="0.3">
      <c r="A313" s="393" t="str">
        <f>IF(AND(Data!R312&lt;&gt;"",Data!L312="Accepté"),Data!G312,"")</f>
        <v/>
      </c>
      <c r="B313" s="393" t="str">
        <f>IF(AND(Data!R312&lt;&gt;"",Data!L312="Accepté"),Data!L312,"")</f>
        <v/>
      </c>
      <c r="C313" s="391" t="str">
        <f t="shared" si="10"/>
        <v/>
      </c>
      <c r="D313" s="392" t="str">
        <f>IF(AND(Data!Q312&lt;&gt;"",Data!L312="Accepté"),Data!Q312,"")</f>
        <v/>
      </c>
      <c r="E313" s="237" t="str">
        <f>IF(AND(Data!R312&lt;&gt;"",Data!L312="Accepté"),Data!R312,"")</f>
        <v/>
      </c>
      <c r="F313" s="326" t="str">
        <f>IF(AND(Data!R312&lt;&gt;"",Data!L312="Accepté"),Data!S312,"")</f>
        <v/>
      </c>
      <c r="G313" s="322">
        <f>IF(Data!R312='Delivery Plan'!E313,Data!U312,"")</f>
        <v>0</v>
      </c>
      <c r="H313" s="259"/>
      <c r="I313" s="391" t="str">
        <f t="shared" si="11"/>
        <v/>
      </c>
      <c r="J313" s="392" t="str">
        <f>IF(AND(E313=Data!R312,Data!AA312&lt;&gt;""),Data!AA312,"")</f>
        <v/>
      </c>
      <c r="K313" s="313" t="str">
        <f>IF(AND(E313=Data!R312,Data!AE312&lt;&gt;""),Data!AE312,"")</f>
        <v/>
      </c>
      <c r="L313" s="318">
        <f>IF(E313=Data!R325,Data!AI325,"")</f>
        <v>0</v>
      </c>
      <c r="M313" s="318">
        <f>IF(E313=Data!R325,Data!AJ325,"")</f>
        <v>0</v>
      </c>
      <c r="N313" s="437" t="str">
        <f>IF(AND(Data!R325&lt;&gt;"",Data!L325="Accepté"),Data!K325,"")</f>
        <v/>
      </c>
    </row>
    <row r="314" spans="1:14" hidden="1" x14ac:dyDescent="0.3">
      <c r="A314" s="393" t="str">
        <f>IF(AND(Data!R313&lt;&gt;"",Data!L313="Accepté"),Data!G313,"")</f>
        <v/>
      </c>
      <c r="B314" s="393" t="str">
        <f>IF(AND(Data!R313&lt;&gt;"",Data!L313="Accepté"),Data!L313,"")</f>
        <v/>
      </c>
      <c r="C314" s="391" t="str">
        <f t="shared" si="10"/>
        <v/>
      </c>
      <c r="D314" s="392" t="str">
        <f>IF(AND(Data!Q313&lt;&gt;"",Data!L313="Accepté"),Data!Q313,"")</f>
        <v/>
      </c>
      <c r="E314" s="237" t="str">
        <f>IF(AND(Data!R313&lt;&gt;"",Data!L313="Accepté"),Data!R313,"")</f>
        <v/>
      </c>
      <c r="F314" s="326" t="str">
        <f>IF(AND(Data!R313&lt;&gt;"",Data!L313="Accepté"),Data!S313,"")</f>
        <v/>
      </c>
      <c r="G314" s="322">
        <f>IF(Data!R313='Delivery Plan'!E314,Data!U313,"")</f>
        <v>0</v>
      </c>
      <c r="H314" s="259"/>
      <c r="I314" s="391" t="str">
        <f t="shared" si="11"/>
        <v/>
      </c>
      <c r="J314" s="392" t="str">
        <f>IF(AND(E314=Data!R313,Data!AA313&lt;&gt;""),Data!AA313,"")</f>
        <v/>
      </c>
      <c r="K314" s="313" t="str">
        <f>IF(AND(E314=Data!R313,Data!AE313&lt;&gt;""),Data!AE313,"")</f>
        <v/>
      </c>
      <c r="L314" s="318">
        <f>IF(E314=Data!R326,Data!AI326,"")</f>
        <v>0</v>
      </c>
      <c r="M314" s="318">
        <f>IF(E314=Data!R326,Data!AJ326,"")</f>
        <v>0</v>
      </c>
      <c r="N314" s="437" t="str">
        <f>IF(AND(Data!R326&lt;&gt;"",Data!L326="Accepté"),Data!K326,"")</f>
        <v/>
      </c>
    </row>
    <row r="315" spans="1:14" hidden="1" x14ac:dyDescent="0.3">
      <c r="A315" s="393" t="str">
        <f>IF(AND(Data!R314&lt;&gt;"",Data!L314="Accepté"),Data!G314,"")</f>
        <v/>
      </c>
      <c r="B315" s="393" t="str">
        <f>IF(AND(Data!R314&lt;&gt;"",Data!L314="Accepté"),Data!L314,"")</f>
        <v/>
      </c>
      <c r="C315" s="391" t="str">
        <f t="shared" si="10"/>
        <v/>
      </c>
      <c r="D315" s="392" t="str">
        <f>IF(AND(Data!Q314&lt;&gt;"",Data!L314="Accepté"),Data!Q314,"")</f>
        <v/>
      </c>
      <c r="E315" s="237" t="str">
        <f>IF(AND(Data!R314&lt;&gt;"",Data!L314="Accepté"),Data!R314,"")</f>
        <v/>
      </c>
      <c r="F315" s="326" t="str">
        <f>IF(AND(Data!R314&lt;&gt;"",Data!L314="Accepté"),Data!S314,"")</f>
        <v/>
      </c>
      <c r="G315" s="322">
        <f>IF(Data!R314='Delivery Plan'!E315,Data!U314,"")</f>
        <v>0</v>
      </c>
      <c r="H315" s="259"/>
      <c r="I315" s="391" t="str">
        <f t="shared" si="11"/>
        <v/>
      </c>
      <c r="J315" s="392" t="str">
        <f>IF(AND(E315=Data!R314,Data!AA314&lt;&gt;""),Data!AA314,"")</f>
        <v/>
      </c>
      <c r="K315" s="313" t="str">
        <f>IF(AND(E315=Data!R314,Data!AE314&lt;&gt;""),Data!AE314,"")</f>
        <v/>
      </c>
      <c r="L315" s="318">
        <f>IF(E315=Data!R327,Data!AI327,"")</f>
        <v>0</v>
      </c>
      <c r="M315" s="318">
        <f>IF(E315=Data!R327,Data!AJ327,"")</f>
        <v>0</v>
      </c>
      <c r="N315" s="437" t="str">
        <f>IF(AND(Data!R327&lt;&gt;"",Data!L327="Accepté"),Data!K327,"")</f>
        <v/>
      </c>
    </row>
    <row r="316" spans="1:14" hidden="1" x14ac:dyDescent="0.3">
      <c r="A316" s="393" t="str">
        <f>IF(AND(Data!R315&lt;&gt;"",Data!L315="Accepté"),Data!G315,"")</f>
        <v/>
      </c>
      <c r="B316" s="393" t="str">
        <f>IF(AND(Data!R315&lt;&gt;"",Data!L315="Accepté"),Data!L315,"")</f>
        <v/>
      </c>
      <c r="C316" s="391" t="str">
        <f t="shared" si="10"/>
        <v/>
      </c>
      <c r="D316" s="392" t="str">
        <f>IF(AND(Data!Q315&lt;&gt;"",Data!L315="Accepté"),Data!Q315,"")</f>
        <v/>
      </c>
      <c r="E316" s="237" t="str">
        <f>IF(AND(Data!R315&lt;&gt;"",Data!L315="Accepté"),Data!R315,"")</f>
        <v/>
      </c>
      <c r="F316" s="326" t="str">
        <f>IF(AND(Data!R315&lt;&gt;"",Data!L315="Accepté"),Data!S315,"")</f>
        <v/>
      </c>
      <c r="G316" s="322">
        <f>IF(Data!R315='Delivery Plan'!E316,Data!U315,"")</f>
        <v>0</v>
      </c>
      <c r="H316" s="259"/>
      <c r="I316" s="391" t="str">
        <f t="shared" si="11"/>
        <v/>
      </c>
      <c r="J316" s="392" t="str">
        <f>IF(AND(E316=Data!R315,Data!AA315&lt;&gt;""),Data!AA315,"")</f>
        <v/>
      </c>
      <c r="K316" s="313" t="str">
        <f>IF(AND(E316=Data!R315,Data!AE315&lt;&gt;""),Data!AE315,"")</f>
        <v/>
      </c>
      <c r="L316" s="318">
        <f>IF(E316=Data!R328,Data!AI328,"")</f>
        <v>0</v>
      </c>
      <c r="M316" s="318">
        <f>IF(E316=Data!R328,Data!AJ328,"")</f>
        <v>0</v>
      </c>
      <c r="N316" s="437" t="str">
        <f>IF(AND(Data!R328&lt;&gt;"",Data!L328="Accepté"),Data!K328,"")</f>
        <v/>
      </c>
    </row>
    <row r="317" spans="1:14" hidden="1" x14ac:dyDescent="0.3">
      <c r="A317" s="393" t="str">
        <f>IF(AND(Data!R317&lt;&gt;"",Data!L317="Accepté"),Data!G317,"")</f>
        <v/>
      </c>
      <c r="B317" s="393" t="str">
        <f>IF(AND(Data!R317&lt;&gt;"",Data!L317="Accepté"),Data!L317,"")</f>
        <v/>
      </c>
      <c r="C317" s="391" t="str">
        <f t="shared" si="10"/>
        <v/>
      </c>
      <c r="D317" s="392" t="str">
        <f>IF(AND(Data!Q317&lt;&gt;"",Data!L317="Accepté"),Data!Q317,"")</f>
        <v/>
      </c>
      <c r="E317" s="237" t="str">
        <f>IF(AND(Data!R317&lt;&gt;"",Data!L317="Accepté"),Data!R317,"")</f>
        <v/>
      </c>
      <c r="F317" s="326" t="str">
        <f>IF(AND(Data!R317&lt;&gt;"",Data!L317="Accepté"),Data!S317,"")</f>
        <v/>
      </c>
      <c r="G317" s="322">
        <f>IF(Data!R317='Delivery Plan'!E317,Data!U317,"")</f>
        <v>0</v>
      </c>
      <c r="H317" s="259"/>
      <c r="I317" s="391" t="str">
        <f t="shared" si="11"/>
        <v/>
      </c>
      <c r="J317" s="392" t="str">
        <f>IF(AND(E317=Data!R317,Data!AA317&lt;&gt;""),Data!AA317,"")</f>
        <v/>
      </c>
      <c r="K317" s="313" t="str">
        <f>IF(AND(E317=Data!R317,Data!AE317&lt;&gt;""),Data!AE317,"")</f>
        <v/>
      </c>
      <c r="L317" s="318">
        <f>IF(E317=Data!R329,Data!AI329,"")</f>
        <v>0</v>
      </c>
      <c r="M317" s="318">
        <f>IF(E317=Data!R329,Data!AJ329,"")</f>
        <v>0</v>
      </c>
      <c r="N317" s="437" t="str">
        <f>IF(AND(Data!R329&lt;&gt;"",Data!L329="Accepté"),Data!K329,"")</f>
        <v/>
      </c>
    </row>
    <row r="318" spans="1:14" hidden="1" x14ac:dyDescent="0.3">
      <c r="A318" s="393" t="str">
        <f>IF(AND(Data!R318&lt;&gt;"",Data!L318="Accepté"),Data!G318,"")</f>
        <v/>
      </c>
      <c r="B318" s="393" t="str">
        <f>IF(AND(Data!R318&lt;&gt;"",Data!L318="Accepté"),Data!L318,"")</f>
        <v/>
      </c>
      <c r="C318" s="391" t="str">
        <f t="shared" si="10"/>
        <v/>
      </c>
      <c r="D318" s="392" t="str">
        <f>IF(AND(Data!Q318&lt;&gt;"",Data!L318="Accepté"),Data!Q318,"")</f>
        <v/>
      </c>
      <c r="E318" s="237" t="str">
        <f>IF(AND(Data!R318&lt;&gt;"",Data!L318="Accepté"),Data!R318,"")</f>
        <v/>
      </c>
      <c r="F318" s="326" t="str">
        <f>IF(AND(Data!R318&lt;&gt;"",Data!L318="Accepté"),Data!S318,"")</f>
        <v/>
      </c>
      <c r="G318" s="322">
        <f>IF(Data!R318='Delivery Plan'!E318,Data!U318,"")</f>
        <v>0</v>
      </c>
      <c r="H318" s="259"/>
      <c r="I318" s="391" t="str">
        <f t="shared" si="11"/>
        <v/>
      </c>
      <c r="J318" s="392" t="str">
        <f>IF(AND(E318=Data!R318,Data!AA318&lt;&gt;""),Data!AA318,"")</f>
        <v/>
      </c>
      <c r="K318" s="313" t="str">
        <f>IF(AND(E318=Data!R318,Data!AE318&lt;&gt;""),Data!AE318,"")</f>
        <v/>
      </c>
      <c r="L318" s="318">
        <f>IF(E318=Data!R330,Data!AI330,"")</f>
        <v>0</v>
      </c>
      <c r="M318" s="318">
        <f>IF(E318=Data!R330,Data!AJ330,"")</f>
        <v>0</v>
      </c>
      <c r="N318" s="437" t="str">
        <f>IF(AND(Data!R330&lt;&gt;"",Data!L330="Accepté"),Data!K330,"")</f>
        <v/>
      </c>
    </row>
    <row r="319" spans="1:14" hidden="1" x14ac:dyDescent="0.3">
      <c r="A319" s="393" t="str">
        <f>IF(AND(Data!R319&lt;&gt;"",Data!L319="Accepté"),Data!G319,"")</f>
        <v/>
      </c>
      <c r="B319" s="393" t="str">
        <f>IF(AND(Data!R319&lt;&gt;"",Data!L319="Accepté"),Data!L319,"")</f>
        <v/>
      </c>
      <c r="C319" s="391" t="str">
        <f t="shared" si="10"/>
        <v/>
      </c>
      <c r="D319" s="392" t="str">
        <f>IF(AND(Data!Q319&lt;&gt;"",Data!L319="Accepté"),Data!Q319,"")</f>
        <v/>
      </c>
      <c r="E319" s="237" t="str">
        <f>IF(AND(Data!R319&lt;&gt;"",Data!L319="Accepté"),Data!R319,"")</f>
        <v/>
      </c>
      <c r="F319" s="326" t="str">
        <f>IF(AND(Data!R319&lt;&gt;"",Data!L319="Accepté"),Data!S319,"")</f>
        <v/>
      </c>
      <c r="G319" s="322">
        <f>IF(Data!R319='Delivery Plan'!E319,Data!U319,"")</f>
        <v>0</v>
      </c>
      <c r="H319" s="259"/>
      <c r="I319" s="391" t="str">
        <f t="shared" si="11"/>
        <v/>
      </c>
      <c r="J319" s="392" t="str">
        <f>IF(AND(E319=Data!R319,Data!AA319&lt;&gt;""),Data!AA319,"")</f>
        <v/>
      </c>
      <c r="K319" s="313" t="str">
        <f>IF(AND(E319=Data!R319,Data!AE319&lt;&gt;""),Data!AE319,"")</f>
        <v/>
      </c>
      <c r="L319" s="318">
        <f>IF(E319=Data!R331,Data!AI331,"")</f>
        <v>0</v>
      </c>
      <c r="M319" s="318">
        <f>IF(E319=Data!R331,Data!AJ331,"")</f>
        <v>0</v>
      </c>
      <c r="N319" s="437" t="str">
        <f>IF(AND(Data!R331&lt;&gt;"",Data!L331="Accepté"),Data!K331,"")</f>
        <v/>
      </c>
    </row>
    <row r="320" spans="1:14" hidden="1" x14ac:dyDescent="0.3">
      <c r="A320" s="393" t="str">
        <f>IF(AND(Data!R320&lt;&gt;"",Data!L320="Accepté"),Data!G320,"")</f>
        <v/>
      </c>
      <c r="B320" s="393" t="str">
        <f>IF(AND(Data!R320&lt;&gt;"",Data!L320="Accepté"),Data!L320,"")</f>
        <v/>
      </c>
      <c r="C320" s="391" t="str">
        <f t="shared" si="10"/>
        <v/>
      </c>
      <c r="D320" s="392" t="str">
        <f>IF(AND(Data!Q320&lt;&gt;"",Data!L320="Accepté"),Data!Q320,"")</f>
        <v/>
      </c>
      <c r="E320" s="237" t="str">
        <f>IF(AND(Data!R320&lt;&gt;"",Data!L320="Accepté"),Data!R320,"")</f>
        <v/>
      </c>
      <c r="F320" s="326" t="str">
        <f>IF(AND(Data!R320&lt;&gt;"",Data!L320="Accepté"),Data!S320,"")</f>
        <v/>
      </c>
      <c r="G320" s="322">
        <f>IF(Data!R320='Delivery Plan'!E320,Data!U320,"")</f>
        <v>0</v>
      </c>
      <c r="H320" s="259"/>
      <c r="I320" s="391" t="str">
        <f t="shared" si="11"/>
        <v/>
      </c>
      <c r="J320" s="392" t="str">
        <f>IF(AND(E320=Data!R320,Data!AA320&lt;&gt;""),Data!AA320,"")</f>
        <v/>
      </c>
      <c r="K320" s="313" t="str">
        <f>IF(AND(E320=Data!R320,Data!AE320&lt;&gt;""),Data!AE320,"")</f>
        <v/>
      </c>
      <c r="L320" s="318">
        <f>IF(E320=Data!R332,Data!AI332,"")</f>
        <v>0</v>
      </c>
      <c r="M320" s="318">
        <f>IF(E320=Data!R332,Data!AJ332,"")</f>
        <v>0</v>
      </c>
      <c r="N320" s="437" t="str">
        <f>IF(AND(Data!R332&lt;&gt;"",Data!L332="Accepté"),Data!K332,"")</f>
        <v/>
      </c>
    </row>
    <row r="321" spans="1:14" hidden="1" x14ac:dyDescent="0.3">
      <c r="A321" s="393" t="str">
        <f>IF(AND(Data!R321&lt;&gt;"",Data!L321="Accepté"),Data!G321,"")</f>
        <v/>
      </c>
      <c r="B321" s="393" t="str">
        <f>IF(AND(Data!R321&lt;&gt;"",Data!L321="Accepté"),Data!L321,"")</f>
        <v/>
      </c>
      <c r="C321" s="391" t="str">
        <f t="shared" si="10"/>
        <v/>
      </c>
      <c r="D321" s="392" t="str">
        <f>IF(AND(Data!Q321&lt;&gt;"",Data!L321="Accepté"),Data!Q321,"")</f>
        <v/>
      </c>
      <c r="E321" s="237" t="str">
        <f>IF(AND(Data!R321&lt;&gt;"",Data!L321="Accepté"),Data!R321,"")</f>
        <v/>
      </c>
      <c r="F321" s="326" t="str">
        <f>IF(AND(Data!R321&lt;&gt;"",Data!L321="Accepté"),Data!S321,"")</f>
        <v/>
      </c>
      <c r="G321" s="322">
        <f>IF(Data!R321='Delivery Plan'!E321,Data!U321,"")</f>
        <v>0</v>
      </c>
      <c r="H321" s="259"/>
      <c r="I321" s="391" t="str">
        <f t="shared" si="11"/>
        <v/>
      </c>
      <c r="J321" s="392" t="str">
        <f>IF(AND(E321=Data!R321,Data!AA321&lt;&gt;""),Data!AA321,"")</f>
        <v/>
      </c>
      <c r="K321" s="313" t="str">
        <f>IF(AND(E321=Data!R321,Data!AE321&lt;&gt;""),Data!AE321,"")</f>
        <v/>
      </c>
      <c r="L321" s="318">
        <f>IF(E321=Data!R333,Data!AI333,"")</f>
        <v>0</v>
      </c>
      <c r="M321" s="318">
        <f>IF(E321=Data!R333,Data!AJ333,"")</f>
        <v>0</v>
      </c>
      <c r="N321" s="437" t="str">
        <f>IF(AND(Data!R333&lt;&gt;"",Data!L333="Accepté"),Data!K333,"")</f>
        <v/>
      </c>
    </row>
    <row r="322" spans="1:14" hidden="1" x14ac:dyDescent="0.3">
      <c r="A322" s="393" t="str">
        <f>IF(AND(Data!R322&lt;&gt;"",Data!L322="Accepté"),Data!G322,"")</f>
        <v/>
      </c>
      <c r="B322" s="393" t="str">
        <f>IF(AND(Data!R322&lt;&gt;"",Data!L322="Accepté"),Data!L322,"")</f>
        <v/>
      </c>
      <c r="C322" s="391" t="str">
        <f t="shared" si="10"/>
        <v/>
      </c>
      <c r="D322" s="392" t="str">
        <f>IF(AND(Data!Q322&lt;&gt;"",Data!L322="Accepté"),Data!Q322,"")</f>
        <v/>
      </c>
      <c r="E322" s="237" t="str">
        <f>IF(AND(Data!R322&lt;&gt;"",Data!L322="Accepté"),Data!R322,"")</f>
        <v/>
      </c>
      <c r="F322" s="326" t="str">
        <f>IF(AND(Data!R322&lt;&gt;"",Data!L322="Accepté"),Data!S322,"")</f>
        <v/>
      </c>
      <c r="G322" s="322">
        <f>IF(Data!R322='Delivery Plan'!E322,Data!U322,"")</f>
        <v>0</v>
      </c>
      <c r="H322" s="259"/>
      <c r="I322" s="391" t="str">
        <f t="shared" si="11"/>
        <v/>
      </c>
      <c r="J322" s="392" t="str">
        <f>IF(AND(E322=Data!R322,Data!AA322&lt;&gt;""),Data!AA322,"")</f>
        <v/>
      </c>
      <c r="K322" s="313" t="str">
        <f>IF(AND(E322=Data!R322,Data!AE322&lt;&gt;""),Data!AE322,"")</f>
        <v/>
      </c>
      <c r="L322" s="318">
        <f>IF(E322=Data!R334,Data!AI334,"")</f>
        <v>0</v>
      </c>
      <c r="M322" s="318">
        <f>IF(E322=Data!R334,Data!AJ334,"")</f>
        <v>0</v>
      </c>
      <c r="N322" s="437" t="str">
        <f>IF(AND(Data!R334&lt;&gt;"",Data!L334="Accepté"),Data!K334,"")</f>
        <v/>
      </c>
    </row>
    <row r="323" spans="1:14" hidden="1" x14ac:dyDescent="0.3">
      <c r="A323" s="393" t="str">
        <f>IF(AND(Data!R323&lt;&gt;"",Data!L323="Accepté"),Data!G323,"")</f>
        <v/>
      </c>
      <c r="B323" s="393" t="str">
        <f>IF(AND(Data!R323&lt;&gt;"",Data!L323="Accepté"),Data!L323,"")</f>
        <v/>
      </c>
      <c r="C323" s="391" t="str">
        <f t="shared" si="10"/>
        <v/>
      </c>
      <c r="D323" s="392" t="str">
        <f>IF(AND(Data!Q323&lt;&gt;"",Data!L323="Accepté"),Data!Q323,"")</f>
        <v/>
      </c>
      <c r="E323" s="237" t="str">
        <f>IF(AND(Data!R323&lt;&gt;"",Data!L323="Accepté"),Data!R323,"")</f>
        <v/>
      </c>
      <c r="F323" s="326" t="str">
        <f>IF(AND(Data!R323&lt;&gt;"",Data!L323="Accepté"),Data!S323,"")</f>
        <v/>
      </c>
      <c r="G323" s="322">
        <f>IF(Data!R323='Delivery Plan'!E323,Data!U323,"")</f>
        <v>0</v>
      </c>
      <c r="H323" s="259"/>
      <c r="I323" s="391" t="str">
        <f t="shared" si="11"/>
        <v/>
      </c>
      <c r="J323" s="392" t="str">
        <f>IF(AND(E323=Data!R323,Data!AA323&lt;&gt;""),Data!AA323,"")</f>
        <v/>
      </c>
      <c r="K323" s="313" t="str">
        <f>IF(AND(E323=Data!R323,Data!AE323&lt;&gt;""),Data!AE323,"")</f>
        <v/>
      </c>
      <c r="L323" s="318">
        <f>IF(E323=Data!R335,Data!AI335,"")</f>
        <v>0</v>
      </c>
      <c r="M323" s="318">
        <f>IF(E323=Data!R335,Data!AJ335,"")</f>
        <v>0</v>
      </c>
      <c r="N323" s="437" t="str">
        <f>IF(AND(Data!R335&lt;&gt;"",Data!L335="Accepté"),Data!K335,"")</f>
        <v/>
      </c>
    </row>
    <row r="324" spans="1:14" hidden="1" x14ac:dyDescent="0.3">
      <c r="A324" s="393" t="str">
        <f>IF(AND(Data!R324&lt;&gt;"",Data!L324="Accepté"),Data!G324,"")</f>
        <v/>
      </c>
      <c r="B324" s="393" t="str">
        <f>IF(AND(Data!R324&lt;&gt;"",Data!L324="Accepté"),Data!L324,"")</f>
        <v/>
      </c>
      <c r="C324" s="391" t="str">
        <f t="shared" si="10"/>
        <v/>
      </c>
      <c r="D324" s="392" t="str">
        <f>IF(AND(Data!Q324&lt;&gt;"",Data!L324="Accepté"),Data!Q324,"")</f>
        <v/>
      </c>
      <c r="E324" s="237" t="str">
        <f>IF(AND(Data!R324&lt;&gt;"",Data!L324="Accepté"),Data!R324,"")</f>
        <v/>
      </c>
      <c r="F324" s="326" t="str">
        <f>IF(AND(Data!R324&lt;&gt;"",Data!L324="Accepté"),Data!S324,"")</f>
        <v/>
      </c>
      <c r="G324" s="322">
        <f>IF(Data!R324='Delivery Plan'!E324,Data!U324,"")</f>
        <v>0</v>
      </c>
      <c r="H324" s="259"/>
      <c r="I324" s="391" t="str">
        <f t="shared" si="11"/>
        <v/>
      </c>
      <c r="J324" s="392" t="str">
        <f>IF(AND(E324=Data!R324,Data!AA324&lt;&gt;""),Data!AA324,"")</f>
        <v/>
      </c>
      <c r="K324" s="313" t="str">
        <f>IF(AND(E324=Data!R324,Data!AE324&lt;&gt;""),Data!AE324,"")</f>
        <v/>
      </c>
      <c r="L324" s="318">
        <f>IF(E324=Data!R336,Data!AI336,"")</f>
        <v>0</v>
      </c>
      <c r="M324" s="318">
        <f>IF(E324=Data!R336,Data!AJ336,"")</f>
        <v>0</v>
      </c>
      <c r="N324" s="437" t="str">
        <f>IF(AND(Data!R336&lt;&gt;"",Data!L336="Accepté"),Data!K336,"")</f>
        <v/>
      </c>
    </row>
    <row r="325" spans="1:14" hidden="1" x14ac:dyDescent="0.3">
      <c r="A325" s="393" t="str">
        <f>IF(AND(Data!R325&lt;&gt;"",Data!L325="Accepté"),Data!G325,"")</f>
        <v/>
      </c>
      <c r="B325" s="393" t="str">
        <f>IF(AND(Data!R325&lt;&gt;"",Data!L325="Accepté"),Data!L325,"")</f>
        <v/>
      </c>
      <c r="C325" s="391" t="str">
        <f t="shared" ref="C325:C388" si="12">IF(D325&lt;&gt;"","S"&amp;TEXT(WEEKNUM(D325),"00"),"")</f>
        <v/>
      </c>
      <c r="D325" s="392" t="str">
        <f>IF(AND(Data!Q325&lt;&gt;"",Data!L325="Accepté"),Data!Q325,"")</f>
        <v/>
      </c>
      <c r="E325" s="237" t="str">
        <f>IF(AND(Data!R325&lt;&gt;"",Data!L325="Accepté"),Data!R325,"")</f>
        <v/>
      </c>
      <c r="F325" s="326" t="str">
        <f>IF(AND(Data!R325&lt;&gt;"",Data!L325="Accepté"),Data!S325,"")</f>
        <v/>
      </c>
      <c r="G325" s="322">
        <f>IF(Data!R325='Delivery Plan'!E325,Data!U325,"")</f>
        <v>0</v>
      </c>
      <c r="H325" s="259"/>
      <c r="I325" s="391" t="str">
        <f t="shared" ref="I325:I388" si="13">IF(J325&lt;&gt;"","S"&amp;TEXT(WEEKNUM(J325),"00"),"")</f>
        <v/>
      </c>
      <c r="J325" s="392" t="str">
        <f>IF(AND(E325=Data!R325,Data!AA325&lt;&gt;""),Data!AA325,"")</f>
        <v/>
      </c>
      <c r="K325" s="313" t="str">
        <f>IF(AND(E325=Data!R325,Data!AE325&lt;&gt;""),Data!AE325,"")</f>
        <v/>
      </c>
      <c r="L325" s="318">
        <f>IF(E325=Data!R337,Data!AI337,"")</f>
        <v>0</v>
      </c>
      <c r="M325" s="318">
        <f>IF(E325=Data!R337,Data!AJ337,"")</f>
        <v>0</v>
      </c>
      <c r="N325" s="437" t="str">
        <f>IF(AND(Data!R337&lt;&gt;"",Data!L337="Accepté"),Data!K337,"")</f>
        <v/>
      </c>
    </row>
    <row r="326" spans="1:14" hidden="1" x14ac:dyDescent="0.3">
      <c r="A326" s="393" t="str">
        <f>IF(AND(Data!R326&lt;&gt;"",Data!L326="Accepté"),Data!G326,"")</f>
        <v/>
      </c>
      <c r="B326" s="393" t="str">
        <f>IF(AND(Data!R326&lt;&gt;"",Data!L326="Accepté"),Data!L326,"")</f>
        <v/>
      </c>
      <c r="C326" s="391" t="str">
        <f t="shared" si="12"/>
        <v/>
      </c>
      <c r="D326" s="392" t="str">
        <f>IF(AND(Data!Q326&lt;&gt;"",Data!L326="Accepté"),Data!Q326,"")</f>
        <v/>
      </c>
      <c r="E326" s="237" t="str">
        <f>IF(AND(Data!R326&lt;&gt;"",Data!L326="Accepté"),Data!R326,"")</f>
        <v/>
      </c>
      <c r="F326" s="326" t="str">
        <f>IF(AND(Data!R326&lt;&gt;"",Data!L326="Accepté"),Data!S326,"")</f>
        <v/>
      </c>
      <c r="G326" s="322">
        <f>IF(Data!R326='Delivery Plan'!E326,Data!U326,"")</f>
        <v>0</v>
      </c>
      <c r="H326" s="259"/>
      <c r="I326" s="391" t="str">
        <f t="shared" si="13"/>
        <v/>
      </c>
      <c r="J326" s="392" t="str">
        <f>IF(AND(E326=Data!R326,Data!AA326&lt;&gt;""),Data!AA326,"")</f>
        <v/>
      </c>
      <c r="K326" s="313" t="str">
        <f>IF(AND(E326=Data!R326,Data!AE326&lt;&gt;""),Data!AE326,"")</f>
        <v/>
      </c>
      <c r="L326" s="318">
        <f>IF(E326=Data!R338,Data!AI338,"")</f>
        <v>0</v>
      </c>
      <c r="M326" s="318">
        <f>IF(E326=Data!R338,Data!AJ338,"")</f>
        <v>0</v>
      </c>
      <c r="N326" s="437" t="str">
        <f>IF(AND(Data!R338&lt;&gt;"",Data!L338="Accepté"),Data!K338,"")</f>
        <v/>
      </c>
    </row>
    <row r="327" spans="1:14" hidden="1" x14ac:dyDescent="0.3">
      <c r="A327" s="393" t="str">
        <f>IF(AND(Data!R327&lt;&gt;"",Data!L327="Accepté"),Data!G327,"")</f>
        <v/>
      </c>
      <c r="B327" s="393" t="str">
        <f>IF(AND(Data!R327&lt;&gt;"",Data!L327="Accepté"),Data!L327,"")</f>
        <v/>
      </c>
      <c r="C327" s="391" t="str">
        <f t="shared" si="12"/>
        <v/>
      </c>
      <c r="D327" s="392" t="str">
        <f>IF(AND(Data!Q327&lt;&gt;"",Data!L327="Accepté"),Data!Q327,"")</f>
        <v/>
      </c>
      <c r="E327" s="237" t="str">
        <f>IF(AND(Data!R327&lt;&gt;"",Data!L327="Accepté"),Data!R327,"")</f>
        <v/>
      </c>
      <c r="F327" s="326" t="str">
        <f>IF(AND(Data!R327&lt;&gt;"",Data!L327="Accepté"),Data!S327,"")</f>
        <v/>
      </c>
      <c r="G327" s="322">
        <f>IF(Data!R327='Delivery Plan'!E327,Data!U327,"")</f>
        <v>0</v>
      </c>
      <c r="H327" s="259"/>
      <c r="I327" s="391" t="str">
        <f t="shared" si="13"/>
        <v/>
      </c>
      <c r="J327" s="392" t="str">
        <f>IF(AND(E327=Data!R327,Data!AA327&lt;&gt;""),Data!AA327,"")</f>
        <v/>
      </c>
      <c r="K327" s="313" t="str">
        <f>IF(AND(E327=Data!R327,Data!AE327&lt;&gt;""),Data!AE327,"")</f>
        <v/>
      </c>
      <c r="L327" s="318">
        <f>IF(E327=Data!R339,Data!AI339,"")</f>
        <v>0</v>
      </c>
      <c r="M327" s="318">
        <f>IF(E327=Data!R339,Data!AJ339,"")</f>
        <v>0</v>
      </c>
      <c r="N327" s="437" t="str">
        <f>IF(AND(Data!R339&lt;&gt;"",Data!L339="Accepté"),Data!K339,"")</f>
        <v/>
      </c>
    </row>
    <row r="328" spans="1:14" hidden="1" x14ac:dyDescent="0.3">
      <c r="A328" s="393" t="str">
        <f>IF(AND(Data!R328&lt;&gt;"",Data!L328="Accepté"),Data!G328,"")</f>
        <v/>
      </c>
      <c r="B328" s="393" t="str">
        <f>IF(AND(Data!R328&lt;&gt;"",Data!L328="Accepté"),Data!L328,"")</f>
        <v/>
      </c>
      <c r="C328" s="391" t="str">
        <f t="shared" si="12"/>
        <v/>
      </c>
      <c r="D328" s="392" t="str">
        <f>IF(AND(Data!Q328&lt;&gt;"",Data!L328="Accepté"),Data!Q328,"")</f>
        <v/>
      </c>
      <c r="E328" s="237" t="str">
        <f>IF(AND(Data!R328&lt;&gt;"",Data!L328="Accepté"),Data!R328,"")</f>
        <v/>
      </c>
      <c r="F328" s="326" t="str">
        <f>IF(AND(Data!R328&lt;&gt;"",Data!L328="Accepté"),Data!S328,"")</f>
        <v/>
      </c>
      <c r="G328" s="322">
        <f>IF(Data!R328='Delivery Plan'!E328,Data!U328,"")</f>
        <v>0</v>
      </c>
      <c r="H328" s="259"/>
      <c r="I328" s="391" t="str">
        <f t="shared" si="13"/>
        <v/>
      </c>
      <c r="J328" s="392" t="str">
        <f>IF(AND(E328=Data!R328,Data!AA328&lt;&gt;""),Data!AA328,"")</f>
        <v/>
      </c>
      <c r="K328" s="313" t="str">
        <f>IF(AND(E328=Data!R328,Data!AE328&lt;&gt;""),Data!AE328,"")</f>
        <v/>
      </c>
      <c r="L328" s="318">
        <f>IF(E328=Data!R340,Data!AI340,"")</f>
        <v>0</v>
      </c>
      <c r="M328" s="318">
        <f>IF(E328=Data!R340,Data!AJ340,"")</f>
        <v>0</v>
      </c>
      <c r="N328" s="437" t="str">
        <f>IF(AND(Data!R340&lt;&gt;"",Data!L340="Accepté"),Data!K340,"")</f>
        <v/>
      </c>
    </row>
    <row r="329" spans="1:14" hidden="1" x14ac:dyDescent="0.3">
      <c r="A329" s="393" t="str">
        <f>IF(AND(Data!R329&lt;&gt;"",Data!L329="Accepté"),Data!G329,"")</f>
        <v/>
      </c>
      <c r="B329" s="393" t="str">
        <f>IF(AND(Data!R329&lt;&gt;"",Data!L329="Accepté"),Data!L329,"")</f>
        <v/>
      </c>
      <c r="C329" s="391" t="str">
        <f t="shared" si="12"/>
        <v/>
      </c>
      <c r="D329" s="392" t="str">
        <f>IF(AND(Data!Q329&lt;&gt;"",Data!L329="Accepté"),Data!Q329,"")</f>
        <v/>
      </c>
      <c r="E329" s="237" t="str">
        <f>IF(AND(Data!R329&lt;&gt;"",Data!L329="Accepté"),Data!R329,"")</f>
        <v/>
      </c>
      <c r="F329" s="326" t="str">
        <f>IF(AND(Data!R329&lt;&gt;"",Data!L329="Accepté"),Data!S329,"")</f>
        <v/>
      </c>
      <c r="G329" s="322">
        <f>IF(Data!R329='Delivery Plan'!E329,Data!U329,"")</f>
        <v>0</v>
      </c>
      <c r="H329" s="259"/>
      <c r="I329" s="391" t="str">
        <f t="shared" si="13"/>
        <v/>
      </c>
      <c r="J329" s="392" t="str">
        <f>IF(AND(E329=Data!R329,Data!AA329&lt;&gt;""),Data!AA329,"")</f>
        <v/>
      </c>
      <c r="K329" s="313" t="str">
        <f>IF(AND(E329=Data!R329,Data!AE329&lt;&gt;""),Data!AE329,"")</f>
        <v/>
      </c>
      <c r="L329" s="318">
        <f>IF(E329=Data!R341,Data!AI341,"")</f>
        <v>0</v>
      </c>
      <c r="M329" s="318">
        <f>IF(E329=Data!R341,Data!AJ341,"")</f>
        <v>0</v>
      </c>
      <c r="N329" s="437" t="str">
        <f>IF(AND(Data!R341&lt;&gt;"",Data!L341="Accepté"),Data!K341,"")</f>
        <v/>
      </c>
    </row>
    <row r="330" spans="1:14" hidden="1" x14ac:dyDescent="0.3">
      <c r="A330" s="393" t="str">
        <f>IF(AND(Data!R330&lt;&gt;"",Data!L330="Accepté"),Data!G330,"")</f>
        <v/>
      </c>
      <c r="B330" s="393" t="str">
        <f>IF(AND(Data!R330&lt;&gt;"",Data!L330="Accepté"),Data!L330,"")</f>
        <v/>
      </c>
      <c r="C330" s="391" t="str">
        <f t="shared" si="12"/>
        <v/>
      </c>
      <c r="D330" s="392" t="str">
        <f>IF(AND(Data!Q330&lt;&gt;"",Data!L330="Accepté"),Data!Q330,"")</f>
        <v/>
      </c>
      <c r="E330" s="237" t="str">
        <f>IF(AND(Data!R330&lt;&gt;"",Data!L330="Accepté"),Data!R330,"")</f>
        <v/>
      </c>
      <c r="F330" s="326" t="str">
        <f>IF(AND(Data!R330&lt;&gt;"",Data!L330="Accepté"),Data!S330,"")</f>
        <v/>
      </c>
      <c r="G330" s="322">
        <f>IF(Data!R330='Delivery Plan'!E330,Data!U330,"")</f>
        <v>0</v>
      </c>
      <c r="H330" s="259"/>
      <c r="I330" s="391" t="str">
        <f t="shared" si="13"/>
        <v/>
      </c>
      <c r="J330" s="392" t="str">
        <f>IF(AND(E330=Data!R330,Data!AA330&lt;&gt;""),Data!AA330,"")</f>
        <v/>
      </c>
      <c r="K330" s="313" t="str">
        <f>IF(AND(E330=Data!R330,Data!AE330&lt;&gt;""),Data!AE330,"")</f>
        <v/>
      </c>
      <c r="L330" s="318">
        <f>IF(E330=Data!R342,Data!AI342,"")</f>
        <v>0</v>
      </c>
      <c r="M330" s="318">
        <f>IF(E330=Data!R342,Data!AJ342,"")</f>
        <v>0</v>
      </c>
      <c r="N330" s="437" t="str">
        <f>IF(AND(Data!R342&lt;&gt;"",Data!L342="Accepté"),Data!K342,"")</f>
        <v/>
      </c>
    </row>
    <row r="331" spans="1:14" hidden="1" x14ac:dyDescent="0.3">
      <c r="A331" s="393" t="str">
        <f>IF(AND(Data!R331&lt;&gt;"",Data!L331="Accepté"),Data!G331,"")</f>
        <v/>
      </c>
      <c r="B331" s="393" t="str">
        <f>IF(AND(Data!R331&lt;&gt;"",Data!L331="Accepté"),Data!L331,"")</f>
        <v/>
      </c>
      <c r="C331" s="391" t="str">
        <f t="shared" si="12"/>
        <v/>
      </c>
      <c r="D331" s="392" t="str">
        <f>IF(AND(Data!Q331&lt;&gt;"",Data!L331="Accepté"),Data!Q331,"")</f>
        <v/>
      </c>
      <c r="E331" s="237" t="str">
        <f>IF(AND(Data!R331&lt;&gt;"",Data!L331="Accepté"),Data!R331,"")</f>
        <v/>
      </c>
      <c r="F331" s="326" t="str">
        <f>IF(AND(Data!R331&lt;&gt;"",Data!L331="Accepté"),Data!S331,"")</f>
        <v/>
      </c>
      <c r="G331" s="322">
        <f>IF(Data!R331='Delivery Plan'!E331,Data!U331,"")</f>
        <v>0</v>
      </c>
      <c r="H331" s="259"/>
      <c r="I331" s="391" t="str">
        <f t="shared" si="13"/>
        <v/>
      </c>
      <c r="J331" s="392" t="str">
        <f>IF(AND(E331=Data!R331,Data!AA331&lt;&gt;""),Data!AA331,"")</f>
        <v/>
      </c>
      <c r="K331" s="313" t="str">
        <f>IF(AND(E331=Data!R331,Data!AE331&lt;&gt;""),Data!AE331,"")</f>
        <v/>
      </c>
      <c r="L331" s="318">
        <f>IF(E331=Data!R343,Data!AI343,"")</f>
        <v>0</v>
      </c>
      <c r="M331" s="318">
        <f>IF(E331=Data!R343,Data!AJ343,"")</f>
        <v>0</v>
      </c>
      <c r="N331" s="437" t="str">
        <f>IF(AND(Data!R343&lt;&gt;"",Data!L343="Accepté"),Data!K343,"")</f>
        <v/>
      </c>
    </row>
    <row r="332" spans="1:14" hidden="1" x14ac:dyDescent="0.3">
      <c r="A332" s="393" t="str">
        <f>IF(AND(Data!R332&lt;&gt;"",Data!L332="Accepté"),Data!G332,"")</f>
        <v/>
      </c>
      <c r="B332" s="393" t="str">
        <f>IF(AND(Data!R332&lt;&gt;"",Data!L332="Accepté"),Data!L332,"")</f>
        <v/>
      </c>
      <c r="C332" s="391" t="str">
        <f t="shared" si="12"/>
        <v/>
      </c>
      <c r="D332" s="392" t="str">
        <f>IF(AND(Data!Q332&lt;&gt;"",Data!L332="Accepté"),Data!Q332,"")</f>
        <v/>
      </c>
      <c r="E332" s="237" t="str">
        <f>IF(AND(Data!R332&lt;&gt;"",Data!L332="Accepté"),Data!R332,"")</f>
        <v/>
      </c>
      <c r="F332" s="326" t="str">
        <f>IF(AND(Data!R332&lt;&gt;"",Data!L332="Accepté"),Data!S332,"")</f>
        <v/>
      </c>
      <c r="G332" s="322">
        <f>IF(Data!R332='Delivery Plan'!E332,Data!U332,"")</f>
        <v>0</v>
      </c>
      <c r="H332" s="259"/>
      <c r="I332" s="391" t="str">
        <f t="shared" si="13"/>
        <v/>
      </c>
      <c r="J332" s="392" t="str">
        <f>IF(AND(E332=Data!R332,Data!AA332&lt;&gt;""),Data!AA332,"")</f>
        <v/>
      </c>
      <c r="K332" s="313" t="str">
        <f>IF(AND(E332=Data!R332,Data!AE332&lt;&gt;""),Data!AE332,"")</f>
        <v/>
      </c>
      <c r="L332" s="318">
        <f>IF(E332=Data!R344,Data!AI344,"")</f>
        <v>0</v>
      </c>
      <c r="M332" s="318">
        <f>IF(E332=Data!R344,Data!AJ344,"")</f>
        <v>0</v>
      </c>
      <c r="N332" s="437" t="str">
        <f>IF(AND(Data!R344&lt;&gt;"",Data!L344="Accepté"),Data!K344,"")</f>
        <v/>
      </c>
    </row>
    <row r="333" spans="1:14" hidden="1" x14ac:dyDescent="0.3">
      <c r="A333" s="393" t="str">
        <f>IF(AND(Data!R333&lt;&gt;"",Data!L333="Accepté"),Data!G333,"")</f>
        <v/>
      </c>
      <c r="B333" s="393" t="str">
        <f>IF(AND(Data!R333&lt;&gt;"",Data!L333="Accepté"),Data!L333,"")</f>
        <v/>
      </c>
      <c r="C333" s="391" t="str">
        <f t="shared" si="12"/>
        <v/>
      </c>
      <c r="D333" s="392" t="str">
        <f>IF(AND(Data!Q333&lt;&gt;"",Data!L333="Accepté"),Data!Q333,"")</f>
        <v/>
      </c>
      <c r="E333" s="237" t="str">
        <f>IF(AND(Data!R333&lt;&gt;"",Data!L333="Accepté"),Data!R333,"")</f>
        <v/>
      </c>
      <c r="F333" s="326" t="str">
        <f>IF(AND(Data!R333&lt;&gt;"",Data!L333="Accepté"),Data!S333,"")</f>
        <v/>
      </c>
      <c r="G333" s="322">
        <f>IF(Data!R333='Delivery Plan'!E333,Data!U333,"")</f>
        <v>0</v>
      </c>
      <c r="H333" s="259"/>
      <c r="I333" s="391" t="str">
        <f t="shared" si="13"/>
        <v/>
      </c>
      <c r="J333" s="392" t="str">
        <f>IF(AND(E333=Data!R333,Data!AA333&lt;&gt;""),Data!AA333,"")</f>
        <v/>
      </c>
      <c r="K333" s="313" t="str">
        <f>IF(AND(E333=Data!R333,Data!AE333&lt;&gt;""),Data!AE333,"")</f>
        <v/>
      </c>
      <c r="L333" s="318">
        <f>IF(E333=Data!R345,Data!AI345,"")</f>
        <v>0</v>
      </c>
      <c r="M333" s="318">
        <f>IF(E333=Data!R345,Data!AJ345,"")</f>
        <v>0</v>
      </c>
      <c r="N333" s="437" t="str">
        <f>IF(AND(Data!R345&lt;&gt;"",Data!L345="Accepté"),Data!K345,"")</f>
        <v/>
      </c>
    </row>
    <row r="334" spans="1:14" hidden="1" x14ac:dyDescent="0.3">
      <c r="A334" s="393" t="str">
        <f>IF(AND(Data!R334&lt;&gt;"",Data!L334="Accepté"),Data!G334,"")</f>
        <v/>
      </c>
      <c r="B334" s="393" t="str">
        <f>IF(AND(Data!R334&lt;&gt;"",Data!L334="Accepté"),Data!L334,"")</f>
        <v/>
      </c>
      <c r="C334" s="391" t="str">
        <f t="shared" si="12"/>
        <v/>
      </c>
      <c r="D334" s="392" t="str">
        <f>IF(AND(Data!Q334&lt;&gt;"",Data!L334="Accepté"),Data!Q334,"")</f>
        <v/>
      </c>
      <c r="E334" s="237" t="str">
        <f>IF(AND(Data!R334&lt;&gt;"",Data!L334="Accepté"),Data!R334,"")</f>
        <v/>
      </c>
      <c r="F334" s="326" t="str">
        <f>IF(AND(Data!R334&lt;&gt;"",Data!L334="Accepté"),Data!S334,"")</f>
        <v/>
      </c>
      <c r="G334" s="322">
        <f>IF(Data!R334='Delivery Plan'!E334,Data!U334,"")</f>
        <v>0</v>
      </c>
      <c r="H334" s="259"/>
      <c r="I334" s="391" t="str">
        <f t="shared" si="13"/>
        <v/>
      </c>
      <c r="J334" s="392" t="str">
        <f>IF(AND(E334=Data!R334,Data!AA334&lt;&gt;""),Data!AA334,"")</f>
        <v/>
      </c>
      <c r="K334" s="313" t="str">
        <f>IF(AND(E334=Data!R334,Data!AE334&lt;&gt;""),Data!AE334,"")</f>
        <v/>
      </c>
      <c r="L334" s="318">
        <f>IF(E334=Data!R346,Data!AI346,"")</f>
        <v>0</v>
      </c>
      <c r="M334" s="318">
        <f>IF(E334=Data!R346,Data!AJ346,"")</f>
        <v>0</v>
      </c>
      <c r="N334" s="437" t="str">
        <f>IF(AND(Data!R346&lt;&gt;"",Data!L346="Accepté"),Data!K346,"")</f>
        <v/>
      </c>
    </row>
    <row r="335" spans="1:14" hidden="1" x14ac:dyDescent="0.3">
      <c r="A335" s="393" t="str">
        <f>IF(AND(Data!R335&lt;&gt;"",Data!L335="Accepté"),Data!G335,"")</f>
        <v/>
      </c>
      <c r="B335" s="393" t="str">
        <f>IF(AND(Data!R335&lt;&gt;"",Data!L335="Accepté"),Data!L335,"")</f>
        <v/>
      </c>
      <c r="C335" s="391" t="str">
        <f t="shared" si="12"/>
        <v/>
      </c>
      <c r="D335" s="392" t="str">
        <f>IF(AND(Data!Q335&lt;&gt;"",Data!L335="Accepté"),Data!Q335,"")</f>
        <v/>
      </c>
      <c r="E335" s="237" t="str">
        <f>IF(AND(Data!R335&lt;&gt;"",Data!L335="Accepté"),Data!R335,"")</f>
        <v/>
      </c>
      <c r="F335" s="326" t="str">
        <f>IF(AND(Data!R335&lt;&gt;"",Data!L335="Accepté"),Data!S335,"")</f>
        <v/>
      </c>
      <c r="G335" s="322">
        <f>IF(Data!R335='Delivery Plan'!E335,Data!U335,"")</f>
        <v>0</v>
      </c>
      <c r="H335" s="259"/>
      <c r="I335" s="391" t="str">
        <f t="shared" si="13"/>
        <v/>
      </c>
      <c r="J335" s="392" t="str">
        <f>IF(AND(E335=Data!R335,Data!AA335&lt;&gt;""),Data!AA335,"")</f>
        <v/>
      </c>
      <c r="K335" s="313" t="str">
        <f>IF(AND(E335=Data!R335,Data!AE335&lt;&gt;""),Data!AE335,"")</f>
        <v/>
      </c>
      <c r="L335" s="318">
        <f>IF(E335=Data!R347,Data!AI347,"")</f>
        <v>0</v>
      </c>
      <c r="M335" s="318">
        <f>IF(E335=Data!R347,Data!AJ347,"")</f>
        <v>0</v>
      </c>
      <c r="N335" s="437" t="str">
        <f>IF(AND(Data!R347&lt;&gt;"",Data!L347="Accepté"),Data!K347,"")</f>
        <v/>
      </c>
    </row>
    <row r="336" spans="1:14" hidden="1" x14ac:dyDescent="0.3">
      <c r="A336" s="393" t="str">
        <f>IF(AND(Data!R336&lt;&gt;"",Data!L336="Accepté"),Data!G336,"")</f>
        <v/>
      </c>
      <c r="B336" s="393" t="str">
        <f>IF(AND(Data!R336&lt;&gt;"",Data!L336="Accepté"),Data!L336,"")</f>
        <v/>
      </c>
      <c r="C336" s="391" t="str">
        <f t="shared" si="12"/>
        <v/>
      </c>
      <c r="D336" s="392" t="str">
        <f>IF(AND(Data!Q336&lt;&gt;"",Data!L336="Accepté"),Data!Q336,"")</f>
        <v/>
      </c>
      <c r="E336" s="237" t="str">
        <f>IF(AND(Data!R336&lt;&gt;"",Data!L336="Accepté"),Data!R336,"")</f>
        <v/>
      </c>
      <c r="F336" s="326" t="str">
        <f>IF(AND(Data!R336&lt;&gt;"",Data!L336="Accepté"),Data!S336,"")</f>
        <v/>
      </c>
      <c r="G336" s="322">
        <f>IF(Data!R336='Delivery Plan'!E336,Data!U336,"")</f>
        <v>0</v>
      </c>
      <c r="H336" s="259"/>
      <c r="I336" s="391" t="str">
        <f t="shared" si="13"/>
        <v/>
      </c>
      <c r="J336" s="392" t="str">
        <f>IF(AND(E336=Data!R336,Data!AA336&lt;&gt;""),Data!AA336,"")</f>
        <v/>
      </c>
      <c r="K336" s="313" t="str">
        <f>IF(AND(E336=Data!R336,Data!AE336&lt;&gt;""),Data!AE336,"")</f>
        <v/>
      </c>
      <c r="L336" s="318">
        <f>IF(E336=Data!R348,Data!AI348,"")</f>
        <v>0</v>
      </c>
      <c r="M336" s="318">
        <f>IF(E336=Data!R348,Data!AJ348,"")</f>
        <v>0</v>
      </c>
      <c r="N336" s="437" t="str">
        <f>IF(AND(Data!R348&lt;&gt;"",Data!L348="Accepté"),Data!K348,"")</f>
        <v/>
      </c>
    </row>
    <row r="337" spans="1:14" hidden="1" x14ac:dyDescent="0.3">
      <c r="A337" s="393" t="str">
        <f>IF(AND(Data!R337&lt;&gt;"",Data!L337="Accepté"),Data!G337,"")</f>
        <v/>
      </c>
      <c r="B337" s="393" t="str">
        <f>IF(AND(Data!R337&lt;&gt;"",Data!L337="Accepté"),Data!L337,"")</f>
        <v/>
      </c>
      <c r="C337" s="391" t="str">
        <f t="shared" si="12"/>
        <v/>
      </c>
      <c r="D337" s="392" t="str">
        <f>IF(AND(Data!Q337&lt;&gt;"",Data!L337="Accepté"),Data!Q337,"")</f>
        <v/>
      </c>
      <c r="E337" s="237" t="str">
        <f>IF(AND(Data!R337&lt;&gt;"",Data!L337="Accepté"),Data!R337,"")</f>
        <v/>
      </c>
      <c r="F337" s="326" t="str">
        <f>IF(AND(Data!R337&lt;&gt;"",Data!L337="Accepté"),Data!S337,"")</f>
        <v/>
      </c>
      <c r="G337" s="322">
        <f>IF(Data!R337='Delivery Plan'!E337,Data!U337,"")</f>
        <v>0</v>
      </c>
      <c r="H337" s="259"/>
      <c r="I337" s="391" t="str">
        <f t="shared" si="13"/>
        <v/>
      </c>
      <c r="J337" s="392" t="str">
        <f>IF(AND(E337=Data!R337,Data!AA337&lt;&gt;""),Data!AA337,"")</f>
        <v/>
      </c>
      <c r="K337" s="313" t="str">
        <f>IF(AND(E337=Data!R337,Data!AE337&lt;&gt;""),Data!AE337,"")</f>
        <v/>
      </c>
      <c r="L337" s="318">
        <f>IF(E337=Data!R349,Data!AI349,"")</f>
        <v>0</v>
      </c>
      <c r="M337" s="318">
        <f>IF(E337=Data!R349,Data!AJ349,"")</f>
        <v>0</v>
      </c>
      <c r="N337" s="437" t="str">
        <f>IF(AND(Data!R349&lt;&gt;"",Data!L349="Accepté"),Data!K349,"")</f>
        <v/>
      </c>
    </row>
    <row r="338" spans="1:14" hidden="1" x14ac:dyDescent="0.3">
      <c r="A338" s="393" t="str">
        <f>IF(AND(Data!R338&lt;&gt;"",Data!L338="Accepté"),Data!G338,"")</f>
        <v/>
      </c>
      <c r="B338" s="393" t="str">
        <f>IF(AND(Data!R338&lt;&gt;"",Data!L338="Accepté"),Data!L338,"")</f>
        <v/>
      </c>
      <c r="C338" s="391" t="str">
        <f t="shared" si="12"/>
        <v/>
      </c>
      <c r="D338" s="392" t="str">
        <f>IF(AND(Data!Q338&lt;&gt;"",Data!L338="Accepté"),Data!Q338,"")</f>
        <v/>
      </c>
      <c r="E338" s="237" t="str">
        <f>IF(AND(Data!R338&lt;&gt;"",Data!L338="Accepté"),Data!R338,"")</f>
        <v/>
      </c>
      <c r="F338" s="326" t="str">
        <f>IF(AND(Data!R338&lt;&gt;"",Data!L338="Accepté"),Data!S338,"")</f>
        <v/>
      </c>
      <c r="G338" s="322">
        <f>IF(Data!R338='Delivery Plan'!E338,Data!U338,"")</f>
        <v>0</v>
      </c>
      <c r="H338" s="259"/>
      <c r="I338" s="391" t="str">
        <f t="shared" si="13"/>
        <v/>
      </c>
      <c r="J338" s="392" t="str">
        <f>IF(AND(E338=Data!R338,Data!AA338&lt;&gt;""),Data!AA338,"")</f>
        <v/>
      </c>
      <c r="K338" s="313" t="str">
        <f>IF(AND(E338=Data!R338,Data!AE338&lt;&gt;""),Data!AE338,"")</f>
        <v/>
      </c>
      <c r="L338" s="318">
        <f>IF(E338=Data!R350,Data!AI350,"")</f>
        <v>0</v>
      </c>
      <c r="M338" s="318">
        <f>IF(E338=Data!R350,Data!AJ350,"")</f>
        <v>0</v>
      </c>
      <c r="N338" s="437" t="str">
        <f>IF(AND(Data!R350&lt;&gt;"",Data!L350="Accepté"),Data!K350,"")</f>
        <v/>
      </c>
    </row>
    <row r="339" spans="1:14" hidden="1" x14ac:dyDescent="0.3">
      <c r="A339" s="393" t="str">
        <f>IF(AND(Data!R339&lt;&gt;"",Data!L339="Accepté"),Data!G339,"")</f>
        <v/>
      </c>
      <c r="B339" s="393" t="str">
        <f>IF(AND(Data!R339&lt;&gt;"",Data!L339="Accepté"),Data!L339,"")</f>
        <v/>
      </c>
      <c r="C339" s="391" t="str">
        <f t="shared" si="12"/>
        <v/>
      </c>
      <c r="D339" s="392" t="str">
        <f>IF(AND(Data!Q339&lt;&gt;"",Data!L339="Accepté"),Data!Q339,"")</f>
        <v/>
      </c>
      <c r="E339" s="237" t="str">
        <f>IF(AND(Data!R339&lt;&gt;"",Data!L339="Accepté"),Data!R339,"")</f>
        <v/>
      </c>
      <c r="F339" s="326" t="str">
        <f>IF(AND(Data!R339&lt;&gt;"",Data!L339="Accepté"),Data!S339,"")</f>
        <v/>
      </c>
      <c r="G339" s="322">
        <f>IF(Data!R339='Delivery Plan'!E339,Data!U339,"")</f>
        <v>0</v>
      </c>
      <c r="H339" s="259"/>
      <c r="I339" s="391" t="str">
        <f t="shared" si="13"/>
        <v/>
      </c>
      <c r="J339" s="392" t="str">
        <f>IF(AND(E339=Data!R339,Data!AA339&lt;&gt;""),Data!AA339,"")</f>
        <v/>
      </c>
      <c r="K339" s="313" t="str">
        <f>IF(AND(E339=Data!R339,Data!AE339&lt;&gt;""),Data!AE339,"")</f>
        <v/>
      </c>
      <c r="L339" s="318">
        <f>IF(E339=Data!R351,Data!AI351,"")</f>
        <v>0</v>
      </c>
      <c r="M339" s="318">
        <f>IF(E339=Data!R351,Data!AJ351,"")</f>
        <v>0</v>
      </c>
      <c r="N339" s="437" t="str">
        <f>IF(AND(Data!R351&lt;&gt;"",Data!L351="Accepté"),Data!K351,"")</f>
        <v/>
      </c>
    </row>
    <row r="340" spans="1:14" hidden="1" x14ac:dyDescent="0.3">
      <c r="A340" s="393" t="str">
        <f>IF(AND(Data!R340&lt;&gt;"",Data!L340="Accepté"),Data!G340,"")</f>
        <v/>
      </c>
      <c r="B340" s="393" t="str">
        <f>IF(AND(Data!R340&lt;&gt;"",Data!L340="Accepté"),Data!L340,"")</f>
        <v/>
      </c>
      <c r="C340" s="391" t="str">
        <f t="shared" si="12"/>
        <v/>
      </c>
      <c r="D340" s="392" t="str">
        <f>IF(AND(Data!Q340&lt;&gt;"",Data!L340="Accepté"),Data!Q340,"")</f>
        <v/>
      </c>
      <c r="E340" s="237" t="str">
        <f>IF(AND(Data!R340&lt;&gt;"",Data!L340="Accepté"),Data!R340,"")</f>
        <v/>
      </c>
      <c r="F340" s="326" t="str">
        <f>IF(AND(Data!R340&lt;&gt;"",Data!L340="Accepté"),Data!S340,"")</f>
        <v/>
      </c>
      <c r="G340" s="322">
        <f>IF(Data!R340='Delivery Plan'!E340,Data!U340,"")</f>
        <v>0</v>
      </c>
      <c r="H340" s="259"/>
      <c r="I340" s="391" t="str">
        <f t="shared" si="13"/>
        <v/>
      </c>
      <c r="J340" s="392" t="str">
        <f>IF(AND(E340=Data!R340,Data!AA340&lt;&gt;""),Data!AA340,"")</f>
        <v/>
      </c>
      <c r="K340" s="313" t="str">
        <f>IF(AND(E340=Data!R340,Data!AE340&lt;&gt;""),Data!AE340,"")</f>
        <v/>
      </c>
      <c r="L340" s="318">
        <f>IF(E340=Data!R352,Data!AI352,"")</f>
        <v>0</v>
      </c>
      <c r="M340" s="318">
        <f>IF(E340=Data!R352,Data!AJ352,"")</f>
        <v>0</v>
      </c>
      <c r="N340" s="437" t="str">
        <f>IF(AND(Data!R352&lt;&gt;"",Data!L352="Accepté"),Data!K352,"")</f>
        <v/>
      </c>
    </row>
    <row r="341" spans="1:14" hidden="1" x14ac:dyDescent="0.3">
      <c r="A341" s="393" t="str">
        <f>IF(AND(Data!R341&lt;&gt;"",Data!L341="Accepté"),Data!G341,"")</f>
        <v/>
      </c>
      <c r="B341" s="393" t="str">
        <f>IF(AND(Data!R341&lt;&gt;"",Data!L341="Accepté"),Data!L341,"")</f>
        <v/>
      </c>
      <c r="C341" s="391" t="str">
        <f t="shared" si="12"/>
        <v/>
      </c>
      <c r="D341" s="392" t="str">
        <f>IF(AND(Data!Q341&lt;&gt;"",Data!L341="Accepté"),Data!Q341,"")</f>
        <v/>
      </c>
      <c r="E341" s="237" t="str">
        <f>IF(AND(Data!R341&lt;&gt;"",Data!L341="Accepté"),Data!R341,"")</f>
        <v/>
      </c>
      <c r="F341" s="326" t="str">
        <f>IF(AND(Data!R341&lt;&gt;"",Data!L341="Accepté"),Data!S341,"")</f>
        <v/>
      </c>
      <c r="G341" s="322">
        <f>IF(Data!R341='Delivery Plan'!E341,Data!U341,"")</f>
        <v>0</v>
      </c>
      <c r="H341" s="259"/>
      <c r="I341" s="391" t="str">
        <f t="shared" si="13"/>
        <v/>
      </c>
      <c r="J341" s="392" t="str">
        <f>IF(AND(E341=Data!R341,Data!AA341&lt;&gt;""),Data!AA341,"")</f>
        <v/>
      </c>
      <c r="K341" s="313" t="str">
        <f>IF(AND(E341=Data!R341,Data!AE341&lt;&gt;""),Data!AE341,"")</f>
        <v/>
      </c>
      <c r="L341" s="318">
        <f>IF(E341=Data!R353,Data!AI353,"")</f>
        <v>0</v>
      </c>
      <c r="M341" s="318">
        <f>IF(E341=Data!R353,Data!AJ353,"")</f>
        <v>0</v>
      </c>
      <c r="N341" s="437" t="str">
        <f>IF(AND(Data!R353&lt;&gt;"",Data!L353="Accepté"),Data!K353,"")</f>
        <v/>
      </c>
    </row>
    <row r="342" spans="1:14" hidden="1" x14ac:dyDescent="0.3">
      <c r="A342" s="393" t="str">
        <f>IF(AND(Data!R342&lt;&gt;"",Data!L342="Accepté"),Data!G342,"")</f>
        <v/>
      </c>
      <c r="B342" s="393" t="str">
        <f>IF(AND(Data!R342&lt;&gt;"",Data!L342="Accepté"),Data!L342,"")</f>
        <v/>
      </c>
      <c r="C342" s="391" t="str">
        <f t="shared" si="12"/>
        <v/>
      </c>
      <c r="D342" s="392" t="str">
        <f>IF(AND(Data!Q342&lt;&gt;"",Data!L342="Accepté"),Data!Q342,"")</f>
        <v/>
      </c>
      <c r="E342" s="237" t="str">
        <f>IF(AND(Data!R342&lt;&gt;"",Data!L342="Accepté"),Data!R342,"")</f>
        <v/>
      </c>
      <c r="F342" s="326" t="str">
        <f>IF(AND(Data!R342&lt;&gt;"",Data!L342="Accepté"),Data!S342,"")</f>
        <v/>
      </c>
      <c r="G342" s="322">
        <f>IF(Data!R342='Delivery Plan'!E342,Data!U342,"")</f>
        <v>0</v>
      </c>
      <c r="H342" s="259"/>
      <c r="I342" s="391" t="str">
        <f t="shared" si="13"/>
        <v/>
      </c>
      <c r="J342" s="392" t="str">
        <f>IF(AND(E342=Data!R342,Data!AA342&lt;&gt;""),Data!AA342,"")</f>
        <v/>
      </c>
      <c r="K342" s="313" t="str">
        <f>IF(AND(E342=Data!R342,Data!AE342&lt;&gt;""),Data!AE342,"")</f>
        <v/>
      </c>
      <c r="L342" s="318">
        <f>IF(E342=Data!R354,Data!AI354,"")</f>
        <v>0</v>
      </c>
      <c r="M342" s="318">
        <f>IF(E342=Data!R354,Data!AJ354,"")</f>
        <v>0</v>
      </c>
      <c r="N342" s="437" t="str">
        <f>IF(AND(Data!R354&lt;&gt;"",Data!L354="Accepté"),Data!K354,"")</f>
        <v/>
      </c>
    </row>
    <row r="343" spans="1:14" hidden="1" x14ac:dyDescent="0.3">
      <c r="A343" s="393" t="str">
        <f>IF(AND(Data!R343&lt;&gt;"",Data!L343="Accepté"),Data!G343,"")</f>
        <v/>
      </c>
      <c r="B343" s="393" t="str">
        <f>IF(AND(Data!R343&lt;&gt;"",Data!L343="Accepté"),Data!L343,"")</f>
        <v/>
      </c>
      <c r="C343" s="391" t="str">
        <f t="shared" si="12"/>
        <v/>
      </c>
      <c r="D343" s="392" t="str">
        <f>IF(AND(Data!Q343&lt;&gt;"",Data!L343="Accepté"),Data!Q343,"")</f>
        <v/>
      </c>
      <c r="E343" s="237" t="str">
        <f>IF(AND(Data!R343&lt;&gt;"",Data!L343="Accepté"),Data!R343,"")</f>
        <v/>
      </c>
      <c r="F343" s="326" t="str">
        <f>IF(AND(Data!R343&lt;&gt;"",Data!L343="Accepté"),Data!S343,"")</f>
        <v/>
      </c>
      <c r="G343" s="322">
        <f>IF(Data!R343='Delivery Plan'!E343,Data!U343,"")</f>
        <v>0</v>
      </c>
      <c r="H343" s="259"/>
      <c r="I343" s="391" t="str">
        <f t="shared" si="13"/>
        <v/>
      </c>
      <c r="J343" s="392" t="str">
        <f>IF(AND(E343=Data!R343,Data!AA343&lt;&gt;""),Data!AA343,"")</f>
        <v/>
      </c>
      <c r="K343" s="313" t="str">
        <f>IF(AND(E343=Data!R343,Data!AE343&lt;&gt;""),Data!AE343,"")</f>
        <v/>
      </c>
      <c r="L343" s="318">
        <f>IF(E343=Data!R355,Data!AI355,"")</f>
        <v>0</v>
      </c>
      <c r="M343" s="318">
        <f>IF(E343=Data!R355,Data!AJ355,"")</f>
        <v>0</v>
      </c>
      <c r="N343" s="437" t="str">
        <f>IF(AND(Data!R355&lt;&gt;"",Data!L355="Accepté"),Data!K355,"")</f>
        <v/>
      </c>
    </row>
    <row r="344" spans="1:14" hidden="1" x14ac:dyDescent="0.3">
      <c r="A344" s="393" t="str">
        <f>IF(AND(Data!R344&lt;&gt;"",Data!L344="Accepté"),Data!G344,"")</f>
        <v/>
      </c>
      <c r="B344" s="393" t="str">
        <f>IF(AND(Data!R344&lt;&gt;"",Data!L344="Accepté"),Data!L344,"")</f>
        <v/>
      </c>
      <c r="C344" s="391" t="str">
        <f t="shared" si="12"/>
        <v/>
      </c>
      <c r="D344" s="392" t="str">
        <f>IF(AND(Data!Q344&lt;&gt;"",Data!L344="Accepté"),Data!Q344,"")</f>
        <v/>
      </c>
      <c r="E344" s="237" t="str">
        <f>IF(AND(Data!R344&lt;&gt;"",Data!L344="Accepté"),Data!R344,"")</f>
        <v/>
      </c>
      <c r="F344" s="326" t="str">
        <f>IF(AND(Data!R344&lt;&gt;"",Data!L344="Accepté"),Data!S344,"")</f>
        <v/>
      </c>
      <c r="G344" s="322">
        <f>IF(Data!R344='Delivery Plan'!E344,Data!U344,"")</f>
        <v>0</v>
      </c>
      <c r="H344" s="259"/>
      <c r="I344" s="391" t="str">
        <f t="shared" si="13"/>
        <v/>
      </c>
      <c r="J344" s="392" t="str">
        <f>IF(AND(E344=Data!R344,Data!AA344&lt;&gt;""),Data!AA344,"")</f>
        <v/>
      </c>
      <c r="K344" s="313" t="str">
        <f>IF(AND(E344=Data!R344,Data!AE344&lt;&gt;""),Data!AE344,"")</f>
        <v/>
      </c>
      <c r="L344" s="318">
        <f>IF(E344=Data!R356,Data!AI356,"")</f>
        <v>0</v>
      </c>
      <c r="M344" s="318">
        <f>IF(E344=Data!R356,Data!AJ356,"")</f>
        <v>0</v>
      </c>
      <c r="N344" s="437" t="str">
        <f>IF(AND(Data!R356&lt;&gt;"",Data!L356="Accepté"),Data!K356,"")</f>
        <v/>
      </c>
    </row>
    <row r="345" spans="1:14" hidden="1" x14ac:dyDescent="0.3">
      <c r="A345" s="393" t="str">
        <f>IF(AND(Data!R345&lt;&gt;"",Data!L345="Accepté"),Data!G345,"")</f>
        <v/>
      </c>
      <c r="B345" s="393" t="str">
        <f>IF(AND(Data!R345&lt;&gt;"",Data!L345="Accepté"),Data!L345,"")</f>
        <v/>
      </c>
      <c r="C345" s="391" t="str">
        <f t="shared" si="12"/>
        <v/>
      </c>
      <c r="D345" s="392" t="str">
        <f>IF(AND(Data!Q345&lt;&gt;"",Data!L345="Accepté"),Data!Q345,"")</f>
        <v/>
      </c>
      <c r="E345" s="237" t="str">
        <f>IF(AND(Data!R345&lt;&gt;"",Data!L345="Accepté"),Data!R345,"")</f>
        <v/>
      </c>
      <c r="F345" s="326" t="str">
        <f>IF(AND(Data!R345&lt;&gt;"",Data!L345="Accepté"),Data!S345,"")</f>
        <v/>
      </c>
      <c r="G345" s="322">
        <f>IF(Data!R345='Delivery Plan'!E345,Data!U345,"")</f>
        <v>0</v>
      </c>
      <c r="H345" s="259"/>
      <c r="I345" s="391" t="str">
        <f t="shared" si="13"/>
        <v/>
      </c>
      <c r="J345" s="392" t="str">
        <f>IF(AND(E345=Data!R345,Data!AA345&lt;&gt;""),Data!AA345,"")</f>
        <v/>
      </c>
      <c r="K345" s="313" t="str">
        <f>IF(AND(E345=Data!R345,Data!AE345&lt;&gt;""),Data!AE345,"")</f>
        <v/>
      </c>
      <c r="L345" s="318">
        <f>IF(E345=Data!R357,Data!AI357,"")</f>
        <v>0</v>
      </c>
      <c r="M345" s="318">
        <f>IF(E345=Data!R357,Data!AJ357,"")</f>
        <v>0</v>
      </c>
      <c r="N345" s="437" t="str">
        <f>IF(AND(Data!R357&lt;&gt;"",Data!L357="Accepté"),Data!K357,"")</f>
        <v/>
      </c>
    </row>
    <row r="346" spans="1:14" hidden="1" x14ac:dyDescent="0.3">
      <c r="A346" s="393" t="str">
        <f>IF(AND(Data!R346&lt;&gt;"",Data!L346="Accepté"),Data!G346,"")</f>
        <v/>
      </c>
      <c r="B346" s="393" t="str">
        <f>IF(AND(Data!R346&lt;&gt;"",Data!L346="Accepté"),Data!L346,"")</f>
        <v/>
      </c>
      <c r="C346" s="391" t="str">
        <f t="shared" si="12"/>
        <v/>
      </c>
      <c r="D346" s="392" t="str">
        <f>IF(AND(Data!Q346&lt;&gt;"",Data!L346="Accepté"),Data!Q346,"")</f>
        <v/>
      </c>
      <c r="E346" s="237" t="str">
        <f>IF(AND(Data!R346&lt;&gt;"",Data!L346="Accepté"),Data!R346,"")</f>
        <v/>
      </c>
      <c r="F346" s="326" t="str">
        <f>IF(AND(Data!R346&lt;&gt;"",Data!L346="Accepté"),Data!S346,"")</f>
        <v/>
      </c>
      <c r="G346" s="322">
        <f>IF(Data!R346='Delivery Plan'!E346,Data!U346,"")</f>
        <v>0</v>
      </c>
      <c r="H346" s="259"/>
      <c r="I346" s="391" t="str">
        <f t="shared" si="13"/>
        <v/>
      </c>
      <c r="J346" s="392" t="str">
        <f>IF(AND(E346=Data!R346,Data!AA346&lt;&gt;""),Data!AA346,"")</f>
        <v/>
      </c>
      <c r="K346" s="313" t="str">
        <f>IF(AND(E346=Data!R346,Data!AE346&lt;&gt;""),Data!AE346,"")</f>
        <v/>
      </c>
      <c r="L346" s="318">
        <f>IF(E346=Data!R358,Data!AI358,"")</f>
        <v>0</v>
      </c>
      <c r="M346" s="318">
        <f>IF(E346=Data!R358,Data!AJ358,"")</f>
        <v>0</v>
      </c>
      <c r="N346" s="437" t="str">
        <f>IF(AND(Data!R358&lt;&gt;"",Data!L358="Accepté"),Data!K358,"")</f>
        <v/>
      </c>
    </row>
    <row r="347" spans="1:14" hidden="1" x14ac:dyDescent="0.3">
      <c r="A347" s="393" t="str">
        <f>IF(AND(Data!R347&lt;&gt;"",Data!L347="Accepté"),Data!G347,"")</f>
        <v/>
      </c>
      <c r="B347" s="393" t="str">
        <f>IF(AND(Data!R347&lt;&gt;"",Data!L347="Accepté"),Data!L347,"")</f>
        <v/>
      </c>
      <c r="C347" s="391" t="str">
        <f t="shared" si="12"/>
        <v/>
      </c>
      <c r="D347" s="392" t="str">
        <f>IF(AND(Data!Q347&lt;&gt;"",Data!L347="Accepté"),Data!Q347,"")</f>
        <v/>
      </c>
      <c r="E347" s="237" t="str">
        <f>IF(AND(Data!R347&lt;&gt;"",Data!L347="Accepté"),Data!R347,"")</f>
        <v/>
      </c>
      <c r="F347" s="326" t="str">
        <f>IF(AND(Data!R347&lt;&gt;"",Data!L347="Accepté"),Data!S347,"")</f>
        <v/>
      </c>
      <c r="G347" s="322">
        <f>IF(Data!R347='Delivery Plan'!E347,Data!U347,"")</f>
        <v>0</v>
      </c>
      <c r="H347" s="259"/>
      <c r="I347" s="391" t="str">
        <f t="shared" si="13"/>
        <v/>
      </c>
      <c r="J347" s="392" t="str">
        <f>IF(AND(E347=Data!R347,Data!AA347&lt;&gt;""),Data!AA347,"")</f>
        <v/>
      </c>
      <c r="K347" s="313" t="str">
        <f>IF(AND(E347=Data!R347,Data!AE347&lt;&gt;""),Data!AE347,"")</f>
        <v/>
      </c>
      <c r="L347" s="318">
        <f>IF(E347=Data!R359,Data!AI359,"")</f>
        <v>0</v>
      </c>
      <c r="M347" s="318">
        <f>IF(E347=Data!R359,Data!AJ359,"")</f>
        <v>0</v>
      </c>
      <c r="N347" s="437" t="str">
        <f>IF(AND(Data!R359&lt;&gt;"",Data!L359="Accepté"),Data!K359,"")</f>
        <v/>
      </c>
    </row>
    <row r="348" spans="1:14" hidden="1" x14ac:dyDescent="0.3">
      <c r="A348" s="393" t="str">
        <f>IF(AND(Data!R348&lt;&gt;"",Data!L348="Accepté"),Data!G348,"")</f>
        <v/>
      </c>
      <c r="B348" s="393" t="str">
        <f>IF(AND(Data!R348&lt;&gt;"",Data!L348="Accepté"),Data!L348,"")</f>
        <v/>
      </c>
      <c r="C348" s="391" t="str">
        <f t="shared" si="12"/>
        <v/>
      </c>
      <c r="D348" s="392" t="str">
        <f>IF(AND(Data!Q348&lt;&gt;"",Data!L348="Accepté"),Data!Q348,"")</f>
        <v/>
      </c>
      <c r="E348" s="237" t="str">
        <f>IF(AND(Data!R348&lt;&gt;"",Data!L348="Accepté"),Data!R348,"")</f>
        <v/>
      </c>
      <c r="F348" s="326" t="str">
        <f>IF(AND(Data!R348&lt;&gt;"",Data!L348="Accepté"),Data!S348,"")</f>
        <v/>
      </c>
      <c r="G348" s="322">
        <f>IF(Data!R348='Delivery Plan'!E348,Data!U348,"")</f>
        <v>0</v>
      </c>
      <c r="H348" s="259"/>
      <c r="I348" s="391" t="str">
        <f t="shared" si="13"/>
        <v/>
      </c>
      <c r="J348" s="392" t="str">
        <f>IF(AND(E348=Data!R348,Data!AA348&lt;&gt;""),Data!AA348,"")</f>
        <v/>
      </c>
      <c r="K348" s="313" t="str">
        <f>IF(AND(E348=Data!R348,Data!AE348&lt;&gt;""),Data!AE348,"")</f>
        <v/>
      </c>
      <c r="L348" s="318">
        <f>IF(E348=Data!R360,Data!AI360,"")</f>
        <v>0</v>
      </c>
      <c r="M348" s="318">
        <f>IF(E348=Data!R360,Data!AJ360,"")</f>
        <v>0</v>
      </c>
      <c r="N348" s="437" t="str">
        <f>IF(AND(Data!R360&lt;&gt;"",Data!L360="Accepté"),Data!K360,"")</f>
        <v/>
      </c>
    </row>
    <row r="349" spans="1:14" hidden="1" x14ac:dyDescent="0.3">
      <c r="A349" s="393" t="str">
        <f>IF(AND(Data!R349&lt;&gt;"",Data!L349="Accepté"),Data!G349,"")</f>
        <v/>
      </c>
      <c r="B349" s="393" t="str">
        <f>IF(AND(Data!R349&lt;&gt;"",Data!L349="Accepté"),Data!L349,"")</f>
        <v/>
      </c>
      <c r="C349" s="391" t="str">
        <f t="shared" si="12"/>
        <v/>
      </c>
      <c r="D349" s="392" t="str">
        <f>IF(AND(Data!Q349&lt;&gt;"",Data!L349="Accepté"),Data!Q349,"")</f>
        <v/>
      </c>
      <c r="E349" s="237" t="str">
        <f>IF(AND(Data!R349&lt;&gt;"",Data!L349="Accepté"),Data!R349,"")</f>
        <v/>
      </c>
      <c r="F349" s="326" t="str">
        <f>IF(AND(Data!R349&lt;&gt;"",Data!L349="Accepté"),Data!S349,"")</f>
        <v/>
      </c>
      <c r="G349" s="322">
        <f>IF(Data!R349='Delivery Plan'!E349,Data!U349,"")</f>
        <v>0</v>
      </c>
      <c r="H349" s="259"/>
      <c r="I349" s="391" t="str">
        <f t="shared" si="13"/>
        <v/>
      </c>
      <c r="J349" s="392" t="str">
        <f>IF(AND(E349=Data!R349,Data!AA349&lt;&gt;""),Data!AA349,"")</f>
        <v/>
      </c>
      <c r="K349" s="313" t="str">
        <f>IF(AND(E349=Data!R349,Data!AE349&lt;&gt;""),Data!AE349,"")</f>
        <v/>
      </c>
      <c r="L349" s="318">
        <f>IF(E349=Data!R361,Data!AI361,"")</f>
        <v>0</v>
      </c>
      <c r="M349" s="318">
        <f>IF(E349=Data!R361,Data!AJ361,"")</f>
        <v>0</v>
      </c>
      <c r="N349" s="437" t="str">
        <f>IF(AND(Data!R361&lt;&gt;"",Data!L361="Accepté"),Data!K361,"")</f>
        <v/>
      </c>
    </row>
    <row r="350" spans="1:14" hidden="1" x14ac:dyDescent="0.3">
      <c r="A350" s="393" t="str">
        <f>IF(AND(Data!R350&lt;&gt;"",Data!L350="Accepté"),Data!G350,"")</f>
        <v/>
      </c>
      <c r="B350" s="393" t="str">
        <f>IF(AND(Data!R350&lt;&gt;"",Data!L350="Accepté"),Data!L350,"")</f>
        <v/>
      </c>
      <c r="C350" s="391" t="str">
        <f t="shared" si="12"/>
        <v/>
      </c>
      <c r="D350" s="392" t="str">
        <f>IF(AND(Data!Q350&lt;&gt;"",Data!L350="Accepté"),Data!Q350,"")</f>
        <v/>
      </c>
      <c r="E350" s="237" t="str">
        <f>IF(AND(Data!R350&lt;&gt;"",Data!L350="Accepté"),Data!R350,"")</f>
        <v/>
      </c>
      <c r="F350" s="326" t="str">
        <f>IF(AND(Data!R350&lt;&gt;"",Data!L350="Accepté"),Data!S350,"")</f>
        <v/>
      </c>
      <c r="G350" s="322">
        <f>IF(Data!R350='Delivery Plan'!E350,Data!U350,"")</f>
        <v>0</v>
      </c>
      <c r="H350" s="259"/>
      <c r="I350" s="391" t="str">
        <f t="shared" si="13"/>
        <v/>
      </c>
      <c r="J350" s="392" t="str">
        <f>IF(AND(E350=Data!R350,Data!AA350&lt;&gt;""),Data!AA350,"")</f>
        <v/>
      </c>
      <c r="K350" s="313" t="str">
        <f>IF(AND(E350=Data!R350,Data!AE350&lt;&gt;""),Data!AE350,"")</f>
        <v/>
      </c>
      <c r="L350" s="318">
        <f>IF(E350=Data!R362,Data!AI362,"")</f>
        <v>0</v>
      </c>
      <c r="M350" s="318">
        <f>IF(E350=Data!R362,Data!AJ362,"")</f>
        <v>0</v>
      </c>
      <c r="N350" s="437" t="str">
        <f>IF(AND(Data!R362&lt;&gt;"",Data!L362="Accepté"),Data!K362,"")</f>
        <v/>
      </c>
    </row>
    <row r="351" spans="1:14" hidden="1" x14ac:dyDescent="0.3">
      <c r="A351" s="393" t="str">
        <f>IF(AND(Data!R351&lt;&gt;"",Data!L351="Accepté"),Data!G351,"")</f>
        <v/>
      </c>
      <c r="B351" s="393" t="str">
        <f>IF(AND(Data!R351&lt;&gt;"",Data!L351="Accepté"),Data!L351,"")</f>
        <v/>
      </c>
      <c r="C351" s="391" t="str">
        <f t="shared" si="12"/>
        <v/>
      </c>
      <c r="D351" s="392" t="str">
        <f>IF(AND(Data!Q351&lt;&gt;"",Data!L351="Accepté"),Data!Q351,"")</f>
        <v/>
      </c>
      <c r="E351" s="237" t="str">
        <f>IF(AND(Data!R351&lt;&gt;"",Data!L351="Accepté"),Data!R351,"")</f>
        <v/>
      </c>
      <c r="F351" s="326" t="str">
        <f>IF(AND(Data!R351&lt;&gt;"",Data!L351="Accepté"),Data!S351,"")</f>
        <v/>
      </c>
      <c r="G351" s="322">
        <f>IF(Data!R351='Delivery Plan'!E351,Data!U351,"")</f>
        <v>0</v>
      </c>
      <c r="H351" s="259"/>
      <c r="I351" s="391" t="str">
        <f t="shared" si="13"/>
        <v/>
      </c>
      <c r="J351" s="392" t="str">
        <f>IF(AND(E351=Data!R351,Data!AA351&lt;&gt;""),Data!AA351,"")</f>
        <v/>
      </c>
      <c r="K351" s="313" t="str">
        <f>IF(AND(E351=Data!R351,Data!AE351&lt;&gt;""),Data!AE351,"")</f>
        <v/>
      </c>
      <c r="L351" s="318">
        <f>IF(E351=Data!R363,Data!AI363,"")</f>
        <v>0</v>
      </c>
      <c r="M351" s="318">
        <f>IF(E351=Data!R363,Data!AJ363,"")</f>
        <v>0</v>
      </c>
      <c r="N351" s="437" t="str">
        <f>IF(AND(Data!R363&lt;&gt;"",Data!L363="Accepté"),Data!K363,"")</f>
        <v/>
      </c>
    </row>
    <row r="352" spans="1:14" hidden="1" x14ac:dyDescent="0.3">
      <c r="A352" s="393" t="str">
        <f>IF(AND(Data!R352&lt;&gt;"",Data!L352="Accepté"),Data!G352,"")</f>
        <v/>
      </c>
      <c r="B352" s="393" t="str">
        <f>IF(AND(Data!R352&lt;&gt;"",Data!L352="Accepté"),Data!L352,"")</f>
        <v/>
      </c>
      <c r="C352" s="391" t="str">
        <f t="shared" si="12"/>
        <v/>
      </c>
      <c r="D352" s="392" t="str">
        <f>IF(AND(Data!Q352&lt;&gt;"",Data!L352="Accepté"),Data!Q352,"")</f>
        <v/>
      </c>
      <c r="E352" s="237" t="str">
        <f>IF(AND(Data!R352&lt;&gt;"",Data!L352="Accepté"),Data!R352,"")</f>
        <v/>
      </c>
      <c r="F352" s="326" t="str">
        <f>IF(AND(Data!R352&lt;&gt;"",Data!L352="Accepté"),Data!S352,"")</f>
        <v/>
      </c>
      <c r="G352" s="322">
        <f>IF(Data!R352='Delivery Plan'!E352,Data!U352,"")</f>
        <v>0</v>
      </c>
      <c r="H352" s="259"/>
      <c r="I352" s="391" t="str">
        <f t="shared" si="13"/>
        <v/>
      </c>
      <c r="J352" s="392" t="str">
        <f>IF(AND(E352=Data!R352,Data!AA352&lt;&gt;""),Data!AA352,"")</f>
        <v/>
      </c>
      <c r="K352" s="313" t="str">
        <f>IF(AND(E352=Data!R352,Data!AE352&lt;&gt;""),Data!AE352,"")</f>
        <v/>
      </c>
      <c r="L352" s="318">
        <f>IF(E352=Data!R364,Data!AI364,"")</f>
        <v>0</v>
      </c>
      <c r="M352" s="318">
        <f>IF(E352=Data!R364,Data!AJ364,"")</f>
        <v>0</v>
      </c>
      <c r="N352" s="437" t="str">
        <f>IF(AND(Data!R364&lt;&gt;"",Data!L364="Accepté"),Data!K364,"")</f>
        <v/>
      </c>
    </row>
    <row r="353" spans="1:14" hidden="1" x14ac:dyDescent="0.3">
      <c r="A353" s="393" t="str">
        <f>IF(AND(Data!R353&lt;&gt;"",Data!L353="Accepté"),Data!G353,"")</f>
        <v/>
      </c>
      <c r="B353" s="393" t="str">
        <f>IF(AND(Data!R353&lt;&gt;"",Data!L353="Accepté"),Data!L353,"")</f>
        <v/>
      </c>
      <c r="C353" s="391" t="str">
        <f t="shared" si="12"/>
        <v/>
      </c>
      <c r="D353" s="392" t="str">
        <f>IF(AND(Data!Q353&lt;&gt;"",Data!L353="Accepté"),Data!Q353,"")</f>
        <v/>
      </c>
      <c r="E353" s="237" t="str">
        <f>IF(AND(Data!R353&lt;&gt;"",Data!L353="Accepté"),Data!R353,"")</f>
        <v/>
      </c>
      <c r="F353" s="326" t="str">
        <f>IF(AND(Data!R353&lt;&gt;"",Data!L353="Accepté"),Data!S353,"")</f>
        <v/>
      </c>
      <c r="G353" s="322">
        <f>IF(Data!R353='Delivery Plan'!E353,Data!U353,"")</f>
        <v>0</v>
      </c>
      <c r="H353" s="259"/>
      <c r="I353" s="391" t="str">
        <f t="shared" si="13"/>
        <v/>
      </c>
      <c r="J353" s="392" t="str">
        <f>IF(AND(E353=Data!R353,Data!AA353&lt;&gt;""),Data!AA353,"")</f>
        <v/>
      </c>
      <c r="K353" s="313" t="str">
        <f>IF(AND(E353=Data!R353,Data!AE353&lt;&gt;""),Data!AE353,"")</f>
        <v/>
      </c>
      <c r="L353" s="318">
        <f>IF(E353=Data!R365,Data!AI365,"")</f>
        <v>0</v>
      </c>
      <c r="M353" s="318">
        <f>IF(E353=Data!R365,Data!AJ365,"")</f>
        <v>0</v>
      </c>
      <c r="N353" s="437" t="str">
        <f>IF(AND(Data!R365&lt;&gt;"",Data!L365="Accepté"),Data!K365,"")</f>
        <v/>
      </c>
    </row>
    <row r="354" spans="1:14" hidden="1" x14ac:dyDescent="0.3">
      <c r="A354" s="393" t="str">
        <f>IF(AND(Data!R354&lt;&gt;"",Data!L354="Accepté"),Data!G354,"")</f>
        <v/>
      </c>
      <c r="B354" s="393" t="str">
        <f>IF(AND(Data!R354&lt;&gt;"",Data!L354="Accepté"),Data!L354,"")</f>
        <v/>
      </c>
      <c r="C354" s="391" t="str">
        <f t="shared" si="12"/>
        <v/>
      </c>
      <c r="D354" s="392" t="str">
        <f>IF(AND(Data!Q354&lt;&gt;"",Data!L354="Accepté"),Data!Q354,"")</f>
        <v/>
      </c>
      <c r="E354" s="237" t="str">
        <f>IF(AND(Data!R354&lt;&gt;"",Data!L354="Accepté"),Data!R354,"")</f>
        <v/>
      </c>
      <c r="F354" s="326" t="str">
        <f>IF(AND(Data!R354&lt;&gt;"",Data!L354="Accepté"),Data!S354,"")</f>
        <v/>
      </c>
      <c r="G354" s="322">
        <f>IF(Data!R354='Delivery Plan'!E354,Data!U354,"")</f>
        <v>0</v>
      </c>
      <c r="H354" s="259"/>
      <c r="I354" s="391" t="str">
        <f t="shared" si="13"/>
        <v/>
      </c>
      <c r="J354" s="392" t="str">
        <f>IF(AND(E354=Data!R354,Data!AA354&lt;&gt;""),Data!AA354,"")</f>
        <v/>
      </c>
      <c r="K354" s="313" t="str">
        <f>IF(AND(E354=Data!R354,Data!AE354&lt;&gt;""),Data!AE354,"")</f>
        <v/>
      </c>
      <c r="L354" s="318">
        <f>IF(E354=Data!R366,Data!AI366,"")</f>
        <v>0</v>
      </c>
      <c r="M354" s="318">
        <f>IF(E354=Data!R366,Data!AJ366,"")</f>
        <v>0</v>
      </c>
      <c r="N354" s="437" t="str">
        <f>IF(AND(Data!R366&lt;&gt;"",Data!L366="Accepté"),Data!K366,"")</f>
        <v/>
      </c>
    </row>
    <row r="355" spans="1:14" hidden="1" x14ac:dyDescent="0.3">
      <c r="A355" s="393" t="str">
        <f>IF(AND(Data!R355&lt;&gt;"",Data!L355="Accepté"),Data!G355,"")</f>
        <v/>
      </c>
      <c r="B355" s="393" t="str">
        <f>IF(AND(Data!R355&lt;&gt;"",Data!L355="Accepté"),Data!L355,"")</f>
        <v/>
      </c>
      <c r="C355" s="391" t="str">
        <f t="shared" si="12"/>
        <v/>
      </c>
      <c r="D355" s="392" t="str">
        <f>IF(AND(Data!Q355&lt;&gt;"",Data!L355="Accepté"),Data!Q355,"")</f>
        <v/>
      </c>
      <c r="E355" s="237" t="str">
        <f>IF(AND(Data!R355&lt;&gt;"",Data!L355="Accepté"),Data!R355,"")</f>
        <v/>
      </c>
      <c r="F355" s="326" t="str">
        <f>IF(AND(Data!R355&lt;&gt;"",Data!L355="Accepté"),Data!S355,"")</f>
        <v/>
      </c>
      <c r="G355" s="322">
        <f>IF(Data!R355='Delivery Plan'!E355,Data!U355,"")</f>
        <v>0</v>
      </c>
      <c r="H355" s="259"/>
      <c r="I355" s="391" t="str">
        <f t="shared" si="13"/>
        <v/>
      </c>
      <c r="J355" s="392" t="str">
        <f>IF(AND(E355=Data!R355,Data!AA355&lt;&gt;""),Data!AA355,"")</f>
        <v/>
      </c>
      <c r="K355" s="313" t="str">
        <f>IF(AND(E355=Data!R355,Data!AE355&lt;&gt;""),Data!AE355,"")</f>
        <v/>
      </c>
      <c r="L355" s="318">
        <f>IF(E355=Data!R367,Data!AI367,"")</f>
        <v>0</v>
      </c>
      <c r="M355" s="318">
        <f>IF(E355=Data!R367,Data!AJ367,"")</f>
        <v>0</v>
      </c>
      <c r="N355" s="437" t="str">
        <f>IF(AND(Data!R367&lt;&gt;"",Data!L367="Accepté"),Data!K367,"")</f>
        <v/>
      </c>
    </row>
    <row r="356" spans="1:14" hidden="1" x14ac:dyDescent="0.3">
      <c r="A356" s="393" t="str">
        <f>IF(AND(Data!R356&lt;&gt;"",Data!L356="Accepté"),Data!G356,"")</f>
        <v/>
      </c>
      <c r="B356" s="393" t="str">
        <f>IF(AND(Data!R356&lt;&gt;"",Data!L356="Accepté"),Data!L356,"")</f>
        <v/>
      </c>
      <c r="C356" s="391" t="str">
        <f t="shared" si="12"/>
        <v/>
      </c>
      <c r="D356" s="392" t="str">
        <f>IF(AND(Data!Q356&lt;&gt;"",Data!L356="Accepté"),Data!Q356,"")</f>
        <v/>
      </c>
      <c r="E356" s="237" t="str">
        <f>IF(AND(Data!R356&lt;&gt;"",Data!L356="Accepté"),Data!R356,"")</f>
        <v/>
      </c>
      <c r="F356" s="326" t="str">
        <f>IF(AND(Data!R356&lt;&gt;"",Data!L356="Accepté"),Data!S356,"")</f>
        <v/>
      </c>
      <c r="G356" s="322">
        <f>IF(Data!R356='Delivery Plan'!E356,Data!U356,"")</f>
        <v>0</v>
      </c>
      <c r="H356" s="259"/>
      <c r="I356" s="391" t="str">
        <f t="shared" si="13"/>
        <v/>
      </c>
      <c r="J356" s="392" t="str">
        <f>IF(AND(E356=Data!R356,Data!AA356&lt;&gt;""),Data!AA356,"")</f>
        <v/>
      </c>
      <c r="K356" s="313" t="str">
        <f>IF(AND(E356=Data!R356,Data!AE356&lt;&gt;""),Data!AE356,"")</f>
        <v/>
      </c>
      <c r="L356" s="318">
        <f>IF(E356=Data!R368,Data!AI368,"")</f>
        <v>0</v>
      </c>
      <c r="M356" s="318">
        <f>IF(E356=Data!R368,Data!AJ368,"")</f>
        <v>0</v>
      </c>
      <c r="N356" s="437" t="str">
        <f>IF(AND(Data!R368&lt;&gt;"",Data!L368="Accepté"),Data!K368,"")</f>
        <v/>
      </c>
    </row>
    <row r="357" spans="1:14" hidden="1" x14ac:dyDescent="0.3">
      <c r="A357" s="393" t="str">
        <f>IF(AND(Data!R357&lt;&gt;"",Data!L357="Accepté"),Data!G357,"")</f>
        <v/>
      </c>
      <c r="B357" s="393" t="str">
        <f>IF(AND(Data!R357&lt;&gt;"",Data!L357="Accepté"),Data!L357,"")</f>
        <v/>
      </c>
      <c r="C357" s="391" t="str">
        <f t="shared" si="12"/>
        <v/>
      </c>
      <c r="D357" s="392" t="str">
        <f>IF(AND(Data!Q357&lt;&gt;"",Data!L357="Accepté"),Data!Q357,"")</f>
        <v/>
      </c>
      <c r="E357" s="237" t="str">
        <f>IF(AND(Data!R357&lt;&gt;"",Data!L357="Accepté"),Data!R357,"")</f>
        <v/>
      </c>
      <c r="F357" s="326" t="str">
        <f>IF(AND(Data!R357&lt;&gt;"",Data!L357="Accepté"),Data!S357,"")</f>
        <v/>
      </c>
      <c r="G357" s="322">
        <f>IF(Data!R357='Delivery Plan'!E357,Data!U357,"")</f>
        <v>0</v>
      </c>
      <c r="H357" s="259"/>
      <c r="I357" s="391" t="str">
        <f t="shared" si="13"/>
        <v/>
      </c>
      <c r="J357" s="392" t="str">
        <f>IF(AND(E357=Data!R357,Data!AA357&lt;&gt;""),Data!AA357,"")</f>
        <v/>
      </c>
      <c r="K357" s="313" t="str">
        <f>IF(AND(E357=Data!R357,Data!AE357&lt;&gt;""),Data!AE357,"")</f>
        <v/>
      </c>
      <c r="L357" s="318">
        <f>IF(E357=Data!R369,Data!AI369,"")</f>
        <v>0</v>
      </c>
      <c r="M357" s="318">
        <f>IF(E357=Data!R369,Data!AJ369,"")</f>
        <v>0</v>
      </c>
      <c r="N357" s="437" t="str">
        <f>IF(AND(Data!R369&lt;&gt;"",Data!L369="Accepté"),Data!K369,"")</f>
        <v/>
      </c>
    </row>
    <row r="358" spans="1:14" hidden="1" x14ac:dyDescent="0.3">
      <c r="A358" s="393" t="str">
        <f>IF(AND(Data!R358&lt;&gt;"",Data!L358="Accepté"),Data!G358,"")</f>
        <v/>
      </c>
      <c r="B358" s="393" t="str">
        <f>IF(AND(Data!R358&lt;&gt;"",Data!L358="Accepté"),Data!L358,"")</f>
        <v/>
      </c>
      <c r="C358" s="391" t="str">
        <f t="shared" si="12"/>
        <v/>
      </c>
      <c r="D358" s="392" t="str">
        <f>IF(AND(Data!Q358&lt;&gt;"",Data!L358="Accepté"),Data!Q358,"")</f>
        <v/>
      </c>
      <c r="E358" s="237" t="str">
        <f>IF(AND(Data!R358&lt;&gt;"",Data!L358="Accepté"),Data!R358,"")</f>
        <v/>
      </c>
      <c r="F358" s="326" t="str">
        <f>IF(AND(Data!R358&lt;&gt;"",Data!L358="Accepté"),Data!S358,"")</f>
        <v/>
      </c>
      <c r="G358" s="322">
        <f>IF(Data!R358='Delivery Plan'!E358,Data!U358,"")</f>
        <v>0</v>
      </c>
      <c r="H358" s="259"/>
      <c r="I358" s="391" t="str">
        <f t="shared" si="13"/>
        <v/>
      </c>
      <c r="J358" s="392" t="str">
        <f>IF(AND(E358=Data!R358,Data!AA358&lt;&gt;""),Data!AA358,"")</f>
        <v/>
      </c>
      <c r="K358" s="313" t="str">
        <f>IF(AND(E358=Data!R358,Data!AE358&lt;&gt;""),Data!AE358,"")</f>
        <v/>
      </c>
      <c r="L358" s="318">
        <f>IF(E358=Data!R370,Data!AI370,"")</f>
        <v>0</v>
      </c>
      <c r="M358" s="318">
        <f>IF(E358=Data!R370,Data!AJ370,"")</f>
        <v>0</v>
      </c>
      <c r="N358" s="437" t="str">
        <f>IF(AND(Data!R370&lt;&gt;"",Data!L370="Accepté"),Data!K370,"")</f>
        <v/>
      </c>
    </row>
    <row r="359" spans="1:14" hidden="1" x14ac:dyDescent="0.3">
      <c r="A359" s="393" t="str">
        <f>IF(AND(Data!R359&lt;&gt;"",Data!L359="Accepté"),Data!G359,"")</f>
        <v/>
      </c>
      <c r="B359" s="393" t="str">
        <f>IF(AND(Data!R359&lt;&gt;"",Data!L359="Accepté"),Data!L359,"")</f>
        <v/>
      </c>
      <c r="C359" s="391" t="str">
        <f t="shared" si="12"/>
        <v/>
      </c>
      <c r="D359" s="392" t="str">
        <f>IF(AND(Data!Q359&lt;&gt;"",Data!L359="Accepté"),Data!Q359,"")</f>
        <v/>
      </c>
      <c r="E359" s="237" t="str">
        <f>IF(AND(Data!R359&lt;&gt;"",Data!L359="Accepté"),Data!R359,"")</f>
        <v/>
      </c>
      <c r="F359" s="326" t="str">
        <f>IF(AND(Data!R359&lt;&gt;"",Data!L359="Accepté"),Data!S359,"")</f>
        <v/>
      </c>
      <c r="G359" s="322">
        <f>IF(Data!R359='Delivery Plan'!E359,Data!U359,"")</f>
        <v>0</v>
      </c>
      <c r="H359" s="259"/>
      <c r="I359" s="391" t="str">
        <f t="shared" si="13"/>
        <v/>
      </c>
      <c r="J359" s="392" t="str">
        <f>IF(AND(E359=Data!R359,Data!AA359&lt;&gt;""),Data!AA359,"")</f>
        <v/>
      </c>
      <c r="K359" s="313" t="str">
        <f>IF(AND(E359=Data!R359,Data!AE359&lt;&gt;""),Data!AE359,"")</f>
        <v/>
      </c>
      <c r="L359" s="318">
        <f>IF(E359=Data!R371,Data!AI371,"")</f>
        <v>0</v>
      </c>
      <c r="M359" s="318">
        <f>IF(E359=Data!R371,Data!AJ371,"")</f>
        <v>0</v>
      </c>
      <c r="N359" s="437" t="str">
        <f>IF(AND(Data!R371&lt;&gt;"",Data!L371="Accepté"),Data!K371,"")</f>
        <v/>
      </c>
    </row>
    <row r="360" spans="1:14" hidden="1" x14ac:dyDescent="0.3">
      <c r="A360" s="393" t="str">
        <f>IF(AND(Data!R360&lt;&gt;"",Data!L360="Accepté"),Data!G360,"")</f>
        <v/>
      </c>
      <c r="B360" s="393" t="str">
        <f>IF(AND(Data!R360&lt;&gt;"",Data!L360="Accepté"),Data!L360,"")</f>
        <v/>
      </c>
      <c r="C360" s="391" t="str">
        <f t="shared" si="12"/>
        <v/>
      </c>
      <c r="D360" s="392" t="str">
        <f>IF(AND(Data!Q360&lt;&gt;"",Data!L360="Accepté"),Data!Q360,"")</f>
        <v/>
      </c>
      <c r="E360" s="237" t="str">
        <f>IF(AND(Data!R360&lt;&gt;"",Data!L360="Accepté"),Data!R360,"")</f>
        <v/>
      </c>
      <c r="F360" s="326" t="str">
        <f>IF(AND(Data!R360&lt;&gt;"",Data!L360="Accepté"),Data!S360,"")</f>
        <v/>
      </c>
      <c r="G360" s="322">
        <f>IF(Data!R360='Delivery Plan'!E360,Data!U360,"")</f>
        <v>0</v>
      </c>
      <c r="H360" s="259"/>
      <c r="I360" s="391" t="str">
        <f t="shared" si="13"/>
        <v/>
      </c>
      <c r="J360" s="392" t="str">
        <f>IF(AND(E360=Data!R360,Data!AA360&lt;&gt;""),Data!AA360,"")</f>
        <v/>
      </c>
      <c r="K360" s="313" t="str">
        <f>IF(AND(E360=Data!R360,Data!AE360&lt;&gt;""),Data!AE360,"")</f>
        <v/>
      </c>
      <c r="L360" s="318">
        <f>IF(E360=Data!R372,Data!AI372,"")</f>
        <v>0</v>
      </c>
      <c r="M360" s="318">
        <f>IF(E360=Data!R372,Data!AJ372,"")</f>
        <v>0</v>
      </c>
      <c r="N360" s="437" t="str">
        <f>IF(AND(Data!R372&lt;&gt;"",Data!L372="Accepté"),Data!K372,"")</f>
        <v/>
      </c>
    </row>
    <row r="361" spans="1:14" hidden="1" x14ac:dyDescent="0.3">
      <c r="A361" s="393" t="str">
        <f>IF(AND(Data!R361&lt;&gt;"",Data!L361="Accepté"),Data!G361,"")</f>
        <v/>
      </c>
      <c r="B361" s="393" t="str">
        <f>IF(AND(Data!R361&lt;&gt;"",Data!L361="Accepté"),Data!L361,"")</f>
        <v/>
      </c>
      <c r="C361" s="391" t="str">
        <f t="shared" si="12"/>
        <v/>
      </c>
      <c r="D361" s="392" t="str">
        <f>IF(AND(Data!Q361&lt;&gt;"",Data!L361="Accepté"),Data!Q361,"")</f>
        <v/>
      </c>
      <c r="E361" s="237" t="str">
        <f>IF(AND(Data!R361&lt;&gt;"",Data!L361="Accepté"),Data!R361,"")</f>
        <v/>
      </c>
      <c r="F361" s="326" t="str">
        <f>IF(AND(Data!R361&lt;&gt;"",Data!L361="Accepté"),Data!S361,"")</f>
        <v/>
      </c>
      <c r="G361" s="322">
        <f>IF(Data!R361='Delivery Plan'!E361,Data!U361,"")</f>
        <v>0</v>
      </c>
      <c r="H361" s="259"/>
      <c r="I361" s="391" t="str">
        <f t="shared" si="13"/>
        <v/>
      </c>
      <c r="J361" s="392" t="str">
        <f>IF(AND(E361=Data!R361,Data!AA361&lt;&gt;""),Data!AA361,"")</f>
        <v/>
      </c>
      <c r="K361" s="313" t="str">
        <f>IF(AND(E361=Data!R361,Data!AE361&lt;&gt;""),Data!AE361,"")</f>
        <v/>
      </c>
      <c r="L361" s="318">
        <f>IF(E361=Data!R373,Data!AI373,"")</f>
        <v>0</v>
      </c>
      <c r="M361" s="318">
        <f>IF(E361=Data!R373,Data!AJ373,"")</f>
        <v>0</v>
      </c>
      <c r="N361" s="437" t="str">
        <f>IF(AND(Data!R373&lt;&gt;"",Data!L373="Accepté"),Data!K373,"")</f>
        <v/>
      </c>
    </row>
    <row r="362" spans="1:14" hidden="1" x14ac:dyDescent="0.3">
      <c r="A362" s="393" t="str">
        <f>IF(AND(Data!R362&lt;&gt;"",Data!L362="Accepté"),Data!G362,"")</f>
        <v/>
      </c>
      <c r="B362" s="393" t="str">
        <f>IF(AND(Data!R362&lt;&gt;"",Data!L362="Accepté"),Data!L362,"")</f>
        <v/>
      </c>
      <c r="C362" s="391" t="str">
        <f t="shared" si="12"/>
        <v/>
      </c>
      <c r="D362" s="392" t="str">
        <f>IF(AND(Data!Q362&lt;&gt;"",Data!L362="Accepté"),Data!Q362,"")</f>
        <v/>
      </c>
      <c r="E362" s="237" t="str">
        <f>IF(AND(Data!R362&lt;&gt;"",Data!L362="Accepté"),Data!R362,"")</f>
        <v/>
      </c>
      <c r="F362" s="326" t="str">
        <f>IF(AND(Data!R362&lt;&gt;"",Data!L362="Accepté"),Data!S362,"")</f>
        <v/>
      </c>
      <c r="G362" s="322">
        <f>IF(Data!R362='Delivery Plan'!E362,Data!U362,"")</f>
        <v>0</v>
      </c>
      <c r="H362" s="259"/>
      <c r="I362" s="391" t="str">
        <f t="shared" si="13"/>
        <v/>
      </c>
      <c r="J362" s="392" t="str">
        <f>IF(AND(E362=Data!R362,Data!AA362&lt;&gt;""),Data!AA362,"")</f>
        <v/>
      </c>
      <c r="K362" s="313" t="str">
        <f>IF(AND(E362=Data!R362,Data!AE362&lt;&gt;""),Data!AE362,"")</f>
        <v/>
      </c>
      <c r="L362" s="318">
        <f>IF(E362=Data!R374,Data!AI374,"")</f>
        <v>0</v>
      </c>
      <c r="M362" s="318">
        <f>IF(E362=Data!R374,Data!AJ374,"")</f>
        <v>0</v>
      </c>
      <c r="N362" s="437" t="str">
        <f>IF(AND(Data!R374&lt;&gt;"",Data!L374="Accepté"),Data!K374,"")</f>
        <v/>
      </c>
    </row>
    <row r="363" spans="1:14" hidden="1" x14ac:dyDescent="0.3">
      <c r="A363" s="393" t="str">
        <f>IF(AND(Data!R363&lt;&gt;"",Data!L363="Accepté"),Data!G363,"")</f>
        <v/>
      </c>
      <c r="B363" s="393" t="str">
        <f>IF(AND(Data!R363&lt;&gt;"",Data!L363="Accepté"),Data!L363,"")</f>
        <v/>
      </c>
      <c r="C363" s="391" t="str">
        <f t="shared" si="12"/>
        <v/>
      </c>
      <c r="D363" s="392" t="str">
        <f>IF(AND(Data!Q363&lt;&gt;"",Data!L363="Accepté"),Data!Q363,"")</f>
        <v/>
      </c>
      <c r="E363" s="237" t="str">
        <f>IF(AND(Data!R363&lt;&gt;"",Data!L363="Accepté"),Data!R363,"")</f>
        <v/>
      </c>
      <c r="F363" s="326" t="str">
        <f>IF(AND(Data!R363&lt;&gt;"",Data!L363="Accepté"),Data!S363,"")</f>
        <v/>
      </c>
      <c r="G363" s="322">
        <f>IF(Data!R363='Delivery Plan'!E363,Data!U363,"")</f>
        <v>0</v>
      </c>
      <c r="H363" s="259"/>
      <c r="I363" s="391" t="str">
        <f t="shared" si="13"/>
        <v/>
      </c>
      <c r="J363" s="392" t="str">
        <f>IF(AND(E363=Data!R363,Data!AA363&lt;&gt;""),Data!AA363,"")</f>
        <v/>
      </c>
      <c r="K363" s="313" t="str">
        <f>IF(AND(E363=Data!R363,Data!AE363&lt;&gt;""),Data!AE363,"")</f>
        <v/>
      </c>
      <c r="L363" s="318">
        <f>IF(E363=Data!R375,Data!AI375,"")</f>
        <v>0</v>
      </c>
      <c r="M363" s="318">
        <f>IF(E363=Data!R375,Data!AJ375,"")</f>
        <v>0</v>
      </c>
      <c r="N363" s="437" t="str">
        <f>IF(AND(Data!R375&lt;&gt;"",Data!L375="Accepté"),Data!K375,"")</f>
        <v/>
      </c>
    </row>
    <row r="364" spans="1:14" hidden="1" x14ac:dyDescent="0.3">
      <c r="A364" s="393" t="str">
        <f>IF(AND(Data!R364&lt;&gt;"",Data!L364="Accepté"),Data!G364,"")</f>
        <v/>
      </c>
      <c r="B364" s="393" t="str">
        <f>IF(AND(Data!R364&lt;&gt;"",Data!L364="Accepté"),Data!L364,"")</f>
        <v/>
      </c>
      <c r="C364" s="391" t="str">
        <f t="shared" si="12"/>
        <v/>
      </c>
      <c r="D364" s="392" t="str">
        <f>IF(AND(Data!Q364&lt;&gt;"",Data!L364="Accepté"),Data!Q364,"")</f>
        <v/>
      </c>
      <c r="E364" s="237" t="str">
        <f>IF(AND(Data!R364&lt;&gt;"",Data!L364="Accepté"),Data!R364,"")</f>
        <v/>
      </c>
      <c r="F364" s="326" t="str">
        <f>IF(AND(Data!R364&lt;&gt;"",Data!L364="Accepté"),Data!S364,"")</f>
        <v/>
      </c>
      <c r="G364" s="322">
        <f>IF(Data!R364='Delivery Plan'!E364,Data!U364,"")</f>
        <v>0</v>
      </c>
      <c r="H364" s="259"/>
      <c r="I364" s="391" t="str">
        <f t="shared" si="13"/>
        <v/>
      </c>
      <c r="J364" s="392" t="str">
        <f>IF(AND(E364=Data!R364,Data!AA364&lt;&gt;""),Data!AA364,"")</f>
        <v/>
      </c>
      <c r="K364" s="313" t="str">
        <f>IF(AND(E364=Data!R364,Data!AE364&lt;&gt;""),Data!AE364,"")</f>
        <v/>
      </c>
      <c r="L364" s="318">
        <f>IF(E364=Data!R376,Data!AI376,"")</f>
        <v>0</v>
      </c>
      <c r="M364" s="318">
        <f>IF(E364=Data!R376,Data!AJ376,"")</f>
        <v>0</v>
      </c>
      <c r="N364" s="437" t="str">
        <f>IF(AND(Data!R376&lt;&gt;"",Data!L376="Accepté"),Data!K376,"")</f>
        <v/>
      </c>
    </row>
    <row r="365" spans="1:14" hidden="1" x14ac:dyDescent="0.3">
      <c r="A365" s="393" t="str">
        <f>IF(AND(Data!R365&lt;&gt;"",Data!L365="Accepté"),Data!G365,"")</f>
        <v/>
      </c>
      <c r="B365" s="393" t="str">
        <f>IF(AND(Data!R365&lt;&gt;"",Data!L365="Accepté"),Data!L365,"")</f>
        <v/>
      </c>
      <c r="C365" s="391" t="str">
        <f t="shared" si="12"/>
        <v/>
      </c>
      <c r="D365" s="392" t="str">
        <f>IF(AND(Data!Q365&lt;&gt;"",Data!L365="Accepté"),Data!Q365,"")</f>
        <v/>
      </c>
      <c r="E365" s="237" t="str">
        <f>IF(AND(Data!R365&lt;&gt;"",Data!L365="Accepté"),Data!R365,"")</f>
        <v/>
      </c>
      <c r="F365" s="326" t="str">
        <f>IF(AND(Data!R365&lt;&gt;"",Data!L365="Accepté"),Data!S365,"")</f>
        <v/>
      </c>
      <c r="G365" s="322">
        <f>IF(Data!R365='Delivery Plan'!E365,Data!U365,"")</f>
        <v>0</v>
      </c>
      <c r="H365" s="259"/>
      <c r="I365" s="391" t="str">
        <f t="shared" si="13"/>
        <v/>
      </c>
      <c r="J365" s="392" t="str">
        <f>IF(AND(E365=Data!R365,Data!AA365&lt;&gt;""),Data!AA365,"")</f>
        <v/>
      </c>
      <c r="K365" s="313" t="str">
        <f>IF(AND(E365=Data!R365,Data!AE365&lt;&gt;""),Data!AE365,"")</f>
        <v/>
      </c>
      <c r="L365" s="318">
        <f>IF(E365=Data!R377,Data!AI377,"")</f>
        <v>0</v>
      </c>
      <c r="M365" s="318">
        <f>IF(E365=Data!R377,Data!AJ377,"")</f>
        <v>0</v>
      </c>
      <c r="N365" s="437" t="str">
        <f>IF(AND(Data!R377&lt;&gt;"",Data!L377="Accepté"),Data!K377,"")</f>
        <v/>
      </c>
    </row>
    <row r="366" spans="1:14" hidden="1" x14ac:dyDescent="0.3">
      <c r="A366" s="393" t="str">
        <f>IF(AND(Data!R366&lt;&gt;"",Data!L366="Accepté"),Data!G366,"")</f>
        <v/>
      </c>
      <c r="B366" s="393" t="str">
        <f>IF(AND(Data!R366&lt;&gt;"",Data!L366="Accepté"),Data!L366,"")</f>
        <v/>
      </c>
      <c r="C366" s="391" t="str">
        <f t="shared" si="12"/>
        <v/>
      </c>
      <c r="D366" s="392" t="str">
        <f>IF(AND(Data!Q366&lt;&gt;"",Data!L366="Accepté"),Data!Q366,"")</f>
        <v/>
      </c>
      <c r="E366" s="237" t="str">
        <f>IF(AND(Data!R366&lt;&gt;"",Data!L366="Accepté"),Data!R366,"")</f>
        <v/>
      </c>
      <c r="F366" s="326" t="str">
        <f>IF(AND(Data!R366&lt;&gt;"",Data!L366="Accepté"),Data!S366,"")</f>
        <v/>
      </c>
      <c r="G366" s="322">
        <f>IF(Data!R366='Delivery Plan'!E366,Data!U366,"")</f>
        <v>0</v>
      </c>
      <c r="H366" s="259"/>
      <c r="I366" s="391" t="str">
        <f t="shared" si="13"/>
        <v/>
      </c>
      <c r="J366" s="392" t="str">
        <f>IF(AND(E366=Data!R366,Data!AA366&lt;&gt;""),Data!AA366,"")</f>
        <v/>
      </c>
      <c r="K366" s="313" t="str">
        <f>IF(AND(E366=Data!R366,Data!AE366&lt;&gt;""),Data!AE366,"")</f>
        <v/>
      </c>
      <c r="L366" s="318">
        <f>IF(E366=Data!R378,Data!AI378,"")</f>
        <v>0</v>
      </c>
      <c r="M366" s="318">
        <f>IF(E366=Data!R378,Data!AJ378,"")</f>
        <v>0</v>
      </c>
      <c r="N366" s="437" t="str">
        <f>IF(AND(Data!R378&lt;&gt;"",Data!L378="Accepté"),Data!K378,"")</f>
        <v/>
      </c>
    </row>
    <row r="367" spans="1:14" hidden="1" x14ac:dyDescent="0.3">
      <c r="A367" s="393" t="str">
        <f>IF(AND(Data!R367&lt;&gt;"",Data!L367="Accepté"),Data!G367,"")</f>
        <v/>
      </c>
      <c r="B367" s="393" t="str">
        <f>IF(AND(Data!R367&lt;&gt;"",Data!L367="Accepté"),Data!L367,"")</f>
        <v/>
      </c>
      <c r="C367" s="391" t="str">
        <f t="shared" si="12"/>
        <v/>
      </c>
      <c r="D367" s="392" t="str">
        <f>IF(AND(Data!Q367&lt;&gt;"",Data!L367="Accepté"),Data!Q367,"")</f>
        <v/>
      </c>
      <c r="E367" s="237" t="str">
        <f>IF(AND(Data!R367&lt;&gt;"",Data!L367="Accepté"),Data!R367,"")</f>
        <v/>
      </c>
      <c r="F367" s="326" t="str">
        <f>IF(AND(Data!R367&lt;&gt;"",Data!L367="Accepté"),Data!S367,"")</f>
        <v/>
      </c>
      <c r="G367" s="322">
        <f>IF(Data!R367='Delivery Plan'!E367,Data!U367,"")</f>
        <v>0</v>
      </c>
      <c r="H367" s="259"/>
      <c r="I367" s="391" t="str">
        <f t="shared" si="13"/>
        <v/>
      </c>
      <c r="J367" s="392" t="str">
        <f>IF(AND(E367=Data!R367,Data!AA367&lt;&gt;""),Data!AA367,"")</f>
        <v/>
      </c>
      <c r="K367" s="313" t="str">
        <f>IF(AND(E367=Data!R367,Data!AE367&lt;&gt;""),Data!AE367,"")</f>
        <v/>
      </c>
      <c r="L367" s="318">
        <f>IF(E367=Data!R379,Data!AI379,"")</f>
        <v>0</v>
      </c>
      <c r="M367" s="318">
        <f>IF(E367=Data!R379,Data!AJ379,"")</f>
        <v>0</v>
      </c>
      <c r="N367" s="437" t="str">
        <f>IF(AND(Data!R379&lt;&gt;"",Data!L379="Accepté"),Data!K379,"")</f>
        <v/>
      </c>
    </row>
    <row r="368" spans="1:14" hidden="1" x14ac:dyDescent="0.3">
      <c r="A368" s="393" t="str">
        <f>IF(AND(Data!R368&lt;&gt;"",Data!L368="Accepté"),Data!G368,"")</f>
        <v/>
      </c>
      <c r="B368" s="393" t="str">
        <f>IF(AND(Data!R368&lt;&gt;"",Data!L368="Accepté"),Data!L368,"")</f>
        <v/>
      </c>
      <c r="C368" s="391" t="str">
        <f t="shared" si="12"/>
        <v/>
      </c>
      <c r="D368" s="392" t="str">
        <f>IF(AND(Data!Q368&lt;&gt;"",Data!L368="Accepté"),Data!Q368,"")</f>
        <v/>
      </c>
      <c r="E368" s="237" t="str">
        <f>IF(AND(Data!R368&lt;&gt;"",Data!L368="Accepté"),Data!R368,"")</f>
        <v/>
      </c>
      <c r="F368" s="326" t="str">
        <f>IF(AND(Data!R368&lt;&gt;"",Data!L368="Accepté"),Data!S368,"")</f>
        <v/>
      </c>
      <c r="G368" s="322">
        <f>IF(Data!R368='Delivery Plan'!E368,Data!U368,"")</f>
        <v>0</v>
      </c>
      <c r="H368" s="259"/>
      <c r="I368" s="391" t="str">
        <f t="shared" si="13"/>
        <v/>
      </c>
      <c r="J368" s="392" t="str">
        <f>IF(AND(E368=Data!R368,Data!AA368&lt;&gt;""),Data!AA368,"")</f>
        <v/>
      </c>
      <c r="K368" s="313" t="str">
        <f>IF(AND(E368=Data!R368,Data!AE368&lt;&gt;""),Data!AE368,"")</f>
        <v/>
      </c>
      <c r="L368" s="318">
        <f>IF(E368=Data!R380,Data!AI380,"")</f>
        <v>0</v>
      </c>
      <c r="M368" s="318">
        <f>IF(E368=Data!R380,Data!AJ380,"")</f>
        <v>0</v>
      </c>
      <c r="N368" s="437" t="str">
        <f>IF(AND(Data!R380&lt;&gt;"",Data!L380="Accepté"),Data!K380,"")</f>
        <v/>
      </c>
    </row>
    <row r="369" spans="1:14" hidden="1" x14ac:dyDescent="0.3">
      <c r="A369" s="393" t="str">
        <f>IF(AND(Data!R369&lt;&gt;"",Data!L369="Accepté"),Data!G369,"")</f>
        <v/>
      </c>
      <c r="B369" s="393" t="str">
        <f>IF(AND(Data!R369&lt;&gt;"",Data!L369="Accepté"),Data!L369,"")</f>
        <v/>
      </c>
      <c r="C369" s="391" t="str">
        <f t="shared" si="12"/>
        <v/>
      </c>
      <c r="D369" s="392" t="str">
        <f>IF(AND(Data!Q369&lt;&gt;"",Data!L369="Accepté"),Data!Q369,"")</f>
        <v/>
      </c>
      <c r="E369" s="237" t="str">
        <f>IF(AND(Data!R369&lt;&gt;"",Data!L369="Accepté"),Data!R369,"")</f>
        <v/>
      </c>
      <c r="F369" s="326" t="str">
        <f>IF(AND(Data!R369&lt;&gt;"",Data!L369="Accepté"),Data!S369,"")</f>
        <v/>
      </c>
      <c r="G369" s="322">
        <f>IF(Data!R369='Delivery Plan'!E369,Data!U369,"")</f>
        <v>0</v>
      </c>
      <c r="H369" s="259"/>
      <c r="I369" s="391" t="str">
        <f t="shared" si="13"/>
        <v/>
      </c>
      <c r="J369" s="392" t="str">
        <f>IF(AND(E369=Data!R369,Data!AA369&lt;&gt;""),Data!AA369,"")</f>
        <v/>
      </c>
      <c r="K369" s="313" t="str">
        <f>IF(AND(E369=Data!R369,Data!AE369&lt;&gt;""),Data!AE369,"")</f>
        <v/>
      </c>
      <c r="L369" s="318">
        <f>IF(E369=Data!R381,Data!AI381,"")</f>
        <v>0</v>
      </c>
      <c r="M369" s="318">
        <f>IF(E369=Data!R381,Data!AJ381,"")</f>
        <v>0</v>
      </c>
      <c r="N369" s="437" t="str">
        <f>IF(AND(Data!R381&lt;&gt;"",Data!L381="Accepté"),Data!K381,"")</f>
        <v/>
      </c>
    </row>
    <row r="370" spans="1:14" hidden="1" x14ac:dyDescent="0.3">
      <c r="A370" s="393" t="str">
        <f>IF(AND(Data!R370&lt;&gt;"",Data!L370="Accepté"),Data!G370,"")</f>
        <v/>
      </c>
      <c r="B370" s="393" t="str">
        <f>IF(AND(Data!R370&lt;&gt;"",Data!L370="Accepté"),Data!L370,"")</f>
        <v/>
      </c>
      <c r="C370" s="391" t="str">
        <f t="shared" si="12"/>
        <v/>
      </c>
      <c r="D370" s="392" t="str">
        <f>IF(AND(Data!Q370&lt;&gt;"",Data!L370="Accepté"),Data!Q370,"")</f>
        <v/>
      </c>
      <c r="E370" s="237" t="str">
        <f>IF(AND(Data!R370&lt;&gt;"",Data!L370="Accepté"),Data!R370,"")</f>
        <v/>
      </c>
      <c r="F370" s="326" t="str">
        <f>IF(AND(Data!R370&lt;&gt;"",Data!L370="Accepté"),Data!S370,"")</f>
        <v/>
      </c>
      <c r="G370" s="322">
        <f>IF(Data!R370='Delivery Plan'!E370,Data!U370,"")</f>
        <v>0</v>
      </c>
      <c r="H370" s="259"/>
      <c r="I370" s="391" t="str">
        <f t="shared" si="13"/>
        <v/>
      </c>
      <c r="J370" s="392" t="str">
        <f>IF(AND(E370=Data!R370,Data!AA370&lt;&gt;""),Data!AA370,"")</f>
        <v/>
      </c>
      <c r="K370" s="313" t="str">
        <f>IF(AND(E370=Data!R370,Data!AE370&lt;&gt;""),Data!AE370,"")</f>
        <v/>
      </c>
      <c r="L370" s="318">
        <f>IF(E370=Data!R382,Data!AI382,"")</f>
        <v>0</v>
      </c>
      <c r="M370" s="318">
        <f>IF(E370=Data!R382,Data!AJ382,"")</f>
        <v>0</v>
      </c>
      <c r="N370" s="437" t="str">
        <f>IF(AND(Data!R382&lt;&gt;"",Data!L382="Accepté"),Data!K382,"")</f>
        <v/>
      </c>
    </row>
    <row r="371" spans="1:14" hidden="1" x14ac:dyDescent="0.3">
      <c r="A371" s="393" t="str">
        <f>IF(AND(Data!R371&lt;&gt;"",Data!L371="Accepté"),Data!G371,"")</f>
        <v/>
      </c>
      <c r="B371" s="393" t="str">
        <f>IF(AND(Data!R371&lt;&gt;"",Data!L371="Accepté"),Data!L371,"")</f>
        <v/>
      </c>
      <c r="C371" s="391" t="str">
        <f t="shared" si="12"/>
        <v/>
      </c>
      <c r="D371" s="392" t="str">
        <f>IF(AND(Data!Q371&lt;&gt;"",Data!L371="Accepté"),Data!Q371,"")</f>
        <v/>
      </c>
      <c r="E371" s="237" t="str">
        <f>IF(AND(Data!R371&lt;&gt;"",Data!L371="Accepté"),Data!R371,"")</f>
        <v/>
      </c>
      <c r="F371" s="326" t="str">
        <f>IF(AND(Data!R371&lt;&gt;"",Data!L371="Accepté"),Data!S371,"")</f>
        <v/>
      </c>
      <c r="G371" s="322">
        <f>IF(Data!R371='Delivery Plan'!E371,Data!U371,"")</f>
        <v>0</v>
      </c>
      <c r="H371" s="259"/>
      <c r="I371" s="391" t="str">
        <f t="shared" si="13"/>
        <v/>
      </c>
      <c r="J371" s="392" t="str">
        <f>IF(AND(E371=Data!R371,Data!AA371&lt;&gt;""),Data!AA371,"")</f>
        <v/>
      </c>
      <c r="K371" s="313" t="str">
        <f>IF(AND(E371=Data!R371,Data!AE371&lt;&gt;""),Data!AE371,"")</f>
        <v/>
      </c>
      <c r="L371" s="318">
        <f>IF(E371=Data!R383,Data!AI383,"")</f>
        <v>0</v>
      </c>
      <c r="M371" s="318">
        <f>IF(E371=Data!R383,Data!AJ383,"")</f>
        <v>0</v>
      </c>
      <c r="N371" s="437" t="str">
        <f>IF(AND(Data!R383&lt;&gt;"",Data!L383="Accepté"),Data!K383,"")</f>
        <v/>
      </c>
    </row>
    <row r="372" spans="1:14" hidden="1" x14ac:dyDescent="0.3">
      <c r="A372" s="393" t="str">
        <f>IF(AND(Data!R372&lt;&gt;"",Data!L372="Accepté"),Data!G372,"")</f>
        <v/>
      </c>
      <c r="B372" s="393" t="str">
        <f>IF(AND(Data!R372&lt;&gt;"",Data!L372="Accepté"),Data!L372,"")</f>
        <v/>
      </c>
      <c r="C372" s="391" t="str">
        <f t="shared" si="12"/>
        <v/>
      </c>
      <c r="D372" s="392" t="str">
        <f>IF(AND(Data!Q372&lt;&gt;"",Data!L372="Accepté"),Data!Q372,"")</f>
        <v/>
      </c>
      <c r="E372" s="237" t="str">
        <f>IF(AND(Data!R372&lt;&gt;"",Data!L372="Accepté"),Data!R372,"")</f>
        <v/>
      </c>
      <c r="F372" s="326" t="str">
        <f>IF(AND(Data!R372&lt;&gt;"",Data!L372="Accepté"),Data!S372,"")</f>
        <v/>
      </c>
      <c r="G372" s="322">
        <f>IF(Data!R372='Delivery Plan'!E372,Data!U372,"")</f>
        <v>0</v>
      </c>
      <c r="H372" s="259"/>
      <c r="I372" s="391" t="str">
        <f t="shared" si="13"/>
        <v/>
      </c>
      <c r="J372" s="392" t="str">
        <f>IF(AND(E372=Data!R372,Data!AA372&lt;&gt;""),Data!AA372,"")</f>
        <v/>
      </c>
      <c r="K372" s="313" t="str">
        <f>IF(AND(E372=Data!R372,Data!AE372&lt;&gt;""),Data!AE372,"")</f>
        <v/>
      </c>
      <c r="L372" s="318">
        <f>IF(E372=Data!R384,Data!AI384,"")</f>
        <v>0</v>
      </c>
      <c r="M372" s="318">
        <f>IF(E372=Data!R384,Data!AJ384,"")</f>
        <v>0</v>
      </c>
      <c r="N372" s="437" t="str">
        <f>IF(AND(Data!R384&lt;&gt;"",Data!L384="Accepté"),Data!K384,"")</f>
        <v/>
      </c>
    </row>
    <row r="373" spans="1:14" hidden="1" x14ac:dyDescent="0.3">
      <c r="A373" s="393" t="str">
        <f>IF(AND(Data!R373&lt;&gt;"",Data!L373="Accepté"),Data!G373,"")</f>
        <v/>
      </c>
      <c r="B373" s="393" t="str">
        <f>IF(AND(Data!R373&lt;&gt;"",Data!L373="Accepté"),Data!L373,"")</f>
        <v/>
      </c>
      <c r="C373" s="391" t="str">
        <f t="shared" si="12"/>
        <v/>
      </c>
      <c r="D373" s="392" t="str">
        <f>IF(AND(Data!Q373&lt;&gt;"",Data!L373="Accepté"),Data!Q373,"")</f>
        <v/>
      </c>
      <c r="E373" s="237" t="str">
        <f>IF(AND(Data!R373&lt;&gt;"",Data!L373="Accepté"),Data!R373,"")</f>
        <v/>
      </c>
      <c r="F373" s="326" t="str">
        <f>IF(AND(Data!R373&lt;&gt;"",Data!L373="Accepté"),Data!S373,"")</f>
        <v/>
      </c>
      <c r="G373" s="322">
        <f>IF(Data!R373='Delivery Plan'!E373,Data!U373,"")</f>
        <v>0</v>
      </c>
      <c r="H373" s="259"/>
      <c r="I373" s="391" t="str">
        <f t="shared" si="13"/>
        <v/>
      </c>
      <c r="J373" s="392" t="str">
        <f>IF(AND(E373=Data!R373,Data!AA373&lt;&gt;""),Data!AA373,"")</f>
        <v/>
      </c>
      <c r="K373" s="313" t="str">
        <f>IF(AND(E373=Data!R373,Data!AE373&lt;&gt;""),Data!AE373,"")</f>
        <v/>
      </c>
      <c r="L373" s="318">
        <f>IF(E373=Data!R385,Data!AI385,"")</f>
        <v>0</v>
      </c>
      <c r="M373" s="318">
        <f>IF(E373=Data!R385,Data!AJ385,"")</f>
        <v>0</v>
      </c>
      <c r="N373" s="437" t="str">
        <f>IF(AND(Data!R385&lt;&gt;"",Data!L385="Accepté"),Data!K385,"")</f>
        <v/>
      </c>
    </row>
    <row r="374" spans="1:14" hidden="1" x14ac:dyDescent="0.3">
      <c r="A374" s="393" t="str">
        <f>IF(AND(Data!R374&lt;&gt;"",Data!L374="Accepté"),Data!G374,"")</f>
        <v/>
      </c>
      <c r="B374" s="393" t="str">
        <f>IF(AND(Data!R374&lt;&gt;"",Data!L374="Accepté"),Data!L374,"")</f>
        <v/>
      </c>
      <c r="C374" s="391" t="str">
        <f t="shared" si="12"/>
        <v/>
      </c>
      <c r="D374" s="392" t="str">
        <f>IF(AND(Data!Q374&lt;&gt;"",Data!L374="Accepté"),Data!Q374,"")</f>
        <v/>
      </c>
      <c r="E374" s="237" t="str">
        <f>IF(AND(Data!R374&lt;&gt;"",Data!L374="Accepté"),Data!R374,"")</f>
        <v/>
      </c>
      <c r="F374" s="326" t="str">
        <f>IF(AND(Data!R374&lt;&gt;"",Data!L374="Accepté"),Data!S374,"")</f>
        <v/>
      </c>
      <c r="G374" s="322">
        <f>IF(Data!R374='Delivery Plan'!E374,Data!U374,"")</f>
        <v>0</v>
      </c>
      <c r="H374" s="259"/>
      <c r="I374" s="391" t="str">
        <f t="shared" si="13"/>
        <v/>
      </c>
      <c r="J374" s="392" t="str">
        <f>IF(AND(E374=Data!R374,Data!AA374&lt;&gt;""),Data!AA374,"")</f>
        <v/>
      </c>
      <c r="K374" s="313" t="str">
        <f>IF(AND(E374=Data!R374,Data!AE374&lt;&gt;""),Data!AE374,"")</f>
        <v/>
      </c>
      <c r="L374" s="318">
        <f>IF(E374=Data!R386,Data!AI386,"")</f>
        <v>0</v>
      </c>
      <c r="M374" s="318">
        <f>IF(E374=Data!R386,Data!AJ386,"")</f>
        <v>0</v>
      </c>
      <c r="N374" s="437" t="str">
        <f>IF(AND(Data!R386&lt;&gt;"",Data!L386="Accepté"),Data!K386,"")</f>
        <v/>
      </c>
    </row>
    <row r="375" spans="1:14" hidden="1" x14ac:dyDescent="0.3">
      <c r="A375" s="393" t="str">
        <f>IF(AND(Data!R375&lt;&gt;"",Data!L375="Accepté"),Data!G375,"")</f>
        <v/>
      </c>
      <c r="B375" s="393" t="str">
        <f>IF(AND(Data!R375&lt;&gt;"",Data!L375="Accepté"),Data!L375,"")</f>
        <v/>
      </c>
      <c r="C375" s="391" t="str">
        <f t="shared" si="12"/>
        <v/>
      </c>
      <c r="D375" s="392" t="str">
        <f>IF(AND(Data!Q375&lt;&gt;"",Data!L375="Accepté"),Data!Q375,"")</f>
        <v/>
      </c>
      <c r="E375" s="237" t="str">
        <f>IF(AND(Data!R375&lt;&gt;"",Data!L375="Accepté"),Data!R375,"")</f>
        <v/>
      </c>
      <c r="F375" s="326" t="str">
        <f>IF(AND(Data!R375&lt;&gt;"",Data!L375="Accepté"),Data!S375,"")</f>
        <v/>
      </c>
      <c r="G375" s="322">
        <f>IF(Data!R375='Delivery Plan'!E375,Data!U375,"")</f>
        <v>0</v>
      </c>
      <c r="H375" s="259"/>
      <c r="I375" s="391" t="str">
        <f t="shared" si="13"/>
        <v/>
      </c>
      <c r="J375" s="392" t="str">
        <f>IF(AND(E375=Data!R375,Data!AA375&lt;&gt;""),Data!AA375,"")</f>
        <v/>
      </c>
      <c r="K375" s="313" t="str">
        <f>IF(AND(E375=Data!R375,Data!AE375&lt;&gt;""),Data!AE375,"")</f>
        <v/>
      </c>
      <c r="L375" s="318">
        <f>IF(E375=Data!R387,Data!AI387,"")</f>
        <v>0</v>
      </c>
      <c r="M375" s="318">
        <f>IF(E375=Data!R387,Data!AJ387,"")</f>
        <v>0</v>
      </c>
      <c r="N375" s="437" t="str">
        <f>IF(AND(Data!R387&lt;&gt;"",Data!L387="Accepté"),Data!K387,"")</f>
        <v/>
      </c>
    </row>
    <row r="376" spans="1:14" hidden="1" x14ac:dyDescent="0.3">
      <c r="A376" s="393" t="str">
        <f>IF(AND(Data!R376&lt;&gt;"",Data!L376="Accepté"),Data!G376,"")</f>
        <v/>
      </c>
      <c r="B376" s="393" t="str">
        <f>IF(AND(Data!R376&lt;&gt;"",Data!L376="Accepté"),Data!L376,"")</f>
        <v/>
      </c>
      <c r="C376" s="391" t="str">
        <f t="shared" si="12"/>
        <v/>
      </c>
      <c r="D376" s="392" t="str">
        <f>IF(AND(Data!Q376&lt;&gt;"",Data!L376="Accepté"),Data!Q376,"")</f>
        <v/>
      </c>
      <c r="E376" s="237" t="str">
        <f>IF(AND(Data!R376&lt;&gt;"",Data!L376="Accepté"),Data!R376,"")</f>
        <v/>
      </c>
      <c r="F376" s="326" t="str">
        <f>IF(AND(Data!R376&lt;&gt;"",Data!L376="Accepté"),Data!S376,"")</f>
        <v/>
      </c>
      <c r="G376" s="322">
        <f>IF(Data!R376='Delivery Plan'!E376,Data!U376,"")</f>
        <v>0</v>
      </c>
      <c r="H376" s="259"/>
      <c r="I376" s="391" t="str">
        <f t="shared" si="13"/>
        <v/>
      </c>
      <c r="J376" s="392" t="str">
        <f>IF(AND(E376=Data!R376,Data!AA376&lt;&gt;""),Data!AA376,"")</f>
        <v/>
      </c>
      <c r="K376" s="313" t="str">
        <f>IF(AND(E376=Data!R376,Data!AE376&lt;&gt;""),Data!AE376,"")</f>
        <v/>
      </c>
      <c r="L376" s="318">
        <f>IF(E376=Data!R388,Data!AI388,"")</f>
        <v>0</v>
      </c>
      <c r="M376" s="318">
        <f>IF(E376=Data!R388,Data!AJ388,"")</f>
        <v>0</v>
      </c>
      <c r="N376" s="437" t="str">
        <f>IF(AND(Data!R388&lt;&gt;"",Data!L388="Accepté"),Data!K388,"")</f>
        <v/>
      </c>
    </row>
    <row r="377" spans="1:14" hidden="1" x14ac:dyDescent="0.3">
      <c r="A377" s="393" t="str">
        <f>IF(AND(Data!R377&lt;&gt;"",Data!L377="Accepté"),Data!G377,"")</f>
        <v/>
      </c>
      <c r="B377" s="393" t="str">
        <f>IF(AND(Data!R377&lt;&gt;"",Data!L377="Accepté"),Data!L377,"")</f>
        <v/>
      </c>
      <c r="C377" s="391" t="str">
        <f t="shared" si="12"/>
        <v/>
      </c>
      <c r="D377" s="392" t="str">
        <f>IF(AND(Data!Q377&lt;&gt;"",Data!L377="Accepté"),Data!Q377,"")</f>
        <v/>
      </c>
      <c r="E377" s="237" t="str">
        <f>IF(AND(Data!R377&lt;&gt;"",Data!L377="Accepté"),Data!R377,"")</f>
        <v/>
      </c>
      <c r="F377" s="326" t="str">
        <f>IF(AND(Data!R377&lt;&gt;"",Data!L377="Accepté"),Data!S377,"")</f>
        <v/>
      </c>
      <c r="G377" s="322">
        <f>IF(Data!R377='Delivery Plan'!E377,Data!U377,"")</f>
        <v>0</v>
      </c>
      <c r="H377" s="259"/>
      <c r="I377" s="391" t="str">
        <f t="shared" si="13"/>
        <v/>
      </c>
      <c r="J377" s="392" t="str">
        <f>IF(AND(E377=Data!R377,Data!AA377&lt;&gt;""),Data!AA377,"")</f>
        <v/>
      </c>
      <c r="K377" s="313" t="str">
        <f>IF(AND(E377=Data!R377,Data!AE377&lt;&gt;""),Data!AE377,"")</f>
        <v/>
      </c>
      <c r="L377" s="318">
        <f>IF(E377=Data!R389,Data!AI389,"")</f>
        <v>0</v>
      </c>
      <c r="M377" s="318">
        <f>IF(E377=Data!R389,Data!AJ389,"")</f>
        <v>0</v>
      </c>
      <c r="N377" s="437" t="str">
        <f>IF(AND(Data!R389&lt;&gt;"",Data!L389="Accepté"),Data!K389,"")</f>
        <v/>
      </c>
    </row>
    <row r="378" spans="1:14" hidden="1" x14ac:dyDescent="0.3">
      <c r="A378" s="393" t="str">
        <f>IF(AND(Data!R378&lt;&gt;"",Data!L378="Accepté"),Data!G378,"")</f>
        <v/>
      </c>
      <c r="B378" s="393" t="str">
        <f>IF(AND(Data!R378&lt;&gt;"",Data!L378="Accepté"),Data!L378,"")</f>
        <v/>
      </c>
      <c r="C378" s="391" t="str">
        <f t="shared" si="12"/>
        <v/>
      </c>
      <c r="D378" s="392" t="str">
        <f>IF(AND(Data!Q378&lt;&gt;"",Data!L378="Accepté"),Data!Q378,"")</f>
        <v/>
      </c>
      <c r="E378" s="237" t="str">
        <f>IF(AND(Data!R378&lt;&gt;"",Data!L378="Accepté"),Data!R378,"")</f>
        <v/>
      </c>
      <c r="F378" s="326" t="str">
        <f>IF(AND(Data!R378&lt;&gt;"",Data!L378="Accepté"),Data!S378,"")</f>
        <v/>
      </c>
      <c r="G378" s="322">
        <f>IF(Data!R378='Delivery Plan'!E378,Data!U378,"")</f>
        <v>0</v>
      </c>
      <c r="H378" s="259"/>
      <c r="I378" s="391" t="str">
        <f t="shared" si="13"/>
        <v/>
      </c>
      <c r="J378" s="392" t="str">
        <f>IF(AND(E378=Data!R378,Data!AA378&lt;&gt;""),Data!AA378,"")</f>
        <v/>
      </c>
      <c r="K378" s="313" t="str">
        <f>IF(AND(E378=Data!R378,Data!AE378&lt;&gt;""),Data!AE378,"")</f>
        <v/>
      </c>
      <c r="L378" s="318">
        <f>IF(E378=Data!R390,Data!AI390,"")</f>
        <v>0</v>
      </c>
      <c r="M378" s="318">
        <f>IF(E378=Data!R390,Data!AJ390,"")</f>
        <v>0</v>
      </c>
      <c r="N378" s="437" t="str">
        <f>IF(AND(Data!R390&lt;&gt;"",Data!L390="Accepté"),Data!K390,"")</f>
        <v/>
      </c>
    </row>
    <row r="379" spans="1:14" hidden="1" x14ac:dyDescent="0.3">
      <c r="A379" s="393" t="str">
        <f>IF(AND(Data!R379&lt;&gt;"",Data!L379="Accepté"),Data!G379,"")</f>
        <v/>
      </c>
      <c r="B379" s="393" t="str">
        <f>IF(AND(Data!R379&lt;&gt;"",Data!L379="Accepté"),Data!L379,"")</f>
        <v/>
      </c>
      <c r="C379" s="391" t="str">
        <f t="shared" si="12"/>
        <v/>
      </c>
      <c r="D379" s="392" t="str">
        <f>IF(AND(Data!Q379&lt;&gt;"",Data!L379="Accepté"),Data!Q379,"")</f>
        <v/>
      </c>
      <c r="E379" s="237" t="str">
        <f>IF(AND(Data!R379&lt;&gt;"",Data!L379="Accepté"),Data!R379,"")</f>
        <v/>
      </c>
      <c r="F379" s="326" t="str">
        <f>IF(AND(Data!R379&lt;&gt;"",Data!L379="Accepté"),Data!S379,"")</f>
        <v/>
      </c>
      <c r="G379" s="322">
        <f>IF(Data!R379='Delivery Plan'!E379,Data!U379,"")</f>
        <v>0</v>
      </c>
      <c r="H379" s="259"/>
      <c r="I379" s="391" t="str">
        <f t="shared" si="13"/>
        <v/>
      </c>
      <c r="J379" s="392" t="str">
        <f>IF(AND(E379=Data!R379,Data!AA379&lt;&gt;""),Data!AA379,"")</f>
        <v/>
      </c>
      <c r="K379" s="313" t="str">
        <f>IF(AND(E379=Data!R379,Data!AE379&lt;&gt;""),Data!AE379,"")</f>
        <v/>
      </c>
      <c r="L379" s="318">
        <f>IF(E379=Data!R391,Data!AI391,"")</f>
        <v>0</v>
      </c>
      <c r="M379" s="318">
        <f>IF(E379=Data!R391,Data!AJ391,"")</f>
        <v>0</v>
      </c>
      <c r="N379" s="437" t="str">
        <f>IF(AND(Data!R391&lt;&gt;"",Data!L391="Accepté"),Data!K391,"")</f>
        <v/>
      </c>
    </row>
    <row r="380" spans="1:14" hidden="1" x14ac:dyDescent="0.3">
      <c r="A380" s="393" t="str">
        <f>IF(AND(Data!R380&lt;&gt;"",Data!L380="Accepté"),Data!G380,"")</f>
        <v/>
      </c>
      <c r="B380" s="393" t="str">
        <f>IF(AND(Data!R380&lt;&gt;"",Data!L380="Accepté"),Data!L380,"")</f>
        <v/>
      </c>
      <c r="C380" s="391" t="str">
        <f t="shared" si="12"/>
        <v/>
      </c>
      <c r="D380" s="392" t="str">
        <f>IF(AND(Data!Q380&lt;&gt;"",Data!L380="Accepté"),Data!Q380,"")</f>
        <v/>
      </c>
      <c r="E380" s="237" t="str">
        <f>IF(AND(Data!R380&lt;&gt;"",Data!L380="Accepté"),Data!R380,"")</f>
        <v/>
      </c>
      <c r="F380" s="326" t="str">
        <f>IF(AND(Data!R380&lt;&gt;"",Data!L380="Accepté"),Data!S380,"")</f>
        <v/>
      </c>
      <c r="G380" s="322">
        <f>IF(Data!R380='Delivery Plan'!E380,Data!U380,"")</f>
        <v>0</v>
      </c>
      <c r="H380" s="259"/>
      <c r="I380" s="391" t="str">
        <f t="shared" si="13"/>
        <v/>
      </c>
      <c r="J380" s="392" t="str">
        <f>IF(AND(E380=Data!R380,Data!AA380&lt;&gt;""),Data!AA380,"")</f>
        <v/>
      </c>
      <c r="K380" s="313" t="str">
        <f>IF(AND(E380=Data!R380,Data!AE380&lt;&gt;""),Data!AE380,"")</f>
        <v/>
      </c>
      <c r="L380" s="318">
        <f>IF(E380=Data!R392,Data!AI392,"")</f>
        <v>0</v>
      </c>
      <c r="M380" s="318">
        <f>IF(E380=Data!R392,Data!AJ392,"")</f>
        <v>0</v>
      </c>
      <c r="N380" s="437" t="str">
        <f>IF(AND(Data!R392&lt;&gt;"",Data!L392="Accepté"),Data!K392,"")</f>
        <v/>
      </c>
    </row>
    <row r="381" spans="1:14" hidden="1" x14ac:dyDescent="0.3">
      <c r="A381" s="393" t="str">
        <f>IF(AND(Data!R381&lt;&gt;"",Data!L381="Accepté"),Data!G381,"")</f>
        <v/>
      </c>
      <c r="B381" s="393" t="str">
        <f>IF(AND(Data!R381&lt;&gt;"",Data!L381="Accepté"),Data!L381,"")</f>
        <v/>
      </c>
      <c r="C381" s="391" t="str">
        <f t="shared" si="12"/>
        <v/>
      </c>
      <c r="D381" s="392" t="str">
        <f>IF(AND(Data!Q381&lt;&gt;"",Data!L381="Accepté"),Data!Q381,"")</f>
        <v/>
      </c>
      <c r="E381" s="237" t="str">
        <f>IF(AND(Data!R381&lt;&gt;"",Data!L381="Accepté"),Data!R381,"")</f>
        <v/>
      </c>
      <c r="F381" s="326" t="str">
        <f>IF(AND(Data!R381&lt;&gt;"",Data!L381="Accepté"),Data!S381,"")</f>
        <v/>
      </c>
      <c r="G381" s="322">
        <f>IF(Data!R381='Delivery Plan'!E381,Data!U381,"")</f>
        <v>0</v>
      </c>
      <c r="H381" s="259"/>
      <c r="I381" s="391" t="str">
        <f t="shared" si="13"/>
        <v/>
      </c>
      <c r="J381" s="392" t="str">
        <f>IF(AND(E381=Data!R381,Data!AA381&lt;&gt;""),Data!AA381,"")</f>
        <v/>
      </c>
      <c r="K381" s="313" t="str">
        <f>IF(AND(E381=Data!R381,Data!AE381&lt;&gt;""),Data!AE381,"")</f>
        <v/>
      </c>
      <c r="L381" s="318">
        <f>IF(E381=Data!R393,Data!AI393,"")</f>
        <v>0</v>
      </c>
      <c r="M381" s="318">
        <f>IF(E381=Data!R393,Data!AJ393,"")</f>
        <v>0</v>
      </c>
      <c r="N381" s="437" t="str">
        <f>IF(AND(Data!R393&lt;&gt;"",Data!L393="Accepté"),Data!K393,"")</f>
        <v/>
      </c>
    </row>
    <row r="382" spans="1:14" hidden="1" x14ac:dyDescent="0.3">
      <c r="A382" s="393" t="str">
        <f>IF(AND(Data!R382&lt;&gt;"",Data!L382="Accepté"),Data!G382,"")</f>
        <v/>
      </c>
      <c r="B382" s="393" t="str">
        <f>IF(AND(Data!R382&lt;&gt;"",Data!L382="Accepté"),Data!L382,"")</f>
        <v/>
      </c>
      <c r="C382" s="391" t="str">
        <f t="shared" si="12"/>
        <v/>
      </c>
      <c r="D382" s="392" t="str">
        <f>IF(AND(Data!Q382&lt;&gt;"",Data!L382="Accepté"),Data!Q382,"")</f>
        <v/>
      </c>
      <c r="E382" s="237" t="str">
        <f>IF(AND(Data!R382&lt;&gt;"",Data!L382="Accepté"),Data!R382,"")</f>
        <v/>
      </c>
      <c r="F382" s="326" t="str">
        <f>IF(AND(Data!R382&lt;&gt;"",Data!L382="Accepté"),Data!S382,"")</f>
        <v/>
      </c>
      <c r="G382" s="322">
        <f>IF(Data!R382='Delivery Plan'!E382,Data!U382,"")</f>
        <v>0</v>
      </c>
      <c r="H382" s="259"/>
      <c r="I382" s="391" t="str">
        <f t="shared" si="13"/>
        <v/>
      </c>
      <c r="J382" s="392" t="str">
        <f>IF(AND(E382=Data!R382,Data!AA382&lt;&gt;""),Data!AA382,"")</f>
        <v/>
      </c>
      <c r="K382" s="313" t="str">
        <f>IF(AND(E382=Data!R382,Data!AE382&lt;&gt;""),Data!AE382,"")</f>
        <v/>
      </c>
      <c r="L382" s="318">
        <f>IF(E382=Data!R394,Data!AI394,"")</f>
        <v>0</v>
      </c>
      <c r="M382" s="318">
        <f>IF(E382=Data!R394,Data!AJ394,"")</f>
        <v>0</v>
      </c>
      <c r="N382" s="437" t="str">
        <f>IF(AND(Data!R394&lt;&gt;"",Data!L394="Accepté"),Data!K394,"")</f>
        <v/>
      </c>
    </row>
    <row r="383" spans="1:14" hidden="1" x14ac:dyDescent="0.3">
      <c r="A383" s="393" t="str">
        <f>IF(AND(Data!R383&lt;&gt;"",Data!L383="Accepté"),Data!G383,"")</f>
        <v/>
      </c>
      <c r="B383" s="393" t="str">
        <f>IF(AND(Data!R383&lt;&gt;"",Data!L383="Accepté"),Data!L383,"")</f>
        <v/>
      </c>
      <c r="C383" s="391" t="str">
        <f t="shared" si="12"/>
        <v/>
      </c>
      <c r="D383" s="392" t="str">
        <f>IF(AND(Data!Q383&lt;&gt;"",Data!L383="Accepté"),Data!Q383,"")</f>
        <v/>
      </c>
      <c r="E383" s="237" t="str">
        <f>IF(AND(Data!R383&lt;&gt;"",Data!L383="Accepté"),Data!R383,"")</f>
        <v/>
      </c>
      <c r="F383" s="326" t="str">
        <f>IF(AND(Data!R383&lt;&gt;"",Data!L383="Accepté"),Data!S383,"")</f>
        <v/>
      </c>
      <c r="G383" s="322">
        <f>IF(Data!R383='Delivery Plan'!E383,Data!U383,"")</f>
        <v>0</v>
      </c>
      <c r="H383" s="259"/>
      <c r="I383" s="391" t="str">
        <f t="shared" si="13"/>
        <v/>
      </c>
      <c r="J383" s="392" t="str">
        <f>IF(AND(E383=Data!R383,Data!AA383&lt;&gt;""),Data!AA383,"")</f>
        <v/>
      </c>
      <c r="K383" s="313" t="str">
        <f>IF(AND(E383=Data!R383,Data!AE383&lt;&gt;""),Data!AE383,"")</f>
        <v/>
      </c>
      <c r="L383" s="318">
        <f>IF(E383=Data!R395,Data!AI395,"")</f>
        <v>0</v>
      </c>
      <c r="M383" s="318">
        <f>IF(E383=Data!R395,Data!AJ395,"")</f>
        <v>0</v>
      </c>
      <c r="N383" s="437" t="str">
        <f>IF(AND(Data!R395&lt;&gt;"",Data!L395="Accepté"),Data!K395,"")</f>
        <v/>
      </c>
    </row>
    <row r="384" spans="1:14" hidden="1" x14ac:dyDescent="0.3">
      <c r="A384" s="393" t="str">
        <f>IF(AND(Data!R384&lt;&gt;"",Data!L384="Accepté"),Data!G384,"")</f>
        <v/>
      </c>
      <c r="B384" s="393" t="str">
        <f>IF(AND(Data!R384&lt;&gt;"",Data!L384="Accepté"),Data!L384,"")</f>
        <v/>
      </c>
      <c r="C384" s="391" t="str">
        <f t="shared" si="12"/>
        <v/>
      </c>
      <c r="D384" s="392" t="str">
        <f>IF(AND(Data!Q384&lt;&gt;"",Data!L384="Accepté"),Data!Q384,"")</f>
        <v/>
      </c>
      <c r="E384" s="237" t="str">
        <f>IF(AND(Data!R384&lt;&gt;"",Data!L384="Accepté"),Data!R384,"")</f>
        <v/>
      </c>
      <c r="F384" s="326" t="str">
        <f>IF(AND(Data!R384&lt;&gt;"",Data!L384="Accepté"),Data!S384,"")</f>
        <v/>
      </c>
      <c r="G384" s="322">
        <f>IF(Data!R384='Delivery Plan'!E384,Data!U384,"")</f>
        <v>0</v>
      </c>
      <c r="H384" s="259"/>
      <c r="I384" s="391" t="str">
        <f t="shared" si="13"/>
        <v/>
      </c>
      <c r="J384" s="392" t="str">
        <f>IF(AND(E384=Data!R384,Data!AA384&lt;&gt;""),Data!AA384,"")</f>
        <v/>
      </c>
      <c r="K384" s="313" t="str">
        <f>IF(AND(E384=Data!R384,Data!AE384&lt;&gt;""),Data!AE384,"")</f>
        <v/>
      </c>
      <c r="L384" s="318">
        <f>IF(E384=Data!R396,Data!AI396,"")</f>
        <v>0</v>
      </c>
      <c r="M384" s="318">
        <f>IF(E384=Data!R396,Data!AJ396,"")</f>
        <v>0</v>
      </c>
      <c r="N384" s="437" t="str">
        <f>IF(AND(Data!R396&lt;&gt;"",Data!L396="Accepté"),Data!K396,"")</f>
        <v/>
      </c>
    </row>
    <row r="385" spans="1:14" hidden="1" x14ac:dyDescent="0.3">
      <c r="A385" s="393" t="str">
        <f>IF(AND(Data!R385&lt;&gt;"",Data!L385="Accepté"),Data!G385,"")</f>
        <v/>
      </c>
      <c r="B385" s="393" t="str">
        <f>IF(AND(Data!R385&lt;&gt;"",Data!L385="Accepté"),Data!L385,"")</f>
        <v/>
      </c>
      <c r="C385" s="391" t="str">
        <f t="shared" si="12"/>
        <v/>
      </c>
      <c r="D385" s="392" t="str">
        <f>IF(AND(Data!Q385&lt;&gt;"",Data!L385="Accepté"),Data!Q385,"")</f>
        <v/>
      </c>
      <c r="E385" s="237" t="str">
        <f>IF(AND(Data!R385&lt;&gt;"",Data!L385="Accepté"),Data!R385,"")</f>
        <v/>
      </c>
      <c r="F385" s="326" t="str">
        <f>IF(AND(Data!R385&lt;&gt;"",Data!L385="Accepté"),Data!S385,"")</f>
        <v/>
      </c>
      <c r="G385" s="322">
        <f>IF(Data!R385='Delivery Plan'!E385,Data!U385,"")</f>
        <v>0</v>
      </c>
      <c r="H385" s="259"/>
      <c r="I385" s="391" t="str">
        <f t="shared" si="13"/>
        <v/>
      </c>
      <c r="J385" s="392" t="str">
        <f>IF(AND(E385=Data!R385,Data!AA385&lt;&gt;""),Data!AA385,"")</f>
        <v/>
      </c>
      <c r="K385" s="313" t="str">
        <f>IF(AND(E385=Data!R385,Data!AE385&lt;&gt;""),Data!AE385,"")</f>
        <v/>
      </c>
      <c r="L385" s="318">
        <f>IF(E385=Data!R397,Data!AI397,"")</f>
        <v>0</v>
      </c>
      <c r="M385" s="318">
        <f>IF(E385=Data!R397,Data!AJ397,"")</f>
        <v>0</v>
      </c>
      <c r="N385" s="437" t="str">
        <f>IF(AND(Data!R397&lt;&gt;"",Data!L397="Accepté"),Data!K397,"")</f>
        <v/>
      </c>
    </row>
    <row r="386" spans="1:14" hidden="1" x14ac:dyDescent="0.3">
      <c r="A386" s="393" t="str">
        <f>IF(AND(Data!R386&lt;&gt;"",Data!L386="Accepté"),Data!G386,"")</f>
        <v/>
      </c>
      <c r="B386" s="393" t="str">
        <f>IF(AND(Data!R386&lt;&gt;"",Data!L386="Accepté"),Data!L386,"")</f>
        <v/>
      </c>
      <c r="C386" s="391" t="str">
        <f t="shared" si="12"/>
        <v/>
      </c>
      <c r="D386" s="392" t="str">
        <f>IF(AND(Data!Q386&lt;&gt;"",Data!L386="Accepté"),Data!Q386,"")</f>
        <v/>
      </c>
      <c r="E386" s="237" t="str">
        <f>IF(AND(Data!R386&lt;&gt;"",Data!L386="Accepté"),Data!R386,"")</f>
        <v/>
      </c>
      <c r="F386" s="326" t="str">
        <f>IF(AND(Data!R386&lt;&gt;"",Data!L386="Accepté"),Data!S386,"")</f>
        <v/>
      </c>
      <c r="G386" s="322">
        <f>IF(Data!R386='Delivery Plan'!E386,Data!U386,"")</f>
        <v>0</v>
      </c>
      <c r="H386" s="259"/>
      <c r="I386" s="391" t="str">
        <f t="shared" si="13"/>
        <v/>
      </c>
      <c r="J386" s="392" t="str">
        <f>IF(AND(E386=Data!R386,Data!AA386&lt;&gt;""),Data!AA386,"")</f>
        <v/>
      </c>
      <c r="K386" s="313" t="str">
        <f>IF(AND(E386=Data!R386,Data!AE386&lt;&gt;""),Data!AE386,"")</f>
        <v/>
      </c>
      <c r="L386" s="318">
        <f>IF(E386=Data!R398,Data!AI398,"")</f>
        <v>0</v>
      </c>
      <c r="M386" s="318">
        <f>IF(E386=Data!R398,Data!AJ398,"")</f>
        <v>0</v>
      </c>
      <c r="N386" s="437" t="str">
        <f>IF(AND(Data!R398&lt;&gt;"",Data!L398="Accepté"),Data!K398,"")</f>
        <v/>
      </c>
    </row>
    <row r="387" spans="1:14" hidden="1" x14ac:dyDescent="0.3">
      <c r="A387" s="393" t="str">
        <f>IF(AND(Data!R387&lt;&gt;"",Data!L387="Accepté"),Data!G387,"")</f>
        <v/>
      </c>
      <c r="B387" s="393" t="str">
        <f>IF(AND(Data!R387&lt;&gt;"",Data!L387="Accepté"),Data!L387,"")</f>
        <v/>
      </c>
      <c r="C387" s="391" t="str">
        <f t="shared" si="12"/>
        <v/>
      </c>
      <c r="D387" s="392" t="str">
        <f>IF(AND(Data!Q387&lt;&gt;"",Data!L387="Accepté"),Data!Q387,"")</f>
        <v/>
      </c>
      <c r="E387" s="237" t="str">
        <f>IF(AND(Data!R387&lt;&gt;"",Data!L387="Accepté"),Data!R387,"")</f>
        <v/>
      </c>
      <c r="F387" s="326" t="str">
        <f>IF(AND(Data!R387&lt;&gt;"",Data!L387="Accepté"),Data!S387,"")</f>
        <v/>
      </c>
      <c r="G387" s="322">
        <f>IF(Data!R387='Delivery Plan'!E387,Data!U387,"")</f>
        <v>0</v>
      </c>
      <c r="H387" s="259"/>
      <c r="I387" s="391" t="str">
        <f t="shared" si="13"/>
        <v/>
      </c>
      <c r="J387" s="392" t="str">
        <f>IF(AND(E387=Data!R387,Data!AA387&lt;&gt;""),Data!AA387,"")</f>
        <v/>
      </c>
      <c r="K387" s="313" t="str">
        <f>IF(AND(E387=Data!R387,Data!AE387&lt;&gt;""),Data!AE387,"")</f>
        <v/>
      </c>
      <c r="L387" s="318">
        <f>IF(E387=Data!R399,Data!AI399,"")</f>
        <v>0</v>
      </c>
      <c r="M387" s="318">
        <f>IF(E387=Data!R399,Data!AJ399,"")</f>
        <v>0</v>
      </c>
      <c r="N387" s="437" t="str">
        <f>IF(AND(Data!R399&lt;&gt;"",Data!L399="Accepté"),Data!K399,"")</f>
        <v/>
      </c>
    </row>
    <row r="388" spans="1:14" hidden="1" x14ac:dyDescent="0.3">
      <c r="A388" s="393" t="str">
        <f>IF(AND(Data!R388&lt;&gt;"",Data!L388="Accepté"),Data!G388,"")</f>
        <v/>
      </c>
      <c r="B388" s="393" t="str">
        <f>IF(AND(Data!R388&lt;&gt;"",Data!L388="Accepté"),Data!L388,"")</f>
        <v/>
      </c>
      <c r="C388" s="391" t="str">
        <f t="shared" si="12"/>
        <v/>
      </c>
      <c r="D388" s="392" t="str">
        <f>IF(AND(Data!Q388&lt;&gt;"",Data!L388="Accepté"),Data!Q388,"")</f>
        <v/>
      </c>
      <c r="E388" s="237" t="str">
        <f>IF(AND(Data!R388&lt;&gt;"",Data!L388="Accepté"),Data!R388,"")</f>
        <v/>
      </c>
      <c r="F388" s="326" t="str">
        <f>IF(AND(Data!R388&lt;&gt;"",Data!L388="Accepté"),Data!S388,"")</f>
        <v/>
      </c>
      <c r="G388" s="322">
        <f>IF(Data!R388='Delivery Plan'!E388,Data!U388,"")</f>
        <v>0</v>
      </c>
      <c r="H388" s="259"/>
      <c r="I388" s="391" t="str">
        <f t="shared" si="13"/>
        <v/>
      </c>
      <c r="J388" s="392" t="str">
        <f>IF(AND(E388=Data!R388,Data!AA388&lt;&gt;""),Data!AA388,"")</f>
        <v/>
      </c>
      <c r="K388" s="313" t="str">
        <f>IF(AND(E388=Data!R388,Data!AE388&lt;&gt;""),Data!AE388,"")</f>
        <v/>
      </c>
      <c r="L388" s="318">
        <f>IF(E388=Data!R400,Data!AI400,"")</f>
        <v>0</v>
      </c>
      <c r="M388" s="318">
        <f>IF(E388=Data!R400,Data!AJ400,"")</f>
        <v>0</v>
      </c>
      <c r="N388" s="437" t="str">
        <f>IF(AND(Data!R400&lt;&gt;"",Data!L400="Accepté"),Data!K400,"")</f>
        <v/>
      </c>
    </row>
    <row r="389" spans="1:14" hidden="1" x14ac:dyDescent="0.3">
      <c r="A389" s="393" t="str">
        <f>IF(AND(Data!R389&lt;&gt;"",Data!L389="Accepté"),Data!G389,"")</f>
        <v/>
      </c>
      <c r="B389" s="393" t="str">
        <f>IF(AND(Data!R389&lt;&gt;"",Data!L389="Accepté"),Data!L389,"")</f>
        <v/>
      </c>
      <c r="C389" s="391" t="str">
        <f t="shared" ref="C389:C436" si="14">IF(D389&lt;&gt;"","S"&amp;TEXT(WEEKNUM(D389),"00"),"")</f>
        <v/>
      </c>
      <c r="D389" s="392" t="str">
        <f>IF(AND(Data!Q389&lt;&gt;"",Data!L389="Accepté"),Data!Q389,"")</f>
        <v/>
      </c>
      <c r="E389" s="237" t="str">
        <f>IF(AND(Data!R389&lt;&gt;"",Data!L389="Accepté"),Data!R389,"")</f>
        <v/>
      </c>
      <c r="F389" s="326" t="str">
        <f>IF(AND(Data!R389&lt;&gt;"",Data!L389="Accepté"),Data!S389,"")</f>
        <v/>
      </c>
      <c r="G389" s="322">
        <f>IF(Data!R389='Delivery Plan'!E389,Data!U389,"")</f>
        <v>0</v>
      </c>
      <c r="H389" s="259"/>
      <c r="I389" s="391" t="str">
        <f t="shared" ref="I389:I452" si="15">IF(J389&lt;&gt;"","S"&amp;TEXT(WEEKNUM(J389),"00"),"")</f>
        <v/>
      </c>
      <c r="J389" s="392" t="str">
        <f>IF(AND(E389=Data!R389,Data!AA389&lt;&gt;""),Data!AA389,"")</f>
        <v/>
      </c>
      <c r="K389" s="313" t="str">
        <f>IF(AND(E389=Data!R389,Data!AE389&lt;&gt;""),Data!AE389,"")</f>
        <v/>
      </c>
      <c r="L389" s="318">
        <f>IF(E389=Data!R401,Data!AI401,"")</f>
        <v>0</v>
      </c>
      <c r="M389" s="318">
        <f>IF(E389=Data!R401,Data!AJ401,"")</f>
        <v>0</v>
      </c>
      <c r="N389" s="437" t="str">
        <f>IF(AND(Data!R401&lt;&gt;"",Data!L401="Accepté"),Data!K401,"")</f>
        <v/>
      </c>
    </row>
    <row r="390" spans="1:14" hidden="1" x14ac:dyDescent="0.3">
      <c r="A390" s="393" t="str">
        <f>IF(AND(Data!R390&lt;&gt;"",Data!L390="Accepté"),Data!G390,"")</f>
        <v/>
      </c>
      <c r="B390" s="393" t="str">
        <f>IF(AND(Data!R390&lt;&gt;"",Data!L390="Accepté"),Data!L390,"")</f>
        <v/>
      </c>
      <c r="C390" s="391" t="str">
        <f t="shared" si="14"/>
        <v/>
      </c>
      <c r="D390" s="392" t="str">
        <f>IF(AND(Data!Q390&lt;&gt;"",Data!L390="Accepté"),Data!Q390,"")</f>
        <v/>
      </c>
      <c r="E390" s="237" t="str">
        <f>IF(AND(Data!R390&lt;&gt;"",Data!L390="Accepté"),Data!R390,"")</f>
        <v/>
      </c>
      <c r="F390" s="326" t="str">
        <f>IF(AND(Data!R390&lt;&gt;"",Data!L390="Accepté"),Data!S390,"")</f>
        <v/>
      </c>
      <c r="G390" s="322">
        <f>IF(Data!R390='Delivery Plan'!E390,Data!U390,"")</f>
        <v>0</v>
      </c>
      <c r="H390" s="259"/>
      <c r="I390" s="391" t="str">
        <f t="shared" si="15"/>
        <v/>
      </c>
      <c r="J390" s="392" t="str">
        <f>IF(AND(E390=Data!R390,Data!AA390&lt;&gt;""),Data!AA390,"")</f>
        <v/>
      </c>
      <c r="K390" s="313" t="str">
        <f>IF(AND(E390=Data!R390,Data!AE390&lt;&gt;""),Data!AE390,"")</f>
        <v/>
      </c>
      <c r="L390" s="318">
        <f>IF(E390=Data!R402,Data!AI402,"")</f>
        <v>0</v>
      </c>
      <c r="M390" s="318">
        <f>IF(E390=Data!R402,Data!AJ402,"")</f>
        <v>0</v>
      </c>
      <c r="N390" s="437" t="str">
        <f>IF(AND(Data!R402&lt;&gt;"",Data!L402="Accepté"),Data!K402,"")</f>
        <v/>
      </c>
    </row>
    <row r="391" spans="1:14" hidden="1" x14ac:dyDescent="0.3">
      <c r="A391" s="393" t="str">
        <f>IF(AND(Data!R391&lt;&gt;"",Data!L391="Accepté"),Data!G391,"")</f>
        <v/>
      </c>
      <c r="B391" s="393" t="str">
        <f>IF(AND(Data!R391&lt;&gt;"",Data!L391="Accepté"),Data!L391,"")</f>
        <v/>
      </c>
      <c r="C391" s="391" t="str">
        <f t="shared" si="14"/>
        <v/>
      </c>
      <c r="D391" s="392" t="str">
        <f>IF(AND(Data!Q391&lt;&gt;"",Data!L391="Accepté"),Data!Q391,"")</f>
        <v/>
      </c>
      <c r="E391" s="237" t="str">
        <f>IF(AND(Data!R391&lt;&gt;"",Data!L391="Accepté"),Data!R391,"")</f>
        <v/>
      </c>
      <c r="F391" s="326" t="str">
        <f>IF(AND(Data!R391&lt;&gt;"",Data!L391="Accepté"),Data!S391,"")</f>
        <v/>
      </c>
      <c r="G391" s="322">
        <f>IF(Data!R391='Delivery Plan'!E391,Data!U391,"")</f>
        <v>0</v>
      </c>
      <c r="H391" s="259"/>
      <c r="I391" s="391" t="str">
        <f t="shared" si="15"/>
        <v/>
      </c>
      <c r="J391" s="392" t="str">
        <f>IF(AND(E391=Data!R391,Data!AA391&lt;&gt;""),Data!AA391,"")</f>
        <v/>
      </c>
      <c r="K391" s="313" t="str">
        <f>IF(AND(E391=Data!R391,Data!AE391&lt;&gt;""),Data!AE391,"")</f>
        <v/>
      </c>
      <c r="L391" s="318">
        <f>IF(E391=Data!R403,Data!AI403,"")</f>
        <v>0</v>
      </c>
      <c r="M391" s="318">
        <f>IF(E391=Data!R403,Data!AJ403,"")</f>
        <v>0</v>
      </c>
      <c r="N391" s="437" t="str">
        <f>IF(AND(Data!R403&lt;&gt;"",Data!L403="Accepté"),Data!K403,"")</f>
        <v/>
      </c>
    </row>
    <row r="392" spans="1:14" hidden="1" x14ac:dyDescent="0.3">
      <c r="A392" s="393" t="str">
        <f>IF(AND(Data!R392&lt;&gt;"",Data!L392="Accepté"),Data!G392,"")</f>
        <v/>
      </c>
      <c r="B392" s="393" t="str">
        <f>IF(AND(Data!R392&lt;&gt;"",Data!L392="Accepté"),Data!L392,"")</f>
        <v/>
      </c>
      <c r="C392" s="391" t="str">
        <f t="shared" si="14"/>
        <v/>
      </c>
      <c r="D392" s="392" t="str">
        <f>IF(AND(Data!Q392&lt;&gt;"",Data!L392="Accepté"),Data!Q392,"")</f>
        <v/>
      </c>
      <c r="E392" s="237" t="str">
        <f>IF(AND(Data!R392&lt;&gt;"",Data!L392="Accepté"),Data!R392,"")</f>
        <v/>
      </c>
      <c r="F392" s="326" t="str">
        <f>IF(AND(Data!R392&lt;&gt;"",Data!L392="Accepté"),Data!S392,"")</f>
        <v/>
      </c>
      <c r="G392" s="322">
        <f>IF(Data!R392='Delivery Plan'!E392,Data!U392,"")</f>
        <v>0</v>
      </c>
      <c r="H392" s="259"/>
      <c r="I392" s="391" t="str">
        <f t="shared" si="15"/>
        <v/>
      </c>
      <c r="J392" s="392" t="str">
        <f>IF(AND(E392=Data!R392,Data!AA392&lt;&gt;""),Data!AA392,"")</f>
        <v/>
      </c>
      <c r="K392" s="313" t="str">
        <f>IF(AND(E392=Data!R392,Data!AE392&lt;&gt;""),Data!AE392,"")</f>
        <v/>
      </c>
      <c r="L392" s="318">
        <f>IF(E392=Data!R404,Data!AI404,"")</f>
        <v>0</v>
      </c>
      <c r="M392" s="318">
        <f>IF(E392=Data!R404,Data!AJ404,"")</f>
        <v>0</v>
      </c>
      <c r="N392" s="437" t="str">
        <f>IF(AND(Data!R404&lt;&gt;"",Data!L404="Accepté"),Data!K404,"")</f>
        <v/>
      </c>
    </row>
    <row r="393" spans="1:14" hidden="1" x14ac:dyDescent="0.3">
      <c r="A393" s="393" t="str">
        <f>IF(AND(Data!R393&lt;&gt;"",Data!L393="Accepté"),Data!G393,"")</f>
        <v/>
      </c>
      <c r="B393" s="393" t="str">
        <f>IF(AND(Data!R393&lt;&gt;"",Data!L393="Accepté"),Data!L393,"")</f>
        <v/>
      </c>
      <c r="C393" s="391" t="str">
        <f t="shared" si="14"/>
        <v/>
      </c>
      <c r="D393" s="392" t="str">
        <f>IF(AND(Data!Q393&lt;&gt;"",Data!L393="Accepté"),Data!Q393,"")</f>
        <v/>
      </c>
      <c r="E393" s="237" t="str">
        <f>IF(AND(Data!R393&lt;&gt;"",Data!L393="Accepté"),Data!R393,"")</f>
        <v/>
      </c>
      <c r="F393" s="326" t="str">
        <f>IF(AND(Data!R393&lt;&gt;"",Data!L393="Accepté"),Data!S393,"")</f>
        <v/>
      </c>
      <c r="G393" s="322">
        <f>IF(Data!R393='Delivery Plan'!E393,Data!U393,"")</f>
        <v>0</v>
      </c>
      <c r="H393" s="259"/>
      <c r="I393" s="391" t="str">
        <f t="shared" si="15"/>
        <v/>
      </c>
      <c r="J393" s="392" t="str">
        <f>IF(AND(E393=Data!R393,Data!AA393&lt;&gt;""),Data!AA393,"")</f>
        <v/>
      </c>
      <c r="K393" s="313" t="str">
        <f>IF(AND(E393=Data!R393,Data!AE393&lt;&gt;""),Data!AE393,"")</f>
        <v/>
      </c>
      <c r="L393" s="318">
        <f>IF(E393=Data!R405,Data!AI405,"")</f>
        <v>0</v>
      </c>
      <c r="M393" s="318">
        <f>IF(E393=Data!R405,Data!AJ405,"")</f>
        <v>0</v>
      </c>
      <c r="N393" s="437" t="str">
        <f>IF(AND(Data!R405&lt;&gt;"",Data!L405="Accepté"),Data!K405,"")</f>
        <v/>
      </c>
    </row>
    <row r="394" spans="1:14" hidden="1" x14ac:dyDescent="0.3">
      <c r="A394" s="393" t="str">
        <f>IF(AND(Data!R394&lt;&gt;"",Data!L394="Accepté"),Data!G394,"")</f>
        <v/>
      </c>
      <c r="B394" s="393" t="str">
        <f>IF(AND(Data!R394&lt;&gt;"",Data!L394="Accepté"),Data!L394,"")</f>
        <v/>
      </c>
      <c r="C394" s="391" t="str">
        <f t="shared" si="14"/>
        <v/>
      </c>
      <c r="D394" s="392" t="str">
        <f>IF(AND(Data!Q394&lt;&gt;"",Data!L394="Accepté"),Data!Q394,"")</f>
        <v/>
      </c>
      <c r="E394" s="237" t="str">
        <f>IF(AND(Data!R394&lt;&gt;"",Data!L394="Accepté"),Data!R394,"")</f>
        <v/>
      </c>
      <c r="F394" s="326" t="str">
        <f>IF(AND(Data!R394&lt;&gt;"",Data!L394="Accepté"),Data!S394,"")</f>
        <v/>
      </c>
      <c r="G394" s="322">
        <f>IF(Data!R394='Delivery Plan'!E394,Data!U394,"")</f>
        <v>0</v>
      </c>
      <c r="H394" s="259"/>
      <c r="I394" s="391" t="str">
        <f t="shared" si="15"/>
        <v/>
      </c>
      <c r="J394" s="392" t="str">
        <f>IF(AND(E394=Data!R394,Data!AA394&lt;&gt;""),Data!AA394,"")</f>
        <v/>
      </c>
      <c r="K394" s="313" t="str">
        <f>IF(AND(E394=Data!R394,Data!AE394&lt;&gt;""),Data!AE394,"")</f>
        <v/>
      </c>
      <c r="L394" s="318">
        <f>IF(E394=Data!R406,Data!AI406,"")</f>
        <v>0</v>
      </c>
      <c r="M394" s="318">
        <f>IF(E394=Data!R406,Data!AJ406,"")</f>
        <v>0</v>
      </c>
      <c r="N394" s="437" t="str">
        <f>IF(AND(Data!R406&lt;&gt;"",Data!L406="Accepté"),Data!K406,"")</f>
        <v/>
      </c>
    </row>
    <row r="395" spans="1:14" hidden="1" x14ac:dyDescent="0.3">
      <c r="A395" s="393" t="str">
        <f>IF(AND(Data!R395&lt;&gt;"",Data!L395="Accepté"),Data!G395,"")</f>
        <v/>
      </c>
      <c r="B395" s="393" t="str">
        <f>IF(AND(Data!R395&lt;&gt;"",Data!L395="Accepté"),Data!L395,"")</f>
        <v/>
      </c>
      <c r="C395" s="391" t="str">
        <f t="shared" si="14"/>
        <v/>
      </c>
      <c r="D395" s="392" t="str">
        <f>IF(AND(Data!Q395&lt;&gt;"",Data!L395="Accepté"),Data!Q395,"")</f>
        <v/>
      </c>
      <c r="E395" s="237" t="str">
        <f>IF(AND(Data!R395&lt;&gt;"",Data!L395="Accepté"),Data!R395,"")</f>
        <v/>
      </c>
      <c r="F395" s="326" t="str">
        <f>IF(AND(Data!R395&lt;&gt;"",Data!L395="Accepté"),Data!S395,"")</f>
        <v/>
      </c>
      <c r="G395" s="322">
        <f>IF(Data!R395='Delivery Plan'!E395,Data!U395,"")</f>
        <v>0</v>
      </c>
      <c r="H395" s="259"/>
      <c r="I395" s="391" t="str">
        <f t="shared" si="15"/>
        <v/>
      </c>
      <c r="J395" s="392" t="str">
        <f>IF(AND(E395=Data!R395,Data!AA395&lt;&gt;""),Data!AA395,"")</f>
        <v/>
      </c>
      <c r="K395" s="313" t="str">
        <f>IF(AND(E395=Data!R395,Data!AE395&lt;&gt;""),Data!AE395,"")</f>
        <v/>
      </c>
      <c r="L395" s="318">
        <f>IF(E395=Data!R407,Data!AI407,"")</f>
        <v>0</v>
      </c>
      <c r="M395" s="318">
        <f>IF(E395=Data!R407,Data!AJ407,"")</f>
        <v>0</v>
      </c>
      <c r="N395" s="437" t="str">
        <f>IF(AND(Data!R407&lt;&gt;"",Data!L407="Accepté"),Data!K407,"")</f>
        <v/>
      </c>
    </row>
    <row r="396" spans="1:14" hidden="1" x14ac:dyDescent="0.3">
      <c r="A396" s="393" t="str">
        <f>IF(AND(Data!R396&lt;&gt;"",Data!L396="Accepté"),Data!G396,"")</f>
        <v/>
      </c>
      <c r="B396" s="393" t="str">
        <f>IF(AND(Data!R396&lt;&gt;"",Data!L396="Accepté"),Data!L396,"")</f>
        <v/>
      </c>
      <c r="C396" s="391" t="str">
        <f t="shared" si="14"/>
        <v/>
      </c>
      <c r="D396" s="392" t="str">
        <f>IF(AND(Data!Q396&lt;&gt;"",Data!L396="Accepté"),Data!Q396,"")</f>
        <v/>
      </c>
      <c r="E396" s="237" t="str">
        <f>IF(AND(Data!R396&lt;&gt;"",Data!L396="Accepté"),Data!R396,"")</f>
        <v/>
      </c>
      <c r="F396" s="326" t="str">
        <f>IF(AND(Data!R396&lt;&gt;"",Data!L396="Accepté"),Data!S396,"")</f>
        <v/>
      </c>
      <c r="G396" s="322">
        <f>IF(Data!R396='Delivery Plan'!E396,Data!U396,"")</f>
        <v>0</v>
      </c>
      <c r="H396" s="259"/>
      <c r="I396" s="391" t="str">
        <f t="shared" si="15"/>
        <v/>
      </c>
      <c r="J396" s="392" t="str">
        <f>IF(AND(E396=Data!R396,Data!AA396&lt;&gt;""),Data!AA396,"")</f>
        <v/>
      </c>
      <c r="K396" s="313" t="str">
        <f>IF(AND(E396=Data!R396,Data!AE396&lt;&gt;""),Data!AE396,"")</f>
        <v/>
      </c>
      <c r="L396" s="318">
        <f>IF(E396=Data!R408,Data!AI408,"")</f>
        <v>0</v>
      </c>
      <c r="M396" s="318">
        <f>IF(E396=Data!R408,Data!AJ408,"")</f>
        <v>0</v>
      </c>
      <c r="N396" s="437" t="str">
        <f>IF(AND(Data!R408&lt;&gt;"",Data!L408="Accepté"),Data!K408,"")</f>
        <v/>
      </c>
    </row>
    <row r="397" spans="1:14" hidden="1" x14ac:dyDescent="0.3">
      <c r="A397" s="393" t="str">
        <f>IF(AND(Data!R397&lt;&gt;"",Data!L397="Accepté"),Data!G397,"")</f>
        <v/>
      </c>
      <c r="B397" s="393" t="str">
        <f>IF(AND(Data!R397&lt;&gt;"",Data!L397="Accepté"),Data!L397,"")</f>
        <v/>
      </c>
      <c r="C397" s="391" t="str">
        <f t="shared" si="14"/>
        <v/>
      </c>
      <c r="D397" s="392" t="str">
        <f>IF(AND(Data!Q397&lt;&gt;"",Data!L397="Accepté"),Data!Q397,"")</f>
        <v/>
      </c>
      <c r="E397" s="237" t="str">
        <f>IF(AND(Data!R397&lt;&gt;"",Data!L397="Accepté"),Data!R397,"")</f>
        <v/>
      </c>
      <c r="F397" s="326" t="str">
        <f>IF(AND(Data!R397&lt;&gt;"",Data!L397="Accepté"),Data!S397,"")</f>
        <v/>
      </c>
      <c r="G397" s="322">
        <f>IF(Data!R397='Delivery Plan'!E397,Data!U397,"")</f>
        <v>0</v>
      </c>
      <c r="H397" s="259"/>
      <c r="I397" s="391" t="str">
        <f t="shared" si="15"/>
        <v/>
      </c>
      <c r="J397" s="392" t="str">
        <f>IF(AND(E397=Data!R397,Data!AA397&lt;&gt;""),Data!AA397,"")</f>
        <v/>
      </c>
      <c r="K397" s="313" t="str">
        <f>IF(AND(E397=Data!R397,Data!AE397&lt;&gt;""),Data!AE397,"")</f>
        <v/>
      </c>
      <c r="L397" s="318">
        <f>IF(E397=Data!R409,Data!AI409,"")</f>
        <v>0</v>
      </c>
      <c r="M397" s="318">
        <f>IF(E397=Data!R409,Data!AJ409,"")</f>
        <v>0</v>
      </c>
      <c r="N397" s="437" t="str">
        <f>IF(AND(Data!R409&lt;&gt;"",Data!L409="Accepté"),Data!K409,"")</f>
        <v/>
      </c>
    </row>
    <row r="398" spans="1:14" hidden="1" x14ac:dyDescent="0.3">
      <c r="A398" s="393" t="str">
        <f>IF(AND(Data!R398&lt;&gt;"",Data!L398="Accepté"),Data!G398,"")</f>
        <v/>
      </c>
      <c r="B398" s="393" t="str">
        <f>IF(AND(Data!R398&lt;&gt;"",Data!L398="Accepté"),Data!L398,"")</f>
        <v/>
      </c>
      <c r="C398" s="391" t="str">
        <f t="shared" si="14"/>
        <v/>
      </c>
      <c r="D398" s="392" t="str">
        <f>IF(AND(Data!Q398&lt;&gt;"",Data!L398="Accepté"),Data!Q398,"")</f>
        <v/>
      </c>
      <c r="E398" s="237" t="str">
        <f>IF(AND(Data!R398&lt;&gt;"",Data!L398="Accepté"),Data!R398,"")</f>
        <v/>
      </c>
      <c r="F398" s="326" t="str">
        <f>IF(AND(Data!R398&lt;&gt;"",Data!L398="Accepté"),Data!S398,"")</f>
        <v/>
      </c>
      <c r="G398" s="322">
        <f>IF(Data!R398='Delivery Plan'!E398,Data!U398,"")</f>
        <v>0</v>
      </c>
      <c r="H398" s="259"/>
      <c r="I398" s="391" t="str">
        <f t="shared" si="15"/>
        <v/>
      </c>
      <c r="J398" s="392" t="str">
        <f>IF(AND(E398=Data!R398,Data!AA398&lt;&gt;""),Data!AA398,"")</f>
        <v/>
      </c>
      <c r="K398" s="313" t="str">
        <f>IF(AND(E398=Data!R398,Data!AE398&lt;&gt;""),Data!AE398,"")</f>
        <v/>
      </c>
      <c r="L398" s="318">
        <f>IF(E398=Data!R410,Data!AI410,"")</f>
        <v>0</v>
      </c>
      <c r="M398" s="318">
        <f>IF(E398=Data!R410,Data!AJ410,"")</f>
        <v>0</v>
      </c>
      <c r="N398" s="437" t="str">
        <f>IF(AND(Data!R410&lt;&gt;"",Data!L410="Accepté"),Data!K410,"")</f>
        <v/>
      </c>
    </row>
    <row r="399" spans="1:14" hidden="1" x14ac:dyDescent="0.3">
      <c r="A399" s="393" t="str">
        <f>IF(AND(Data!R399&lt;&gt;"",Data!L399="Accepté"),Data!G399,"")</f>
        <v/>
      </c>
      <c r="B399" s="393" t="str">
        <f>IF(AND(Data!R399&lt;&gt;"",Data!L399="Accepté"),Data!L399,"")</f>
        <v/>
      </c>
      <c r="C399" s="391" t="str">
        <f t="shared" si="14"/>
        <v/>
      </c>
      <c r="D399" s="392" t="str">
        <f>IF(AND(Data!Q399&lt;&gt;"",Data!L399="Accepté"),Data!Q399,"")</f>
        <v/>
      </c>
      <c r="E399" s="237" t="str">
        <f>IF(AND(Data!R399&lt;&gt;"",Data!L399="Accepté"),Data!R399,"")</f>
        <v/>
      </c>
      <c r="F399" s="326" t="str">
        <f>IF(AND(Data!R399&lt;&gt;"",Data!L399="Accepté"),Data!S399,"")</f>
        <v/>
      </c>
      <c r="G399" s="322">
        <f>IF(Data!R399='Delivery Plan'!E399,Data!U399,"")</f>
        <v>0</v>
      </c>
      <c r="H399" s="259"/>
      <c r="I399" s="391" t="str">
        <f t="shared" si="15"/>
        <v/>
      </c>
      <c r="J399" s="392" t="str">
        <f>IF(AND(E399=Data!R399,Data!AA399&lt;&gt;""),Data!AA399,"")</f>
        <v/>
      </c>
      <c r="K399" s="313" t="str">
        <f>IF(AND(E399=Data!R399,Data!AE399&lt;&gt;""),Data!AE399,"")</f>
        <v/>
      </c>
      <c r="L399" s="318">
        <f>IF(E399=Data!R411,Data!AI411,"")</f>
        <v>0</v>
      </c>
      <c r="M399" s="318">
        <f>IF(E399=Data!R411,Data!AJ411,"")</f>
        <v>0</v>
      </c>
      <c r="N399" s="437" t="str">
        <f>IF(AND(Data!R411&lt;&gt;"",Data!L411="Accepté"),Data!K411,"")</f>
        <v/>
      </c>
    </row>
    <row r="400" spans="1:14" hidden="1" x14ac:dyDescent="0.3">
      <c r="A400" s="393" t="str">
        <f>IF(AND(Data!R400&lt;&gt;"",Data!L400="Accepté"),Data!G400,"")</f>
        <v/>
      </c>
      <c r="B400" s="393" t="str">
        <f>IF(AND(Data!R400&lt;&gt;"",Data!L400="Accepté"),Data!L400,"")</f>
        <v/>
      </c>
      <c r="C400" s="391" t="str">
        <f t="shared" si="14"/>
        <v/>
      </c>
      <c r="D400" s="392" t="str">
        <f>IF(AND(Data!Q400&lt;&gt;"",Data!L400="Accepté"),Data!Q400,"")</f>
        <v/>
      </c>
      <c r="E400" s="237" t="str">
        <f>IF(AND(Data!R400&lt;&gt;"",Data!L400="Accepté"),Data!R400,"")</f>
        <v/>
      </c>
      <c r="F400" s="326" t="str">
        <f>IF(AND(Data!R400&lt;&gt;"",Data!L400="Accepté"),Data!S400,"")</f>
        <v/>
      </c>
      <c r="G400" s="322">
        <f>IF(Data!R400='Delivery Plan'!E400,Data!U400,"")</f>
        <v>0</v>
      </c>
      <c r="H400" s="259"/>
      <c r="I400" s="391" t="str">
        <f t="shared" si="15"/>
        <v/>
      </c>
      <c r="J400" s="392" t="str">
        <f>IF(AND(E400=Data!R400,Data!AA400&lt;&gt;""),Data!AA400,"")</f>
        <v/>
      </c>
      <c r="K400" s="313" t="str">
        <f>IF(AND(E400=Data!R400,Data!AE400&lt;&gt;""),Data!AE400,"")</f>
        <v/>
      </c>
      <c r="L400" s="318">
        <f>IF(E400=Data!R412,Data!AI412,"")</f>
        <v>0</v>
      </c>
      <c r="M400" s="318">
        <f>IF(E400=Data!R412,Data!AJ412,"")</f>
        <v>0</v>
      </c>
      <c r="N400" s="437" t="str">
        <f>IF(AND(Data!R412&lt;&gt;"",Data!L412="Accepté"),Data!K412,"")</f>
        <v/>
      </c>
    </row>
    <row r="401" spans="1:14" hidden="1" x14ac:dyDescent="0.3">
      <c r="A401" s="393" t="str">
        <f>IF(AND(Data!R401&lt;&gt;"",Data!L401="Accepté"),Data!G401,"")</f>
        <v/>
      </c>
      <c r="B401" s="393" t="str">
        <f>IF(AND(Data!R401&lt;&gt;"",Data!L401="Accepté"),Data!L401,"")</f>
        <v/>
      </c>
      <c r="C401" s="391" t="str">
        <f t="shared" si="14"/>
        <v/>
      </c>
      <c r="D401" s="392" t="str">
        <f>IF(AND(Data!Q401&lt;&gt;"",Data!L401="Accepté"),Data!Q401,"")</f>
        <v/>
      </c>
      <c r="E401" s="237" t="str">
        <f>IF(AND(Data!R401&lt;&gt;"",Data!L401="Accepté"),Data!R401,"")</f>
        <v/>
      </c>
      <c r="F401" s="326" t="str">
        <f>IF(AND(Data!R401&lt;&gt;"",Data!L401="Accepté"),Data!S401,"")</f>
        <v/>
      </c>
      <c r="G401" s="322">
        <f>IF(Data!R401='Delivery Plan'!E401,Data!U401,"")</f>
        <v>0</v>
      </c>
      <c r="H401" s="259"/>
      <c r="I401" s="391" t="str">
        <f t="shared" si="15"/>
        <v/>
      </c>
      <c r="J401" s="392" t="str">
        <f>IF(AND(E401=Data!R401,Data!AA401&lt;&gt;""),Data!AA401,"")</f>
        <v/>
      </c>
      <c r="K401" s="313" t="str">
        <f>IF(AND(E401=Data!R401,Data!AE401&lt;&gt;""),Data!AE401,"")</f>
        <v/>
      </c>
      <c r="L401" s="318">
        <f>IF(E401=Data!R413,Data!AI413,"")</f>
        <v>0</v>
      </c>
      <c r="M401" s="318">
        <f>IF(E401=Data!R413,Data!AJ413,"")</f>
        <v>0</v>
      </c>
      <c r="N401" s="437" t="str">
        <f>IF(AND(Data!R413&lt;&gt;"",Data!L413="Accepté"),Data!K413,"")</f>
        <v/>
      </c>
    </row>
    <row r="402" spans="1:14" hidden="1" x14ac:dyDescent="0.3">
      <c r="A402" s="393" t="str">
        <f>IF(AND(Data!R402&lt;&gt;"",Data!L402="Accepté"),Data!G402,"")</f>
        <v/>
      </c>
      <c r="B402" s="393" t="str">
        <f>IF(AND(Data!R402&lt;&gt;"",Data!L402="Accepté"),Data!L402,"")</f>
        <v/>
      </c>
      <c r="C402" s="391" t="str">
        <f t="shared" si="14"/>
        <v/>
      </c>
      <c r="D402" s="392" t="str">
        <f>IF(AND(Data!Q402&lt;&gt;"",Data!L402="Accepté"),Data!Q402,"")</f>
        <v/>
      </c>
      <c r="E402" s="237" t="str">
        <f>IF(AND(Data!R402&lt;&gt;"",Data!L402="Accepté"),Data!R402,"")</f>
        <v/>
      </c>
      <c r="F402" s="326" t="str">
        <f>IF(AND(Data!R402&lt;&gt;"",Data!L402="Accepté"),Data!S402,"")</f>
        <v/>
      </c>
      <c r="G402" s="322">
        <f>IF(Data!R402='Delivery Plan'!E402,Data!U402,"")</f>
        <v>0</v>
      </c>
      <c r="H402" s="259"/>
      <c r="I402" s="391" t="str">
        <f t="shared" si="15"/>
        <v/>
      </c>
      <c r="J402" s="392" t="str">
        <f>IF(AND(E402=Data!R402,Data!AA402&lt;&gt;""),Data!AA402,"")</f>
        <v/>
      </c>
      <c r="K402" s="313" t="str">
        <f>IF(AND(E402=Data!R402,Data!AE402&lt;&gt;""),Data!AE402,"")</f>
        <v/>
      </c>
      <c r="L402" s="318">
        <f>IF(E402=Data!R414,Data!AI414,"")</f>
        <v>0</v>
      </c>
      <c r="M402" s="318">
        <f>IF(E402=Data!R414,Data!AJ414,"")</f>
        <v>0</v>
      </c>
      <c r="N402" s="437" t="str">
        <f>IF(AND(Data!R414&lt;&gt;"",Data!L414="Accepté"),Data!K414,"")</f>
        <v/>
      </c>
    </row>
    <row r="403" spans="1:14" hidden="1" x14ac:dyDescent="0.3">
      <c r="A403" s="393" t="str">
        <f>IF(AND(Data!R403&lt;&gt;"",Data!L403="Accepté"),Data!G403,"")</f>
        <v/>
      </c>
      <c r="B403" s="393" t="str">
        <f>IF(AND(Data!R403&lt;&gt;"",Data!L403="Accepté"),Data!L403,"")</f>
        <v/>
      </c>
      <c r="C403" s="391" t="str">
        <f t="shared" si="14"/>
        <v/>
      </c>
      <c r="D403" s="392" t="str">
        <f>IF(AND(Data!Q403&lt;&gt;"",Data!L403="Accepté"),Data!Q403,"")</f>
        <v/>
      </c>
      <c r="E403" s="237" t="str">
        <f>IF(AND(Data!R403&lt;&gt;"",Data!L403="Accepté"),Data!R403,"")</f>
        <v/>
      </c>
      <c r="F403" s="326" t="str">
        <f>IF(AND(Data!R403&lt;&gt;"",Data!L403="Accepté"),Data!S403,"")</f>
        <v/>
      </c>
      <c r="G403" s="322">
        <f>IF(Data!R403='Delivery Plan'!E403,Data!U403,"")</f>
        <v>0</v>
      </c>
      <c r="H403" s="259"/>
      <c r="I403" s="391" t="str">
        <f t="shared" si="15"/>
        <v/>
      </c>
      <c r="J403" s="392" t="str">
        <f>IF(AND(E403=Data!R403,Data!AA403&lt;&gt;""),Data!AA403,"")</f>
        <v/>
      </c>
      <c r="K403" s="313" t="str">
        <f>IF(AND(E403=Data!R403,Data!AE403&lt;&gt;""),Data!AE403,"")</f>
        <v/>
      </c>
      <c r="L403" s="318">
        <f>IF(E403=Data!R415,Data!AI415,"")</f>
        <v>0</v>
      </c>
      <c r="M403" s="318">
        <f>IF(E403=Data!R415,Data!AJ415,"")</f>
        <v>0</v>
      </c>
      <c r="N403" s="437" t="str">
        <f>IF(AND(Data!R415&lt;&gt;"",Data!L415="Accepté"),Data!K415,"")</f>
        <v/>
      </c>
    </row>
    <row r="404" spans="1:14" hidden="1" x14ac:dyDescent="0.3">
      <c r="A404" s="393" t="str">
        <f>IF(AND(Data!R404&lt;&gt;"",Data!L404="Accepté"),Data!G404,"")</f>
        <v/>
      </c>
      <c r="B404" s="393" t="str">
        <f>IF(AND(Data!R404&lt;&gt;"",Data!L404="Accepté"),Data!L404,"")</f>
        <v/>
      </c>
      <c r="C404" s="391" t="str">
        <f t="shared" si="14"/>
        <v/>
      </c>
      <c r="D404" s="392" t="str">
        <f>IF(AND(Data!Q404&lt;&gt;"",Data!L404="Accepté"),Data!Q404,"")</f>
        <v/>
      </c>
      <c r="E404" s="237" t="str">
        <f>IF(AND(Data!R404&lt;&gt;"",Data!L404="Accepté"),Data!R404,"")</f>
        <v/>
      </c>
      <c r="F404" s="326" t="str">
        <f>IF(AND(Data!R404&lt;&gt;"",Data!L404="Accepté"),Data!S404,"")</f>
        <v/>
      </c>
      <c r="G404" s="322">
        <f>IF(Data!R404='Delivery Plan'!E404,Data!U404,"")</f>
        <v>0</v>
      </c>
      <c r="H404" s="259"/>
      <c r="I404" s="391" t="str">
        <f t="shared" si="15"/>
        <v/>
      </c>
      <c r="J404" s="392" t="str">
        <f>IF(AND(E404=Data!R404,Data!AA404&lt;&gt;""),Data!AA404,"")</f>
        <v/>
      </c>
      <c r="K404" s="313" t="str">
        <f>IF(AND(E404=Data!R404,Data!AE404&lt;&gt;""),Data!AE404,"")</f>
        <v/>
      </c>
      <c r="L404" s="318">
        <f>IF(E404=Data!R416,Data!AI416,"")</f>
        <v>0</v>
      </c>
      <c r="M404" s="318">
        <f>IF(E404=Data!R416,Data!AJ416,"")</f>
        <v>0</v>
      </c>
      <c r="N404" s="437" t="str">
        <f>IF(AND(Data!R416&lt;&gt;"",Data!L416="Accepté"),Data!K416,"")</f>
        <v/>
      </c>
    </row>
    <row r="405" spans="1:14" hidden="1" x14ac:dyDescent="0.3">
      <c r="A405" s="393" t="str">
        <f>IF(AND(Data!R405&lt;&gt;"",Data!L405="Accepté"),Data!G405,"")</f>
        <v/>
      </c>
      <c r="B405" s="393" t="str">
        <f>IF(AND(Data!R405&lt;&gt;"",Data!L405="Accepté"),Data!L405,"")</f>
        <v/>
      </c>
      <c r="C405" s="391" t="str">
        <f t="shared" si="14"/>
        <v/>
      </c>
      <c r="D405" s="392" t="str">
        <f>IF(AND(Data!Q405&lt;&gt;"",Data!L405="Accepté"),Data!Q405,"")</f>
        <v/>
      </c>
      <c r="E405" s="237" t="str">
        <f>IF(AND(Data!R405&lt;&gt;"",Data!L405="Accepté"),Data!R405,"")</f>
        <v/>
      </c>
      <c r="F405" s="326" t="str">
        <f>IF(AND(Data!R405&lt;&gt;"",Data!L405="Accepté"),Data!S405,"")</f>
        <v/>
      </c>
      <c r="G405" s="322">
        <f>IF(Data!R405='Delivery Plan'!E405,Data!U405,"")</f>
        <v>0</v>
      </c>
      <c r="H405" s="259"/>
      <c r="I405" s="391" t="str">
        <f t="shared" si="15"/>
        <v/>
      </c>
      <c r="J405" s="392" t="str">
        <f>IF(AND(E405=Data!R405,Data!AA405&lt;&gt;""),Data!AA405,"")</f>
        <v/>
      </c>
      <c r="K405" s="313" t="str">
        <f>IF(AND(E405=Data!R405,Data!AE405&lt;&gt;""),Data!AE405,"")</f>
        <v/>
      </c>
      <c r="L405" s="318">
        <f>IF(E405=Data!R417,Data!AI417,"")</f>
        <v>0</v>
      </c>
      <c r="M405" s="318">
        <f>IF(E405=Data!R417,Data!AJ417,"")</f>
        <v>0</v>
      </c>
      <c r="N405" s="437" t="str">
        <f>IF(AND(Data!R417&lt;&gt;"",Data!L417="Accepté"),Data!K417,"")</f>
        <v/>
      </c>
    </row>
    <row r="406" spans="1:14" hidden="1" x14ac:dyDescent="0.3">
      <c r="A406" s="393" t="str">
        <f>IF(AND(Data!R406&lt;&gt;"",Data!L406="Accepté"),Data!G406,"")</f>
        <v/>
      </c>
      <c r="B406" s="393" t="str">
        <f>IF(AND(Data!R406&lt;&gt;"",Data!L406="Accepté"),Data!L406,"")</f>
        <v/>
      </c>
      <c r="C406" s="391" t="str">
        <f t="shared" si="14"/>
        <v/>
      </c>
      <c r="D406" s="392" t="str">
        <f>IF(AND(Data!Q406&lt;&gt;"",Data!L406="Accepté"),Data!Q406,"")</f>
        <v/>
      </c>
      <c r="E406" s="237" t="str">
        <f>IF(AND(Data!R406&lt;&gt;"",Data!L406="Accepté"),Data!R406,"")</f>
        <v/>
      </c>
      <c r="F406" s="326" t="str">
        <f>IF(AND(Data!R406&lt;&gt;"",Data!L406="Accepté"),Data!S406,"")</f>
        <v/>
      </c>
      <c r="G406" s="322">
        <f>IF(Data!R406='Delivery Plan'!E406,Data!U406,"")</f>
        <v>0</v>
      </c>
      <c r="H406" s="259"/>
      <c r="I406" s="391" t="str">
        <f t="shared" si="15"/>
        <v/>
      </c>
      <c r="J406" s="392" t="str">
        <f>IF(AND(E406=Data!R406,Data!AA406&lt;&gt;""),Data!AA406,"")</f>
        <v/>
      </c>
      <c r="K406" s="313" t="str">
        <f>IF(AND(E406=Data!R406,Data!AE406&lt;&gt;""),Data!AE406,"")</f>
        <v/>
      </c>
      <c r="L406" s="318">
        <f>IF(E406=Data!R418,Data!AI418,"")</f>
        <v>0</v>
      </c>
      <c r="M406" s="318">
        <f>IF(E406=Data!R418,Data!AJ418,"")</f>
        <v>0</v>
      </c>
      <c r="N406" s="437" t="str">
        <f>IF(AND(Data!R418&lt;&gt;"",Data!L418="Accepté"),Data!K418,"")</f>
        <v/>
      </c>
    </row>
    <row r="407" spans="1:14" hidden="1" x14ac:dyDescent="0.3">
      <c r="A407" s="393" t="str">
        <f>IF(AND(Data!R407&lt;&gt;"",Data!L407="Accepté"),Data!G407,"")</f>
        <v/>
      </c>
      <c r="B407" s="393" t="str">
        <f>IF(AND(Data!R407&lt;&gt;"",Data!L407="Accepté"),Data!L407,"")</f>
        <v/>
      </c>
      <c r="C407" s="391" t="str">
        <f t="shared" si="14"/>
        <v/>
      </c>
      <c r="D407" s="392" t="str">
        <f>IF(AND(Data!Q407&lt;&gt;"",Data!L407="Accepté"),Data!Q407,"")</f>
        <v/>
      </c>
      <c r="E407" s="237" t="str">
        <f>IF(AND(Data!R407&lt;&gt;"",Data!L407="Accepté"),Data!R407,"")</f>
        <v/>
      </c>
      <c r="F407" s="326" t="str">
        <f>IF(AND(Data!R407&lt;&gt;"",Data!L407="Accepté"),Data!S407,"")</f>
        <v/>
      </c>
      <c r="G407" s="322">
        <f>IF(Data!R407='Delivery Plan'!E407,Data!U407,"")</f>
        <v>0</v>
      </c>
      <c r="H407" s="259"/>
      <c r="I407" s="391" t="str">
        <f t="shared" si="15"/>
        <v/>
      </c>
      <c r="J407" s="392" t="str">
        <f>IF(AND(E407=Data!R407,Data!AA407&lt;&gt;""),Data!AA407,"")</f>
        <v/>
      </c>
      <c r="K407" s="313" t="str">
        <f>IF(AND(E407=Data!R407,Data!AE407&lt;&gt;""),Data!AE407,"")</f>
        <v/>
      </c>
      <c r="L407" s="318">
        <f>IF(E407=Data!R419,Data!AI419,"")</f>
        <v>0</v>
      </c>
      <c r="M407" s="318">
        <f>IF(E407=Data!R419,Data!AJ419,"")</f>
        <v>0</v>
      </c>
      <c r="N407" s="437" t="str">
        <f>IF(AND(Data!R419&lt;&gt;"",Data!L419="Accepté"),Data!K419,"")</f>
        <v/>
      </c>
    </row>
    <row r="408" spans="1:14" hidden="1" x14ac:dyDescent="0.3">
      <c r="A408" s="393" t="str">
        <f>IF(AND(Data!R408&lt;&gt;"",Data!L408="Accepté"),Data!G408,"")</f>
        <v/>
      </c>
      <c r="B408" s="393" t="str">
        <f>IF(AND(Data!R408&lt;&gt;"",Data!L408="Accepté"),Data!L408,"")</f>
        <v/>
      </c>
      <c r="C408" s="391" t="str">
        <f t="shared" si="14"/>
        <v/>
      </c>
      <c r="D408" s="392" t="str">
        <f>IF(AND(Data!Q408&lt;&gt;"",Data!L408="Accepté"),Data!Q408,"")</f>
        <v/>
      </c>
      <c r="E408" s="237" t="str">
        <f>IF(AND(Data!R408&lt;&gt;"",Data!L408="Accepté"),Data!R408,"")</f>
        <v/>
      </c>
      <c r="F408" s="326" t="str">
        <f>IF(AND(Data!R408&lt;&gt;"",Data!L408="Accepté"),Data!S408,"")</f>
        <v/>
      </c>
      <c r="G408" s="322">
        <f>IF(Data!R408='Delivery Plan'!E408,Data!U408,"")</f>
        <v>0</v>
      </c>
      <c r="H408" s="259"/>
      <c r="I408" s="391" t="str">
        <f t="shared" si="15"/>
        <v/>
      </c>
      <c r="J408" s="392" t="str">
        <f>IF(AND(E408=Data!R408,Data!AA408&lt;&gt;""),Data!AA408,"")</f>
        <v/>
      </c>
      <c r="K408" s="313" t="str">
        <f>IF(AND(E408=Data!R408,Data!AE408&lt;&gt;""),Data!AE408,"")</f>
        <v/>
      </c>
      <c r="L408" s="318">
        <f>IF(E408=Data!R420,Data!AI420,"")</f>
        <v>0</v>
      </c>
      <c r="M408" s="318">
        <f>IF(E408=Data!R420,Data!AJ420,"")</f>
        <v>0</v>
      </c>
      <c r="N408" s="437" t="str">
        <f>IF(AND(Data!R420&lt;&gt;"",Data!L420="Accepté"),Data!K420,"")</f>
        <v/>
      </c>
    </row>
    <row r="409" spans="1:14" hidden="1" x14ac:dyDescent="0.3">
      <c r="A409" s="393" t="str">
        <f>IF(AND(Data!R409&lt;&gt;"",Data!L409="Accepté"),Data!G409,"")</f>
        <v/>
      </c>
      <c r="B409" s="393" t="str">
        <f>IF(AND(Data!R409&lt;&gt;"",Data!L409="Accepté"),Data!L409,"")</f>
        <v/>
      </c>
      <c r="C409" s="391" t="str">
        <f t="shared" si="14"/>
        <v/>
      </c>
      <c r="D409" s="392" t="str">
        <f>IF(AND(Data!Q409&lt;&gt;"",Data!L409="Accepté"),Data!Q409,"")</f>
        <v/>
      </c>
      <c r="E409" s="237" t="str">
        <f>IF(AND(Data!R409&lt;&gt;"",Data!L409="Accepté"),Data!R409,"")</f>
        <v/>
      </c>
      <c r="F409" s="326" t="str">
        <f>IF(AND(Data!R409&lt;&gt;"",Data!L409="Accepté"),Data!S409,"")</f>
        <v/>
      </c>
      <c r="G409" s="322">
        <f>IF(Data!R409='Delivery Plan'!E409,Data!U409,"")</f>
        <v>0</v>
      </c>
      <c r="H409" s="259"/>
      <c r="I409" s="391" t="str">
        <f t="shared" si="15"/>
        <v/>
      </c>
      <c r="J409" s="392" t="str">
        <f>IF(AND(E409=Data!R409,Data!AA409&lt;&gt;""),Data!AA409,"")</f>
        <v/>
      </c>
      <c r="K409" s="313" t="str">
        <f>IF(AND(E409=Data!R409,Data!AE409&lt;&gt;""),Data!AE409,"")</f>
        <v/>
      </c>
      <c r="L409" s="318">
        <f>IF(E409=Data!R421,Data!AI421,"")</f>
        <v>0</v>
      </c>
      <c r="M409" s="318">
        <f>IF(E409=Data!R421,Data!AJ421,"")</f>
        <v>0</v>
      </c>
      <c r="N409" s="437" t="str">
        <f>IF(AND(Data!R421&lt;&gt;"",Data!L421="Accepté"),Data!K421,"")</f>
        <v/>
      </c>
    </row>
    <row r="410" spans="1:14" hidden="1" x14ac:dyDescent="0.3">
      <c r="A410" s="393" t="str">
        <f>IF(AND(Data!R410&lt;&gt;"",Data!L410="Accepté"),Data!G410,"")</f>
        <v/>
      </c>
      <c r="B410" s="393" t="str">
        <f>IF(AND(Data!R410&lt;&gt;"",Data!L410="Accepté"),Data!L410,"")</f>
        <v/>
      </c>
      <c r="C410" s="391" t="str">
        <f t="shared" si="14"/>
        <v/>
      </c>
      <c r="D410" s="392" t="str">
        <f>IF(AND(Data!Q410&lt;&gt;"",Data!L410="Accepté"),Data!Q410,"")</f>
        <v/>
      </c>
      <c r="E410" s="237" t="str">
        <f>IF(AND(Data!R410&lt;&gt;"",Data!L410="Accepté"),Data!R410,"")</f>
        <v/>
      </c>
      <c r="F410" s="326" t="str">
        <f>IF(AND(Data!R410&lt;&gt;"",Data!L410="Accepté"),Data!S410,"")</f>
        <v/>
      </c>
      <c r="G410" s="322">
        <f>IF(Data!R410='Delivery Plan'!E410,Data!U410,"")</f>
        <v>0</v>
      </c>
      <c r="H410" s="259"/>
      <c r="I410" s="391" t="str">
        <f t="shared" si="15"/>
        <v/>
      </c>
      <c r="J410" s="392" t="str">
        <f>IF(AND(E410=Data!R410,Data!AA410&lt;&gt;""),Data!AA410,"")</f>
        <v/>
      </c>
      <c r="K410" s="313" t="str">
        <f>IF(AND(E410=Data!R410,Data!AE410&lt;&gt;""),Data!AE410,"")</f>
        <v/>
      </c>
      <c r="L410" s="318">
        <f>IF(E410=Data!R422,Data!AI422,"")</f>
        <v>0</v>
      </c>
      <c r="M410" s="318">
        <f>IF(E410=Data!R422,Data!AJ422,"")</f>
        <v>0</v>
      </c>
      <c r="N410" s="437" t="str">
        <f>IF(AND(Data!R422&lt;&gt;"",Data!L422="Accepté"),Data!K422,"")</f>
        <v/>
      </c>
    </row>
    <row r="411" spans="1:14" hidden="1" x14ac:dyDescent="0.3">
      <c r="A411" s="393" t="str">
        <f>IF(AND(Data!R411&lt;&gt;"",Data!L411="Accepté"),Data!G411,"")</f>
        <v/>
      </c>
      <c r="B411" s="393" t="str">
        <f>IF(AND(Data!R411&lt;&gt;"",Data!L411="Accepté"),Data!L411,"")</f>
        <v/>
      </c>
      <c r="C411" s="391" t="str">
        <f t="shared" si="14"/>
        <v/>
      </c>
      <c r="D411" s="392" t="str">
        <f>IF(AND(Data!Q411&lt;&gt;"",Data!L411="Accepté"),Data!Q411,"")</f>
        <v/>
      </c>
      <c r="E411" s="237" t="str">
        <f>IF(AND(Data!R411&lt;&gt;"",Data!L411="Accepté"),Data!R411,"")</f>
        <v/>
      </c>
      <c r="F411" s="326" t="str">
        <f>IF(AND(Data!R411&lt;&gt;"",Data!L411="Accepté"),Data!S411,"")</f>
        <v/>
      </c>
      <c r="G411" s="322">
        <f>IF(Data!R411='Delivery Plan'!E411,Data!U411,"")</f>
        <v>0</v>
      </c>
      <c r="H411" s="259"/>
      <c r="I411" s="391" t="str">
        <f t="shared" si="15"/>
        <v/>
      </c>
      <c r="J411" s="392" t="str">
        <f>IF(AND(E411=Data!R411,Data!AA411&lt;&gt;""),Data!AA411,"")</f>
        <v/>
      </c>
      <c r="K411" s="313" t="str">
        <f>IF(AND(E411=Data!R411,Data!AE411&lt;&gt;""),Data!AE411,"")</f>
        <v/>
      </c>
      <c r="L411" s="318">
        <f>IF(E411=Data!R423,Data!AI423,"")</f>
        <v>0</v>
      </c>
      <c r="M411" s="318">
        <f>IF(E411=Data!R423,Data!AJ423,"")</f>
        <v>0</v>
      </c>
      <c r="N411" s="437" t="str">
        <f>IF(AND(Data!R423&lt;&gt;"",Data!L423="Accepté"),Data!K423,"")</f>
        <v/>
      </c>
    </row>
    <row r="412" spans="1:14" hidden="1" x14ac:dyDescent="0.3">
      <c r="A412" s="393" t="str">
        <f>IF(AND(Data!R412&lt;&gt;"",Data!L412="Accepté"),Data!G412,"")</f>
        <v/>
      </c>
      <c r="B412" s="393" t="str">
        <f>IF(AND(Data!R412&lt;&gt;"",Data!L412="Accepté"),Data!L412,"")</f>
        <v/>
      </c>
      <c r="C412" s="391" t="str">
        <f t="shared" si="14"/>
        <v/>
      </c>
      <c r="D412" s="392" t="str">
        <f>IF(AND(Data!Q412&lt;&gt;"",Data!L412="Accepté"),Data!Q412,"")</f>
        <v/>
      </c>
      <c r="E412" s="237" t="str">
        <f>IF(AND(Data!R412&lt;&gt;"",Data!L412="Accepté"),Data!R412,"")</f>
        <v/>
      </c>
      <c r="F412" s="326" t="str">
        <f>IF(AND(Data!R412&lt;&gt;"",Data!L412="Accepté"),Data!S412,"")</f>
        <v/>
      </c>
      <c r="G412" s="322">
        <f>IF(Data!R412='Delivery Plan'!E412,Data!U412,"")</f>
        <v>0</v>
      </c>
      <c r="H412" s="259"/>
      <c r="I412" s="391" t="str">
        <f t="shared" si="15"/>
        <v/>
      </c>
      <c r="J412" s="392" t="str">
        <f>IF(AND(E412=Data!R412,Data!AA412&lt;&gt;""),Data!AA412,"")</f>
        <v/>
      </c>
      <c r="K412" s="313" t="str">
        <f>IF(AND(E412=Data!R412,Data!AE412&lt;&gt;""),Data!AE412,"")</f>
        <v/>
      </c>
      <c r="L412" s="318">
        <f>IF(E412=Data!R424,Data!AI424,"")</f>
        <v>0</v>
      </c>
      <c r="M412" s="318">
        <f>IF(E412=Data!R424,Data!AJ424,"")</f>
        <v>0</v>
      </c>
      <c r="N412" s="437" t="str">
        <f>IF(AND(Data!R424&lt;&gt;"",Data!L424="Accepté"),Data!K424,"")</f>
        <v/>
      </c>
    </row>
    <row r="413" spans="1:14" hidden="1" x14ac:dyDescent="0.3">
      <c r="A413" s="393" t="str">
        <f>IF(AND(Data!R413&lt;&gt;"",Data!L413="Accepté"),Data!G413,"")</f>
        <v/>
      </c>
      <c r="B413" s="393" t="str">
        <f>IF(AND(Data!R413&lt;&gt;"",Data!L413="Accepté"),Data!L413,"")</f>
        <v/>
      </c>
      <c r="C413" s="391" t="str">
        <f t="shared" si="14"/>
        <v/>
      </c>
      <c r="D413" s="392" t="str">
        <f>IF(AND(Data!Q413&lt;&gt;"",Data!L413="Accepté"),Data!Q413,"")</f>
        <v/>
      </c>
      <c r="E413" s="237" t="str">
        <f>IF(AND(Data!R413&lt;&gt;"",Data!L413="Accepté"),Data!R413,"")</f>
        <v/>
      </c>
      <c r="F413" s="326" t="str">
        <f>IF(AND(Data!R413&lt;&gt;"",Data!L413="Accepté"),Data!S413,"")</f>
        <v/>
      </c>
      <c r="G413" s="322">
        <f>IF(Data!R413='Delivery Plan'!E413,Data!U413,"")</f>
        <v>0</v>
      </c>
      <c r="H413" s="259"/>
      <c r="I413" s="391" t="str">
        <f t="shared" si="15"/>
        <v/>
      </c>
      <c r="J413" s="392" t="str">
        <f>IF(AND(E413=Data!R413,Data!AA413&lt;&gt;""),Data!AA413,"")</f>
        <v/>
      </c>
      <c r="K413" s="313" t="str">
        <f>IF(AND(E413=Data!R413,Data!AE413&lt;&gt;""),Data!AE413,"")</f>
        <v/>
      </c>
      <c r="L413" s="318">
        <f>IF(E413=Data!R425,Data!AI425,"")</f>
        <v>0</v>
      </c>
      <c r="M413" s="318">
        <f>IF(E413=Data!R425,Data!AJ425,"")</f>
        <v>0</v>
      </c>
      <c r="N413" s="437" t="str">
        <f>IF(AND(Data!R425&lt;&gt;"",Data!L425="Accepté"),Data!K425,"")</f>
        <v/>
      </c>
    </row>
    <row r="414" spans="1:14" hidden="1" x14ac:dyDescent="0.3">
      <c r="A414" s="393" t="str">
        <f>IF(AND(Data!R414&lt;&gt;"",Data!L414="Accepté"),Data!G414,"")</f>
        <v/>
      </c>
      <c r="B414" s="393" t="str">
        <f>IF(AND(Data!R414&lt;&gt;"",Data!L414="Accepté"),Data!L414,"")</f>
        <v/>
      </c>
      <c r="C414" s="391" t="str">
        <f t="shared" si="14"/>
        <v/>
      </c>
      <c r="D414" s="392" t="str">
        <f>IF(AND(Data!Q414&lt;&gt;"",Data!L414="Accepté"),Data!Q414,"")</f>
        <v/>
      </c>
      <c r="E414" s="237" t="str">
        <f>IF(AND(Data!R414&lt;&gt;"",Data!L414="Accepté"),Data!R414,"")</f>
        <v/>
      </c>
      <c r="F414" s="326" t="str">
        <f>IF(AND(Data!R414&lt;&gt;"",Data!L414="Accepté"),Data!S414,"")</f>
        <v/>
      </c>
      <c r="G414" s="322">
        <f>IF(Data!R414='Delivery Plan'!E414,Data!U414,"")</f>
        <v>0</v>
      </c>
      <c r="H414" s="259"/>
      <c r="I414" s="391" t="str">
        <f t="shared" si="15"/>
        <v/>
      </c>
      <c r="J414" s="392" t="str">
        <f>IF(AND(E414=Data!R414,Data!AA414&lt;&gt;""),Data!AA414,"")</f>
        <v/>
      </c>
      <c r="K414" s="313" t="str">
        <f>IF(AND(E414=Data!R414,Data!AE414&lt;&gt;""),Data!AE414,"")</f>
        <v/>
      </c>
      <c r="L414" s="318">
        <f>IF(E414=Data!R426,Data!AI426,"")</f>
        <v>0</v>
      </c>
      <c r="M414" s="318">
        <f>IF(E414=Data!R426,Data!AJ426,"")</f>
        <v>0</v>
      </c>
      <c r="N414" s="437" t="str">
        <f>IF(AND(Data!R426&lt;&gt;"",Data!L426="Accepté"),Data!K426,"")</f>
        <v/>
      </c>
    </row>
    <row r="415" spans="1:14" hidden="1" x14ac:dyDescent="0.3">
      <c r="A415" s="393" t="str">
        <f>IF(AND(Data!R415&lt;&gt;"",Data!L415="Accepté"),Data!G415,"")</f>
        <v/>
      </c>
      <c r="B415" s="393" t="str">
        <f>IF(AND(Data!R415&lt;&gt;"",Data!L415="Accepté"),Data!L415,"")</f>
        <v/>
      </c>
      <c r="C415" s="391" t="str">
        <f t="shared" si="14"/>
        <v/>
      </c>
      <c r="D415" s="392" t="str">
        <f>IF(AND(Data!Q415&lt;&gt;"",Data!L415="Accepté"),Data!Q415,"")</f>
        <v/>
      </c>
      <c r="E415" s="237" t="str">
        <f>IF(AND(Data!R415&lt;&gt;"",Data!L415="Accepté"),Data!R415,"")</f>
        <v/>
      </c>
      <c r="F415" s="326" t="str">
        <f>IF(AND(Data!R415&lt;&gt;"",Data!L415="Accepté"),Data!S415,"")</f>
        <v/>
      </c>
      <c r="G415" s="322">
        <f>IF(Data!R415='Delivery Plan'!E415,Data!U415,"")</f>
        <v>0</v>
      </c>
      <c r="H415" s="259"/>
      <c r="I415" s="391" t="str">
        <f t="shared" si="15"/>
        <v/>
      </c>
      <c r="J415" s="392" t="str">
        <f>IF(AND(E415=Data!R415,Data!AA415&lt;&gt;""),Data!AA415,"")</f>
        <v/>
      </c>
      <c r="K415" s="313" t="str">
        <f>IF(AND(E415=Data!R415,Data!AE415&lt;&gt;""),Data!AE415,"")</f>
        <v/>
      </c>
      <c r="L415" s="318">
        <f>IF(E415=Data!R427,Data!AI427,"")</f>
        <v>0</v>
      </c>
      <c r="M415" s="318">
        <f>IF(E415=Data!R427,Data!AJ427,"")</f>
        <v>0</v>
      </c>
      <c r="N415" s="437" t="str">
        <f>IF(AND(Data!R427&lt;&gt;"",Data!L427="Accepté"),Data!K427,"")</f>
        <v/>
      </c>
    </row>
    <row r="416" spans="1:14" hidden="1" x14ac:dyDescent="0.3">
      <c r="A416" s="393" t="str">
        <f>IF(AND(Data!R416&lt;&gt;"",Data!L416="Accepté"),Data!G416,"")</f>
        <v/>
      </c>
      <c r="B416" s="393" t="str">
        <f>IF(AND(Data!R416&lt;&gt;"",Data!L416="Accepté"),Data!L416,"")</f>
        <v/>
      </c>
      <c r="C416" s="391" t="str">
        <f t="shared" si="14"/>
        <v/>
      </c>
      <c r="D416" s="392" t="str">
        <f>IF(AND(Data!Q416&lt;&gt;"",Data!L416="Accepté"),Data!Q416,"")</f>
        <v/>
      </c>
      <c r="E416" s="237" t="str">
        <f>IF(AND(Data!R416&lt;&gt;"",Data!L416="Accepté"),Data!R416,"")</f>
        <v/>
      </c>
      <c r="F416" s="326" t="str">
        <f>IF(AND(Data!R416&lt;&gt;"",Data!L416="Accepté"),Data!S416,"")</f>
        <v/>
      </c>
      <c r="G416" s="322">
        <f>IF(Data!R416='Delivery Plan'!E416,Data!U416,"")</f>
        <v>0</v>
      </c>
      <c r="H416" s="259"/>
      <c r="I416" s="391" t="str">
        <f t="shared" si="15"/>
        <v/>
      </c>
      <c r="J416" s="392" t="str">
        <f>IF(AND(E416=Data!R416,Data!AA416&lt;&gt;""),Data!AA416,"")</f>
        <v/>
      </c>
      <c r="K416" s="313" t="str">
        <f>IF(AND(E416=Data!R416,Data!AE416&lt;&gt;""),Data!AE416,"")</f>
        <v/>
      </c>
      <c r="L416" s="318">
        <f>IF(E416=Data!R428,Data!AI428,"")</f>
        <v>0</v>
      </c>
      <c r="M416" s="318">
        <f>IF(E416=Data!R428,Data!AJ428,"")</f>
        <v>0</v>
      </c>
      <c r="N416" s="437" t="str">
        <f>IF(AND(Data!R428&lt;&gt;"",Data!L428="Accepté"),Data!K428,"")</f>
        <v/>
      </c>
    </row>
    <row r="417" spans="1:14" hidden="1" x14ac:dyDescent="0.3">
      <c r="A417" s="393" t="str">
        <f>IF(AND(Data!R417&lt;&gt;"",Data!L417="Accepté"),Data!G417,"")</f>
        <v/>
      </c>
      <c r="B417" s="393" t="str">
        <f>IF(AND(Data!R417&lt;&gt;"",Data!L417="Accepté"),Data!L417,"")</f>
        <v/>
      </c>
      <c r="C417" s="391" t="str">
        <f t="shared" si="14"/>
        <v/>
      </c>
      <c r="D417" s="392" t="str">
        <f>IF(AND(Data!Q417&lt;&gt;"",Data!L417="Accepté"),Data!Q417,"")</f>
        <v/>
      </c>
      <c r="E417" s="237" t="str">
        <f>IF(AND(Data!R417&lt;&gt;"",Data!L417="Accepté"),Data!R417,"")</f>
        <v/>
      </c>
      <c r="F417" s="326" t="str">
        <f>IF(AND(Data!R417&lt;&gt;"",Data!L417="Accepté"),Data!S417,"")</f>
        <v/>
      </c>
      <c r="G417" s="322">
        <f>IF(Data!R417='Delivery Plan'!E417,Data!U417,"")</f>
        <v>0</v>
      </c>
      <c r="H417" s="259"/>
      <c r="I417" s="391" t="str">
        <f t="shared" si="15"/>
        <v/>
      </c>
      <c r="J417" s="392" t="str">
        <f>IF(AND(E417=Data!R417,Data!AA417&lt;&gt;""),Data!AA417,"")</f>
        <v/>
      </c>
      <c r="K417" s="313" t="str">
        <f>IF(AND(E417=Data!R417,Data!AE417&lt;&gt;""),Data!AE417,"")</f>
        <v/>
      </c>
      <c r="L417" s="318">
        <f>IF(E417=Data!R429,Data!AI429,"")</f>
        <v>0</v>
      </c>
      <c r="M417" s="318">
        <f>IF(E417=Data!R429,Data!AJ429,"")</f>
        <v>0</v>
      </c>
      <c r="N417" s="437" t="str">
        <f>IF(AND(Data!R429&lt;&gt;"",Data!L429="Accepté"),Data!K429,"")</f>
        <v/>
      </c>
    </row>
    <row r="418" spans="1:14" hidden="1" x14ac:dyDescent="0.3">
      <c r="A418" s="393" t="str">
        <f>IF(AND(Data!R418&lt;&gt;"",Data!L418="Accepté"),Data!G418,"")</f>
        <v/>
      </c>
      <c r="B418" s="393" t="str">
        <f>IF(AND(Data!R418&lt;&gt;"",Data!L418="Accepté"),Data!L418,"")</f>
        <v/>
      </c>
      <c r="C418" s="391" t="str">
        <f t="shared" si="14"/>
        <v/>
      </c>
      <c r="D418" s="392" t="str">
        <f>IF(AND(Data!Q418&lt;&gt;"",Data!L418="Accepté"),Data!Q418,"")</f>
        <v/>
      </c>
      <c r="E418" s="237" t="str">
        <f>IF(AND(Data!R418&lt;&gt;"",Data!L418="Accepté"),Data!R418,"")</f>
        <v/>
      </c>
      <c r="F418" s="326" t="str">
        <f>IF(AND(Data!R418&lt;&gt;"",Data!L418="Accepté"),Data!S418,"")</f>
        <v/>
      </c>
      <c r="G418" s="322">
        <f>IF(Data!R418='Delivery Plan'!E418,Data!U418,"")</f>
        <v>0</v>
      </c>
      <c r="H418" s="259"/>
      <c r="I418" s="391" t="str">
        <f t="shared" si="15"/>
        <v/>
      </c>
      <c r="J418" s="392" t="str">
        <f>IF(AND(E418=Data!R418,Data!AA418&lt;&gt;""),Data!AA418,"")</f>
        <v/>
      </c>
      <c r="K418" s="313" t="str">
        <f>IF(AND(E418=Data!R418,Data!AE418&lt;&gt;""),Data!AE418,"")</f>
        <v/>
      </c>
      <c r="L418" s="318">
        <f>IF(E418=Data!R430,Data!AI430,"")</f>
        <v>0</v>
      </c>
      <c r="M418" s="318">
        <f>IF(E418=Data!R430,Data!AJ430,"")</f>
        <v>0</v>
      </c>
      <c r="N418" s="437" t="str">
        <f>IF(AND(Data!R430&lt;&gt;"",Data!L430="Accepté"),Data!K430,"")</f>
        <v/>
      </c>
    </row>
    <row r="419" spans="1:14" hidden="1" x14ac:dyDescent="0.3">
      <c r="A419" s="393" t="str">
        <f>IF(AND(Data!R419&lt;&gt;"",Data!L419="Accepté"),Data!G419,"")</f>
        <v/>
      </c>
      <c r="B419" s="393" t="str">
        <f>IF(AND(Data!R419&lt;&gt;"",Data!L419="Accepté"),Data!L419,"")</f>
        <v/>
      </c>
      <c r="C419" s="391" t="str">
        <f t="shared" si="14"/>
        <v/>
      </c>
      <c r="D419" s="392" t="str">
        <f>IF(AND(Data!Q419&lt;&gt;"",Data!L419="Accepté"),Data!Q419,"")</f>
        <v/>
      </c>
      <c r="E419" s="237" t="str">
        <f>IF(AND(Data!R419&lt;&gt;"",Data!L419="Accepté"),Data!R419,"")</f>
        <v/>
      </c>
      <c r="F419" s="326" t="str">
        <f>IF(AND(Data!R419&lt;&gt;"",Data!L419="Accepté"),Data!S419,"")</f>
        <v/>
      </c>
      <c r="G419" s="322">
        <f>IF(Data!R419='Delivery Plan'!E419,Data!U419,"")</f>
        <v>0</v>
      </c>
      <c r="H419" s="259"/>
      <c r="I419" s="391" t="str">
        <f t="shared" si="15"/>
        <v/>
      </c>
      <c r="J419" s="392" t="str">
        <f>IF(AND(E419=Data!R419,Data!AA419&lt;&gt;""),Data!AA419,"")</f>
        <v/>
      </c>
      <c r="K419" s="313" t="str">
        <f>IF(AND(E419=Data!R419,Data!AE419&lt;&gt;""),Data!AE419,"")</f>
        <v/>
      </c>
      <c r="L419" s="318">
        <f>IF(E419=Data!R431,Data!AI431,"")</f>
        <v>0</v>
      </c>
      <c r="M419" s="318">
        <f>IF(E419=Data!R431,Data!AJ431,"")</f>
        <v>0</v>
      </c>
      <c r="N419" s="437" t="str">
        <f>IF(AND(Data!R431&lt;&gt;"",Data!L431="Accepté"),Data!K431,"")</f>
        <v/>
      </c>
    </row>
    <row r="420" spans="1:14" hidden="1" x14ac:dyDescent="0.3">
      <c r="A420" s="393" t="str">
        <f>IF(AND(Data!R420&lt;&gt;"",Data!L420="Accepté"),Data!G420,"")</f>
        <v/>
      </c>
      <c r="B420" s="393" t="str">
        <f>IF(AND(Data!R420&lt;&gt;"",Data!L420="Accepté"),Data!L420,"")</f>
        <v/>
      </c>
      <c r="C420" s="391" t="str">
        <f t="shared" si="14"/>
        <v/>
      </c>
      <c r="D420" s="392" t="str">
        <f>IF(AND(Data!Q420&lt;&gt;"",Data!L420="Accepté"),Data!Q420,"")</f>
        <v/>
      </c>
      <c r="E420" s="237" t="str">
        <f>IF(AND(Data!R420&lt;&gt;"",Data!L420="Accepté"),Data!R420,"")</f>
        <v/>
      </c>
      <c r="F420" s="326" t="str">
        <f>IF(AND(Data!R420&lt;&gt;"",Data!L420="Accepté"),Data!S420,"")</f>
        <v/>
      </c>
      <c r="G420" s="322">
        <f>IF(Data!R420='Delivery Plan'!E420,Data!U420,"")</f>
        <v>0</v>
      </c>
      <c r="H420" s="259"/>
      <c r="I420" s="391" t="str">
        <f t="shared" si="15"/>
        <v/>
      </c>
      <c r="J420" s="392" t="str">
        <f>IF(AND(E420=Data!R420,Data!AA420&lt;&gt;""),Data!AA420,"")</f>
        <v/>
      </c>
      <c r="K420" s="313" t="str">
        <f>IF(AND(E420=Data!R420,Data!AE420&lt;&gt;""),Data!AE420,"")</f>
        <v/>
      </c>
      <c r="L420" s="318">
        <f>IF(E420=Data!R432,Data!AI432,"")</f>
        <v>0</v>
      </c>
      <c r="M420" s="318">
        <f>IF(E420=Data!R432,Data!AJ432,"")</f>
        <v>0</v>
      </c>
      <c r="N420" s="437" t="str">
        <f>IF(AND(Data!R432&lt;&gt;"",Data!L432="Accepté"),Data!K432,"")</f>
        <v/>
      </c>
    </row>
    <row r="421" spans="1:14" hidden="1" x14ac:dyDescent="0.3">
      <c r="A421" s="393" t="str">
        <f>IF(AND(Data!R421&lt;&gt;"",Data!L421="Accepté"),Data!G421,"")</f>
        <v/>
      </c>
      <c r="B421" s="393" t="str">
        <f>IF(AND(Data!R421&lt;&gt;"",Data!L421="Accepté"),Data!L421,"")</f>
        <v/>
      </c>
      <c r="C421" s="391" t="str">
        <f t="shared" si="14"/>
        <v/>
      </c>
      <c r="D421" s="392" t="str">
        <f>IF(AND(Data!Q421&lt;&gt;"",Data!L421="Accepté"),Data!Q421,"")</f>
        <v/>
      </c>
      <c r="E421" s="237" t="str">
        <f>IF(AND(Data!R421&lt;&gt;"",Data!L421="Accepté"),Data!R421,"")</f>
        <v/>
      </c>
      <c r="F421" s="326" t="str">
        <f>IF(AND(Data!R421&lt;&gt;"",Data!L421="Accepté"),Data!S421,"")</f>
        <v/>
      </c>
      <c r="G421" s="322">
        <f>IF(Data!R421='Delivery Plan'!E421,Data!U421,"")</f>
        <v>0</v>
      </c>
      <c r="H421" s="259"/>
      <c r="I421" s="391" t="str">
        <f t="shared" si="15"/>
        <v/>
      </c>
      <c r="J421" s="392" t="str">
        <f>IF(AND(E421=Data!R421,Data!AA421&lt;&gt;""),Data!AA421,"")</f>
        <v/>
      </c>
      <c r="K421" s="313" t="str">
        <f>IF(AND(E421=Data!R421,Data!AE421&lt;&gt;""),Data!AE421,"")</f>
        <v/>
      </c>
      <c r="L421" s="318">
        <f>IF(E421=Data!R433,Data!AI433,"")</f>
        <v>0</v>
      </c>
      <c r="M421" s="318">
        <f>IF(E421=Data!R433,Data!AJ433,"")</f>
        <v>0</v>
      </c>
      <c r="N421" s="437" t="str">
        <f>IF(AND(Data!R433&lt;&gt;"",Data!L433="Accepté"),Data!K433,"")</f>
        <v/>
      </c>
    </row>
    <row r="422" spans="1:14" hidden="1" x14ac:dyDescent="0.3">
      <c r="A422" s="393" t="str">
        <f>IF(AND(Data!R422&lt;&gt;"",Data!L422="Accepté"),Data!G422,"")</f>
        <v/>
      </c>
      <c r="B422" s="393" t="str">
        <f>IF(AND(Data!R422&lt;&gt;"",Data!L422="Accepté"),Data!L422,"")</f>
        <v/>
      </c>
      <c r="C422" s="391" t="str">
        <f t="shared" si="14"/>
        <v/>
      </c>
      <c r="D422" s="392" t="str">
        <f>IF(AND(Data!Q422&lt;&gt;"",Data!L422="Accepté"),Data!Q422,"")</f>
        <v/>
      </c>
      <c r="E422" s="237" t="str">
        <f>IF(AND(Data!R422&lt;&gt;"",Data!L422="Accepté"),Data!R422,"")</f>
        <v/>
      </c>
      <c r="F422" s="326" t="str">
        <f>IF(AND(Data!R422&lt;&gt;"",Data!L422="Accepté"),Data!S422,"")</f>
        <v/>
      </c>
      <c r="G422" s="322">
        <f>IF(Data!R422='Delivery Plan'!E422,Data!U422,"")</f>
        <v>0</v>
      </c>
      <c r="H422" s="259"/>
      <c r="I422" s="391" t="str">
        <f t="shared" si="15"/>
        <v/>
      </c>
      <c r="J422" s="392" t="str">
        <f>IF(AND(E422=Data!R422,Data!AA422&lt;&gt;""),Data!AA422,"")</f>
        <v/>
      </c>
      <c r="K422" s="313" t="str">
        <f>IF(AND(E422=Data!R422,Data!AE422&lt;&gt;""),Data!AE422,"")</f>
        <v/>
      </c>
      <c r="L422" s="318">
        <f>IF(E422=Data!R434,Data!AI434,"")</f>
        <v>0</v>
      </c>
      <c r="M422" s="318">
        <f>IF(E422=Data!R434,Data!AJ434,"")</f>
        <v>0</v>
      </c>
      <c r="N422" s="437" t="str">
        <f>IF(AND(Data!R434&lt;&gt;"",Data!L434="Accepté"),Data!K434,"")</f>
        <v/>
      </c>
    </row>
    <row r="423" spans="1:14" hidden="1" x14ac:dyDescent="0.3">
      <c r="A423" s="393" t="str">
        <f>IF(AND(Data!R423&lt;&gt;"",Data!L423="Accepté"),Data!G423,"")</f>
        <v/>
      </c>
      <c r="B423" s="393" t="str">
        <f>IF(AND(Data!R423&lt;&gt;"",Data!L423="Accepté"),Data!L423,"")</f>
        <v/>
      </c>
      <c r="C423" s="391" t="str">
        <f t="shared" si="14"/>
        <v/>
      </c>
      <c r="D423" s="392" t="str">
        <f>IF(AND(Data!Q423&lt;&gt;"",Data!L423="Accepté"),Data!Q423,"")</f>
        <v/>
      </c>
      <c r="E423" s="237" t="str">
        <f>IF(AND(Data!R423&lt;&gt;"",Data!L423="Accepté"),Data!R423,"")</f>
        <v/>
      </c>
      <c r="F423" s="326" t="str">
        <f>IF(AND(Data!R423&lt;&gt;"",Data!L423="Accepté"),Data!S423,"")</f>
        <v/>
      </c>
      <c r="G423" s="322">
        <f>IF(Data!R423='Delivery Plan'!E423,Data!U423,"")</f>
        <v>0</v>
      </c>
      <c r="H423" s="259"/>
      <c r="I423" s="391" t="str">
        <f t="shared" si="15"/>
        <v/>
      </c>
      <c r="J423" s="392" t="str">
        <f>IF(AND(E423=Data!R423,Data!AA423&lt;&gt;""),Data!AA423,"")</f>
        <v/>
      </c>
      <c r="K423" s="313" t="str">
        <f>IF(AND(E423=Data!R423,Data!AE423&lt;&gt;""),Data!AE423,"")</f>
        <v/>
      </c>
      <c r="L423" s="318">
        <f>IF(E423=Data!R435,Data!AI435,"")</f>
        <v>0</v>
      </c>
      <c r="M423" s="318">
        <f>IF(E423=Data!R435,Data!AJ435,"")</f>
        <v>0</v>
      </c>
      <c r="N423" s="437" t="str">
        <f>IF(AND(Data!R435&lt;&gt;"",Data!L435="Accepté"),Data!K435,"")</f>
        <v/>
      </c>
    </row>
    <row r="424" spans="1:14" hidden="1" x14ac:dyDescent="0.3">
      <c r="A424" s="393" t="str">
        <f>IF(AND(Data!R424&lt;&gt;"",Data!L424="Accepté"),Data!G424,"")</f>
        <v/>
      </c>
      <c r="B424" s="393" t="str">
        <f>IF(AND(Data!R424&lt;&gt;"",Data!L424="Accepté"),Data!L424,"")</f>
        <v/>
      </c>
      <c r="C424" s="391" t="str">
        <f t="shared" si="14"/>
        <v/>
      </c>
      <c r="D424" s="392" t="str">
        <f>IF(AND(Data!Q424&lt;&gt;"",Data!L424="Accepté"),Data!Q424,"")</f>
        <v/>
      </c>
      <c r="E424" s="237" t="str">
        <f>IF(AND(Data!R424&lt;&gt;"",Data!L424="Accepté"),Data!R424,"")</f>
        <v/>
      </c>
      <c r="F424" s="326" t="str">
        <f>IF(AND(Data!R424&lt;&gt;"",Data!L424="Accepté"),Data!S424,"")</f>
        <v/>
      </c>
      <c r="G424" s="322">
        <f>IF(Data!R424='Delivery Plan'!E424,Data!U424,"")</f>
        <v>0</v>
      </c>
      <c r="H424" s="259"/>
      <c r="I424" s="391" t="str">
        <f t="shared" si="15"/>
        <v/>
      </c>
      <c r="J424" s="392" t="str">
        <f>IF(AND(E424=Data!R424,Data!AA424&lt;&gt;""),Data!AA424,"")</f>
        <v/>
      </c>
      <c r="K424" s="313" t="str">
        <f>IF(AND(E424=Data!R424,Data!AE424&lt;&gt;""),Data!AE424,"")</f>
        <v/>
      </c>
      <c r="L424" s="318">
        <f>IF(E424=Data!R436,Data!AI436,"")</f>
        <v>0</v>
      </c>
      <c r="M424" s="318">
        <f>IF(E424=Data!R436,Data!AJ436,"")</f>
        <v>0</v>
      </c>
      <c r="N424" s="437" t="str">
        <f>IF(AND(Data!R436&lt;&gt;"",Data!L436="Accepté"),Data!K436,"")</f>
        <v/>
      </c>
    </row>
    <row r="425" spans="1:14" hidden="1" x14ac:dyDescent="0.3">
      <c r="A425" s="393" t="str">
        <f>IF(AND(Data!R425&lt;&gt;"",Data!L425="Accepté"),Data!G425,"")</f>
        <v/>
      </c>
      <c r="B425" s="393" t="str">
        <f>IF(AND(Data!R425&lt;&gt;"",Data!L425="Accepté"),Data!L425,"")</f>
        <v/>
      </c>
      <c r="C425" s="391" t="str">
        <f t="shared" si="14"/>
        <v/>
      </c>
      <c r="D425" s="392" t="str">
        <f>IF(AND(Data!Q425&lt;&gt;"",Data!L425="Accepté"),Data!Q425,"")</f>
        <v/>
      </c>
      <c r="E425" s="237" t="str">
        <f>IF(AND(Data!R425&lt;&gt;"",Data!L425="Accepté"),Data!R425,"")</f>
        <v/>
      </c>
      <c r="F425" s="326" t="str">
        <f>IF(AND(Data!R425&lt;&gt;"",Data!L425="Accepté"),Data!S425,"")</f>
        <v/>
      </c>
      <c r="G425" s="322">
        <f>IF(Data!R425='Delivery Plan'!E425,Data!U425,"")</f>
        <v>0</v>
      </c>
      <c r="H425" s="259"/>
      <c r="I425" s="391" t="str">
        <f t="shared" si="15"/>
        <v/>
      </c>
      <c r="J425" s="392" t="str">
        <f>IF(AND(E425=Data!R425,Data!AA425&lt;&gt;""),Data!AA425,"")</f>
        <v/>
      </c>
      <c r="K425" s="313" t="str">
        <f>IF(AND(E425=Data!R425,Data!AE425&lt;&gt;""),Data!AE425,"")</f>
        <v/>
      </c>
      <c r="L425" s="318">
        <f>IF(E425=Data!R437,Data!AI437,"")</f>
        <v>0</v>
      </c>
      <c r="M425" s="318">
        <f>IF(E425=Data!R437,Data!AJ437,"")</f>
        <v>0</v>
      </c>
      <c r="N425" s="437" t="str">
        <f>IF(AND(Data!R437&lt;&gt;"",Data!L437="Accepté"),Data!K437,"")</f>
        <v/>
      </c>
    </row>
    <row r="426" spans="1:14" hidden="1" x14ac:dyDescent="0.3">
      <c r="A426" s="393" t="str">
        <f>IF(AND(Data!R426&lt;&gt;"",Data!L426="Accepté"),Data!G426,"")</f>
        <v/>
      </c>
      <c r="B426" s="393" t="str">
        <f>IF(AND(Data!R426&lt;&gt;"",Data!L426="Accepté"),Data!L426,"")</f>
        <v/>
      </c>
      <c r="C426" s="391" t="str">
        <f t="shared" si="14"/>
        <v/>
      </c>
      <c r="D426" s="392" t="str">
        <f>IF(AND(Data!Q426&lt;&gt;"",Data!L426="Accepté"),Data!Q426,"")</f>
        <v/>
      </c>
      <c r="E426" s="237" t="str">
        <f>IF(AND(Data!R426&lt;&gt;"",Data!L426="Accepté"),Data!R426,"")</f>
        <v/>
      </c>
      <c r="F426" s="326" t="str">
        <f>IF(AND(Data!R426&lt;&gt;"",Data!L426="Accepté"),Data!S426,"")</f>
        <v/>
      </c>
      <c r="G426" s="322">
        <f>IF(Data!R426='Delivery Plan'!E426,Data!U426,"")</f>
        <v>0</v>
      </c>
      <c r="H426" s="259"/>
      <c r="I426" s="391" t="str">
        <f t="shared" si="15"/>
        <v/>
      </c>
      <c r="J426" s="392" t="str">
        <f>IF(AND(E426=Data!R426,Data!AA426&lt;&gt;""),Data!AA426,"")</f>
        <v/>
      </c>
      <c r="K426" s="313" t="str">
        <f>IF(AND(E426=Data!R426,Data!AE426&lt;&gt;""),Data!AE426,"")</f>
        <v/>
      </c>
      <c r="L426" s="318">
        <f>IF(E426=Data!R438,Data!AI438,"")</f>
        <v>0</v>
      </c>
      <c r="M426" s="318">
        <f>IF(E426=Data!R438,Data!AJ438,"")</f>
        <v>0</v>
      </c>
      <c r="N426" s="437" t="str">
        <f>IF(AND(Data!R438&lt;&gt;"",Data!L438="Accepté"),Data!K438,"")</f>
        <v/>
      </c>
    </row>
    <row r="427" spans="1:14" hidden="1" x14ac:dyDescent="0.3">
      <c r="A427" s="393" t="str">
        <f>IF(AND(Data!R427&lt;&gt;"",Data!L427="Accepté"),Data!G427,"")</f>
        <v/>
      </c>
      <c r="B427" s="393" t="str">
        <f>IF(AND(Data!R427&lt;&gt;"",Data!L427="Accepté"),Data!L427,"")</f>
        <v/>
      </c>
      <c r="C427" s="391" t="str">
        <f t="shared" si="14"/>
        <v/>
      </c>
      <c r="D427" s="392" t="str">
        <f>IF(AND(Data!Q427&lt;&gt;"",Data!L427="Accepté"),Data!Q427,"")</f>
        <v/>
      </c>
      <c r="E427" s="237" t="str">
        <f>IF(AND(Data!R427&lt;&gt;"",Data!L427="Accepté"),Data!R427,"")</f>
        <v/>
      </c>
      <c r="F427" s="326" t="str">
        <f>IF(AND(Data!R427&lt;&gt;"",Data!L427="Accepté"),Data!S427,"")</f>
        <v/>
      </c>
      <c r="G427" s="322">
        <f>IF(Data!R427='Delivery Plan'!E427,Data!U427,"")</f>
        <v>0</v>
      </c>
      <c r="H427" s="259"/>
      <c r="I427" s="391" t="str">
        <f t="shared" si="15"/>
        <v/>
      </c>
      <c r="J427" s="392" t="str">
        <f>IF(AND(E427=Data!R427,Data!AA427&lt;&gt;""),Data!AA427,"")</f>
        <v/>
      </c>
      <c r="K427" s="313" t="str">
        <f>IF(AND(E427=Data!R427,Data!AE427&lt;&gt;""),Data!AE427,"")</f>
        <v/>
      </c>
      <c r="L427" s="318">
        <f>IF(E427=Data!R439,Data!AI439,"")</f>
        <v>0</v>
      </c>
      <c r="M427" s="318">
        <f>IF(E427=Data!R439,Data!AJ439,"")</f>
        <v>0</v>
      </c>
      <c r="N427" s="437" t="str">
        <f>IF(AND(Data!R439&lt;&gt;"",Data!L439="Accepté"),Data!K439,"")</f>
        <v/>
      </c>
    </row>
    <row r="428" spans="1:14" hidden="1" x14ac:dyDescent="0.3">
      <c r="A428" s="393" t="str">
        <f>IF(AND(Data!R428&lt;&gt;"",Data!L428="Accepté"),Data!G428,"")</f>
        <v/>
      </c>
      <c r="B428" s="393" t="str">
        <f>IF(AND(Data!R428&lt;&gt;"",Data!L428="Accepté"),Data!L428,"")</f>
        <v/>
      </c>
      <c r="C428" s="391" t="str">
        <f t="shared" si="14"/>
        <v/>
      </c>
      <c r="D428" s="392" t="str">
        <f>IF(AND(Data!Q428&lt;&gt;"",Data!L428="Accepté"),Data!Q428,"")</f>
        <v/>
      </c>
      <c r="E428" s="237" t="str">
        <f>IF(AND(Data!R428&lt;&gt;"",Data!L428="Accepté"),Data!R428,"")</f>
        <v/>
      </c>
      <c r="F428" s="326" t="str">
        <f>IF(AND(Data!R428&lt;&gt;"",Data!L428="Accepté"),Data!S428,"")</f>
        <v/>
      </c>
      <c r="G428" s="322">
        <f>IF(Data!R428='Delivery Plan'!E428,Data!U428,"")</f>
        <v>0</v>
      </c>
      <c r="H428" s="259"/>
      <c r="I428" s="391" t="str">
        <f t="shared" si="15"/>
        <v/>
      </c>
      <c r="J428" s="392" t="str">
        <f>IF(AND(E428=Data!R428,Data!AA428&lt;&gt;""),Data!AA428,"")</f>
        <v/>
      </c>
      <c r="K428" s="313" t="str">
        <f>IF(AND(E428=Data!R428,Data!AE428&lt;&gt;""),Data!AE428,"")</f>
        <v/>
      </c>
      <c r="L428" s="318">
        <f>IF(E428=Data!R440,Data!AI440,"")</f>
        <v>0</v>
      </c>
      <c r="M428" s="318">
        <f>IF(E428=Data!R440,Data!AJ440,"")</f>
        <v>0</v>
      </c>
      <c r="N428" s="437" t="str">
        <f>IF(AND(Data!R440&lt;&gt;"",Data!L440="Accepté"),Data!K440,"")</f>
        <v/>
      </c>
    </row>
    <row r="429" spans="1:14" hidden="1" x14ac:dyDescent="0.3">
      <c r="A429" s="393" t="str">
        <f>IF(AND(Data!R429&lt;&gt;"",Data!L429="Accepté"),Data!G429,"")</f>
        <v/>
      </c>
      <c r="B429" s="393" t="str">
        <f>IF(AND(Data!R429&lt;&gt;"",Data!L429="Accepté"),Data!L429,"")</f>
        <v/>
      </c>
      <c r="C429" s="391" t="str">
        <f t="shared" si="14"/>
        <v/>
      </c>
      <c r="D429" s="392" t="str">
        <f>IF(AND(Data!Q429&lt;&gt;"",Data!L429="Accepté"),Data!Q429,"")</f>
        <v/>
      </c>
      <c r="E429" s="237" t="str">
        <f>IF(AND(Data!R429&lt;&gt;"",Data!L429="Accepté"),Data!R429,"")</f>
        <v/>
      </c>
      <c r="F429" s="326" t="str">
        <f>IF(AND(Data!R429&lt;&gt;"",Data!L429="Accepté"),Data!S429,"")</f>
        <v/>
      </c>
      <c r="G429" s="322">
        <f>IF(Data!R429='Delivery Plan'!E429,Data!U429,"")</f>
        <v>0</v>
      </c>
      <c r="H429" s="259"/>
      <c r="I429" s="391" t="str">
        <f t="shared" si="15"/>
        <v/>
      </c>
      <c r="J429" s="392" t="str">
        <f>IF(AND(E429=Data!R429,Data!AA429&lt;&gt;""),Data!AA429,"")</f>
        <v/>
      </c>
      <c r="K429" s="313" t="str">
        <f>IF(AND(E429=Data!R429,Data!AE429&lt;&gt;""),Data!AE429,"")</f>
        <v/>
      </c>
      <c r="L429" s="318">
        <f>IF(E429=Data!R441,Data!AI441,"")</f>
        <v>0</v>
      </c>
      <c r="M429" s="318">
        <f>IF(E429=Data!R441,Data!AJ441,"")</f>
        <v>0</v>
      </c>
      <c r="N429" s="437" t="str">
        <f>IF(AND(Data!R441&lt;&gt;"",Data!L441="Accepté"),Data!K441,"")</f>
        <v/>
      </c>
    </row>
    <row r="430" spans="1:14" hidden="1" x14ac:dyDescent="0.3">
      <c r="A430" s="393" t="str">
        <f>IF(AND(Data!R430&lt;&gt;"",Data!L430="Accepté"),Data!G430,"")</f>
        <v/>
      </c>
      <c r="B430" s="393" t="str">
        <f>IF(AND(Data!R430&lt;&gt;"",Data!L430="Accepté"),Data!L430,"")</f>
        <v/>
      </c>
      <c r="C430" s="391" t="str">
        <f t="shared" si="14"/>
        <v/>
      </c>
      <c r="D430" s="392" t="str">
        <f>IF(AND(Data!Q430&lt;&gt;"",Data!L430="Accepté"),Data!Q430,"")</f>
        <v/>
      </c>
      <c r="E430" s="237" t="str">
        <f>IF(AND(Data!R430&lt;&gt;"",Data!L430="Accepté"),Data!R430,"")</f>
        <v/>
      </c>
      <c r="F430" s="326" t="str">
        <f>IF(AND(Data!R430&lt;&gt;"",Data!L430="Accepté"),Data!S430,"")</f>
        <v/>
      </c>
      <c r="G430" s="322">
        <f>IF(Data!R430='Delivery Plan'!E430,Data!U430,"")</f>
        <v>0</v>
      </c>
      <c r="H430" s="259"/>
      <c r="I430" s="391" t="str">
        <f t="shared" si="15"/>
        <v/>
      </c>
      <c r="J430" s="392" t="str">
        <f>IF(AND(E430=Data!R430,Data!AA430&lt;&gt;""),Data!AA430,"")</f>
        <v/>
      </c>
      <c r="K430" s="313" t="str">
        <f>IF(AND(E430=Data!R430,Data!AE430&lt;&gt;""),Data!AE430,"")</f>
        <v/>
      </c>
      <c r="L430" s="318">
        <f>IF(E430=Data!R442,Data!AI442,"")</f>
        <v>0</v>
      </c>
      <c r="M430" s="318">
        <f>IF(E430=Data!R442,Data!AJ442,"")</f>
        <v>0</v>
      </c>
      <c r="N430" s="437" t="str">
        <f>IF(AND(Data!R442&lt;&gt;"",Data!L442="Accepté"),Data!K442,"")</f>
        <v/>
      </c>
    </row>
    <row r="431" spans="1:14" hidden="1" x14ac:dyDescent="0.3">
      <c r="A431" s="393" t="str">
        <f>IF(AND(Data!R431&lt;&gt;"",Data!L431="Accepté"),Data!G431,"")</f>
        <v/>
      </c>
      <c r="B431" s="393" t="str">
        <f>IF(AND(Data!R431&lt;&gt;"",Data!L431="Accepté"),Data!L431,"")</f>
        <v/>
      </c>
      <c r="C431" s="391" t="str">
        <f t="shared" si="14"/>
        <v/>
      </c>
      <c r="D431" s="392" t="str">
        <f>IF(AND(Data!Q431&lt;&gt;"",Data!L431="Accepté"),Data!Q431,"")</f>
        <v/>
      </c>
      <c r="E431" s="237" t="str">
        <f>IF(AND(Data!R431&lt;&gt;"",Data!L431="Accepté"),Data!R431,"")</f>
        <v/>
      </c>
      <c r="F431" s="326" t="str">
        <f>IF(AND(Data!R431&lt;&gt;"",Data!L431="Accepté"),Data!S431,"")</f>
        <v/>
      </c>
      <c r="G431" s="322">
        <f>IF(Data!R431='Delivery Plan'!E431,Data!U431,"")</f>
        <v>0</v>
      </c>
      <c r="H431" s="259"/>
      <c r="I431" s="391" t="str">
        <f t="shared" si="15"/>
        <v/>
      </c>
      <c r="J431" s="392" t="str">
        <f>IF(AND(E431=Data!R431,Data!AA431&lt;&gt;""),Data!AA431,"")</f>
        <v/>
      </c>
      <c r="K431" s="313" t="str">
        <f>IF(AND(E431=Data!R431,Data!AE431&lt;&gt;""),Data!AE431,"")</f>
        <v/>
      </c>
      <c r="L431" s="318">
        <f>IF(E431=Data!R443,Data!AI443,"")</f>
        <v>0</v>
      </c>
      <c r="M431" s="318">
        <f>IF(E431=Data!R443,Data!AJ443,"")</f>
        <v>0</v>
      </c>
      <c r="N431" s="437" t="str">
        <f>IF(AND(Data!R443&lt;&gt;"",Data!L443="Accepté"),Data!K443,"")</f>
        <v/>
      </c>
    </row>
    <row r="432" spans="1:14" hidden="1" x14ac:dyDescent="0.3">
      <c r="A432" s="393" t="str">
        <f>IF(AND(Data!R432&lt;&gt;"",Data!L432="Accepté"),Data!G432,"")</f>
        <v/>
      </c>
      <c r="B432" s="393" t="str">
        <f>IF(AND(Data!R432&lt;&gt;"",Data!L432="Accepté"),Data!L432,"")</f>
        <v/>
      </c>
      <c r="C432" s="391" t="str">
        <f t="shared" si="14"/>
        <v/>
      </c>
      <c r="D432" s="392" t="str">
        <f>IF(AND(Data!Q432&lt;&gt;"",Data!L432="Accepté"),Data!Q432,"")</f>
        <v/>
      </c>
      <c r="E432" s="237" t="str">
        <f>IF(AND(Data!R432&lt;&gt;"",Data!L432="Accepté"),Data!R432,"")</f>
        <v/>
      </c>
      <c r="F432" s="326" t="str">
        <f>IF(AND(Data!R432&lt;&gt;"",Data!L432="Accepté"),Data!S432,"")</f>
        <v/>
      </c>
      <c r="G432" s="322">
        <f>IF(Data!R432='Delivery Plan'!E432,Data!U432,"")</f>
        <v>0</v>
      </c>
      <c r="H432" s="259"/>
      <c r="I432" s="391" t="str">
        <f t="shared" si="15"/>
        <v/>
      </c>
      <c r="J432" s="392" t="str">
        <f>IF(AND(E432=Data!R432,Data!AA432&lt;&gt;""),Data!AA432,"")</f>
        <v/>
      </c>
      <c r="K432" s="313" t="str">
        <f>IF(AND(E432=Data!R432,Data!AE432&lt;&gt;""),Data!AE432,"")</f>
        <v/>
      </c>
      <c r="L432" s="318">
        <f>IF(E432=Data!R444,Data!AI444,"")</f>
        <v>0</v>
      </c>
      <c r="M432" s="318">
        <f>IF(E432=Data!R444,Data!AJ444,"")</f>
        <v>0</v>
      </c>
      <c r="N432" s="437" t="str">
        <f>IF(AND(Data!R444&lt;&gt;"",Data!L444="Accepté"),Data!K444,"")</f>
        <v/>
      </c>
    </row>
    <row r="433" spans="1:14" hidden="1" x14ac:dyDescent="0.3">
      <c r="A433" s="393" t="str">
        <f>IF(AND(Data!R433&lt;&gt;"",Data!L433="Accepté"),Data!G433,"")</f>
        <v/>
      </c>
      <c r="B433" s="393" t="str">
        <f>IF(AND(Data!R433&lt;&gt;"",Data!L433="Accepté"),Data!L433,"")</f>
        <v/>
      </c>
      <c r="C433" s="391" t="str">
        <f t="shared" si="14"/>
        <v/>
      </c>
      <c r="D433" s="392" t="str">
        <f>IF(AND(Data!Q433&lt;&gt;"",Data!L433="Accepté"),Data!Q433,"")</f>
        <v/>
      </c>
      <c r="E433" s="237" t="str">
        <f>IF(AND(Data!R433&lt;&gt;"",Data!L433="Accepté"),Data!R433,"")</f>
        <v/>
      </c>
      <c r="F433" s="326" t="str">
        <f>IF(AND(Data!R433&lt;&gt;"",Data!L433="Accepté"),Data!S433,"")</f>
        <v/>
      </c>
      <c r="G433" s="322">
        <f>IF(Data!R433='Delivery Plan'!E433,Data!U433,"")</f>
        <v>0</v>
      </c>
      <c r="H433" s="259"/>
      <c r="I433" s="391" t="str">
        <f t="shared" si="15"/>
        <v/>
      </c>
      <c r="J433" s="392" t="str">
        <f>IF(AND(E433=Data!R433,Data!AA433&lt;&gt;""),Data!AA433,"")</f>
        <v/>
      </c>
      <c r="K433" s="313" t="str">
        <f>IF(AND(E433=Data!R433,Data!AE433&lt;&gt;""),Data!AE433,"")</f>
        <v/>
      </c>
      <c r="L433" s="318">
        <f>IF(E433=Data!R445,Data!AI445,"")</f>
        <v>0</v>
      </c>
      <c r="M433" s="318">
        <f>IF(E433=Data!R445,Data!AJ445,"")</f>
        <v>0</v>
      </c>
      <c r="N433" s="437" t="str">
        <f>IF(AND(Data!R445&lt;&gt;"",Data!L445="Accepté"),Data!K445,"")</f>
        <v/>
      </c>
    </row>
    <row r="434" spans="1:14" hidden="1" x14ac:dyDescent="0.3">
      <c r="A434" s="393" t="str">
        <f>IF(AND(Data!R434&lt;&gt;"",Data!L434="Accepté"),Data!G434,"")</f>
        <v/>
      </c>
      <c r="B434" s="393" t="str">
        <f>IF(AND(Data!R434&lt;&gt;"",Data!L434="Accepté"),Data!L434,"")</f>
        <v/>
      </c>
      <c r="C434" s="391" t="str">
        <f t="shared" si="14"/>
        <v/>
      </c>
      <c r="D434" s="392" t="str">
        <f>IF(AND(Data!Q434&lt;&gt;"",Data!L434="Accepté"),Data!Q434,"")</f>
        <v/>
      </c>
      <c r="E434" s="237" t="str">
        <f>IF(AND(Data!R434&lt;&gt;"",Data!L434="Accepté"),Data!R434,"")</f>
        <v/>
      </c>
      <c r="F434" s="326" t="str">
        <f>IF(AND(Data!R434&lt;&gt;"",Data!L434="Accepté"),Data!S434,"")</f>
        <v/>
      </c>
      <c r="G434" s="322">
        <f>IF(Data!R434='Delivery Plan'!E434,Data!U434,"")</f>
        <v>0</v>
      </c>
      <c r="H434" s="259"/>
      <c r="I434" s="391" t="str">
        <f t="shared" si="15"/>
        <v/>
      </c>
      <c r="J434" s="392" t="str">
        <f>IF(AND(E434=Data!R434,Data!AA434&lt;&gt;""),Data!AA434,"")</f>
        <v/>
      </c>
      <c r="K434" s="313" t="str">
        <f>IF(AND(E434=Data!R434,Data!AE434&lt;&gt;""),Data!AE434,"")</f>
        <v/>
      </c>
      <c r="L434" s="318">
        <f>IF(E434=Data!R446,Data!AI446,"")</f>
        <v>0</v>
      </c>
      <c r="M434" s="318">
        <f>IF(E434=Data!R446,Data!AJ446,"")</f>
        <v>0</v>
      </c>
      <c r="N434" s="437" t="str">
        <f>IF(AND(Data!R446&lt;&gt;"",Data!L446="Accepté"),Data!K446,"")</f>
        <v/>
      </c>
    </row>
    <row r="435" spans="1:14" hidden="1" x14ac:dyDescent="0.3">
      <c r="A435" s="393" t="str">
        <f>IF(AND(Data!R435&lt;&gt;"",Data!L435="Accepté"),Data!G435,"")</f>
        <v/>
      </c>
      <c r="B435" s="393" t="str">
        <f>IF(AND(Data!R435&lt;&gt;"",Data!L435="Accepté"),Data!L435,"")</f>
        <v/>
      </c>
      <c r="C435" s="391" t="str">
        <f t="shared" si="14"/>
        <v/>
      </c>
      <c r="D435" s="392" t="str">
        <f>IF(AND(Data!Q435&lt;&gt;"",Data!L435="Accepté"),Data!Q435,"")</f>
        <v/>
      </c>
      <c r="E435" s="237" t="str">
        <f>IF(AND(Data!R435&lt;&gt;"",Data!L435="Accepté"),Data!R435,"")</f>
        <v/>
      </c>
      <c r="F435" s="326" t="str">
        <f>IF(AND(Data!R435&lt;&gt;"",Data!L435="Accepté"),Data!S435,"")</f>
        <v/>
      </c>
      <c r="G435" s="322">
        <f>IF(Data!R435='Delivery Plan'!E435,Data!U435,"")</f>
        <v>0</v>
      </c>
      <c r="H435" s="259"/>
      <c r="I435" s="391" t="str">
        <f t="shared" si="15"/>
        <v/>
      </c>
      <c r="J435" s="392" t="str">
        <f>IF(AND(E435=Data!R435,Data!AA435&lt;&gt;""),Data!AA435,"")</f>
        <v/>
      </c>
      <c r="K435" s="313" t="str">
        <f>IF(AND(E435=Data!R435,Data!AE435&lt;&gt;""),Data!AE435,"")</f>
        <v/>
      </c>
      <c r="L435" s="318">
        <f>IF(E435=Data!R447,Data!AI447,"")</f>
        <v>0</v>
      </c>
      <c r="M435" s="318">
        <f>IF(E435=Data!R447,Data!AJ447,"")</f>
        <v>0</v>
      </c>
      <c r="N435" s="437" t="str">
        <f>IF(AND(Data!R447&lt;&gt;"",Data!L447="Accepté"),Data!K447,"")</f>
        <v/>
      </c>
    </row>
    <row r="436" spans="1:14" hidden="1" x14ac:dyDescent="0.3">
      <c r="A436" s="393" t="str">
        <f>IF(AND(Data!R436&lt;&gt;"",Data!L436="Accepté"),Data!G436,"")</f>
        <v/>
      </c>
      <c r="B436" s="393" t="str">
        <f>IF(AND(Data!R436&lt;&gt;"",Data!L436="Accepté"),Data!L436,"")</f>
        <v/>
      </c>
      <c r="C436" s="391" t="str">
        <f t="shared" si="14"/>
        <v/>
      </c>
      <c r="D436" s="392" t="str">
        <f>IF(AND(Data!Q436&lt;&gt;"",Data!L436="Accepté"),Data!Q436,"")</f>
        <v/>
      </c>
      <c r="E436" s="237" t="str">
        <f>IF(AND(Data!R436&lt;&gt;"",Data!L436="Accepté"),Data!R436,"")</f>
        <v/>
      </c>
      <c r="F436" s="326" t="str">
        <f>IF(AND(Data!R436&lt;&gt;"",Data!L436="Accepté"),Data!S436,"")</f>
        <v/>
      </c>
      <c r="G436" s="322">
        <f>IF(Data!R436='Delivery Plan'!E436,Data!U436,"")</f>
        <v>0</v>
      </c>
      <c r="H436" s="259"/>
      <c r="I436" s="391" t="str">
        <f t="shared" si="15"/>
        <v/>
      </c>
      <c r="J436" s="392" t="str">
        <f>IF(AND(E436=Data!R436,Data!AA436&lt;&gt;""),Data!AA436,"")</f>
        <v/>
      </c>
      <c r="K436" s="313" t="str">
        <f>IF(AND(E436=Data!R436,Data!AE436&lt;&gt;""),Data!AE436,"")</f>
        <v/>
      </c>
      <c r="L436" s="318">
        <f>IF(E436=Data!R448,Data!AI448,"")</f>
        <v>0</v>
      </c>
      <c r="M436" s="318">
        <f>IF(E436=Data!R448,Data!AJ448,"")</f>
        <v>0</v>
      </c>
      <c r="N436" s="437" t="str">
        <f>IF(AND(Data!R448&lt;&gt;"",Data!L448="Accepté"),Data!K448,"")</f>
        <v/>
      </c>
    </row>
    <row r="437" spans="1:14" hidden="1" x14ac:dyDescent="0.3">
      <c r="A437" s="393" t="str">
        <f>IF(AND(Data!R449&lt;&gt;"",Data!L449="Accepté"),Data!G449,"")</f>
        <v/>
      </c>
      <c r="B437" s="393" t="str">
        <f>IF(AND(Data!R449&lt;&gt;"",Data!L449="Accepté"),Data!L449,"")</f>
        <v/>
      </c>
      <c r="C437" s="391" t="str">
        <f t="shared" ref="C437:C459" si="16">IF(D437&lt;&gt;"","S"&amp;TEXT(WEEKNUM(D437),"00"),"")</f>
        <v/>
      </c>
      <c r="D437" s="392" t="str">
        <f>IF(AND(Data!Q449&lt;&gt;"",Data!L449="Accepté"),Data!Q449,"")</f>
        <v/>
      </c>
      <c r="E437" s="237" t="str">
        <f>IF(AND(Data!R449&lt;&gt;"",Data!L449="Accepté"),Data!R449,"")</f>
        <v/>
      </c>
      <c r="F437" s="326" t="str">
        <f>IF(AND(Data!R449&lt;&gt;"",Data!L449="Accepté"),Data!S449,"")</f>
        <v/>
      </c>
      <c r="G437" s="322">
        <f>IF(Data!R449='Delivery Plan'!E437,Data!U449,"")</f>
        <v>0</v>
      </c>
      <c r="H437" s="259"/>
      <c r="I437" s="391" t="str">
        <f t="shared" si="15"/>
        <v/>
      </c>
      <c r="J437" s="392" t="str">
        <f>IF(AND(E437=Data!R437,Data!AA437&lt;&gt;""),Data!AA437,"")</f>
        <v/>
      </c>
      <c r="K437" s="313" t="str">
        <f>IF(AND(E437=Data!R437,Data!AE437&lt;&gt;""),Data!AE437,"")</f>
        <v/>
      </c>
      <c r="L437" s="318">
        <f>IF(E437=Data!R449,Data!AI449,"")</f>
        <v>0</v>
      </c>
      <c r="M437" s="318">
        <f>IF(E437=Data!R449,Data!AJ449,"")</f>
        <v>0</v>
      </c>
      <c r="N437" s="437" t="str">
        <f>IF(AND(Data!R449&lt;&gt;"",Data!L449="Accepté"),Data!K449,"")</f>
        <v/>
      </c>
    </row>
    <row r="438" spans="1:14" hidden="1" x14ac:dyDescent="0.3">
      <c r="A438" s="393" t="str">
        <f>IF(AND(Data!R450&lt;&gt;"",Data!L450="Accepté"),Data!G450,"")</f>
        <v/>
      </c>
      <c r="B438" s="393" t="str">
        <f>IF(AND(Data!R450&lt;&gt;"",Data!L450="Accepté"),Data!L450,"")</f>
        <v/>
      </c>
      <c r="C438" s="391" t="str">
        <f t="shared" si="16"/>
        <v/>
      </c>
      <c r="D438" s="392" t="str">
        <f>IF(AND(Data!Q450&lt;&gt;"",Data!L450="Accepté"),Data!Q450,"")</f>
        <v/>
      </c>
      <c r="E438" s="237" t="str">
        <f>IF(AND(Data!R450&lt;&gt;"",Data!L450="Accepté"),Data!R450,"")</f>
        <v/>
      </c>
      <c r="F438" s="326" t="str">
        <f>IF(AND(Data!R450&lt;&gt;"",Data!L450="Accepté"),Data!S450,"")</f>
        <v/>
      </c>
      <c r="G438" s="322">
        <f>IF(Data!R450='Delivery Plan'!E438,Data!U450,"")</f>
        <v>0</v>
      </c>
      <c r="H438" s="259"/>
      <c r="I438" s="391" t="str">
        <f t="shared" si="15"/>
        <v/>
      </c>
      <c r="J438" s="392" t="str">
        <f>IF(AND(E438=Data!R438,Data!AA438&lt;&gt;""),Data!AA438,"")</f>
        <v/>
      </c>
      <c r="K438" s="313" t="str">
        <f>IF(AND(E438=Data!R438,Data!AE438&lt;&gt;""),Data!AE438,"")</f>
        <v/>
      </c>
      <c r="L438" s="318">
        <f>IF(E438=Data!R450,Data!AI450,"")</f>
        <v>0</v>
      </c>
      <c r="M438" s="318">
        <f>IF(E438=Data!R450,Data!AJ450,"")</f>
        <v>0</v>
      </c>
      <c r="N438" s="437" t="str">
        <f>IF(AND(Data!R450&lt;&gt;"",Data!L450="Accepté"),Data!K450,"")</f>
        <v/>
      </c>
    </row>
    <row r="439" spans="1:14" hidden="1" x14ac:dyDescent="0.3">
      <c r="A439" s="393" t="str">
        <f>IF(AND(Data!R451&lt;&gt;"",Data!L451="Accepté"),Data!G451,"")</f>
        <v/>
      </c>
      <c r="B439" s="393" t="str">
        <f>IF(AND(Data!R451&lt;&gt;"",Data!L451="Accepté"),Data!L451,"")</f>
        <v/>
      </c>
      <c r="C439" s="391" t="str">
        <f t="shared" si="16"/>
        <v/>
      </c>
      <c r="D439" s="392" t="str">
        <f>IF(AND(Data!Q451&lt;&gt;"",Data!L451="Accepté"),Data!Q451,"")</f>
        <v/>
      </c>
      <c r="E439" s="237" t="str">
        <f>IF(AND(Data!R451&lt;&gt;"",Data!L451="Accepté"),Data!R451,"")</f>
        <v/>
      </c>
      <c r="F439" s="326" t="str">
        <f>IF(AND(Data!R451&lt;&gt;"",Data!L451="Accepté"),Data!S451,"")</f>
        <v/>
      </c>
      <c r="G439" s="322">
        <f>IF(Data!R451='Delivery Plan'!E439,Data!U451,"")</f>
        <v>0</v>
      </c>
      <c r="H439" s="259"/>
      <c r="I439" s="391" t="str">
        <f t="shared" si="15"/>
        <v/>
      </c>
      <c r="J439" s="392" t="str">
        <f>IF(AND(E439=Data!R439,Data!AA439&lt;&gt;""),Data!AA439,"")</f>
        <v/>
      </c>
      <c r="K439" s="313" t="str">
        <f>IF(AND(E439=Data!R439,Data!AE439&lt;&gt;""),Data!AE439,"")</f>
        <v/>
      </c>
      <c r="L439" s="318">
        <f>IF(E439=Data!R451,Data!AI451,"")</f>
        <v>0</v>
      </c>
      <c r="M439" s="318">
        <f>IF(E439=Data!R451,Data!AJ451,"")</f>
        <v>0</v>
      </c>
      <c r="N439" s="437" t="str">
        <f>IF(AND(Data!R451&lt;&gt;"",Data!L451="Accepté"),Data!K451,"")</f>
        <v/>
      </c>
    </row>
    <row r="440" spans="1:14" hidden="1" x14ac:dyDescent="0.3">
      <c r="A440" s="393" t="str">
        <f>IF(AND(Data!R452&lt;&gt;"",Data!L452="Accepté"),Data!G452,"")</f>
        <v/>
      </c>
      <c r="B440" s="393" t="str">
        <f>IF(AND(Data!R452&lt;&gt;"",Data!L452="Accepté"),Data!L452,"")</f>
        <v/>
      </c>
      <c r="C440" s="391" t="str">
        <f t="shared" si="16"/>
        <v/>
      </c>
      <c r="D440" s="392" t="str">
        <f>IF(AND(Data!Q452&lt;&gt;"",Data!L452="Accepté"),Data!Q452,"")</f>
        <v/>
      </c>
      <c r="E440" s="237" t="str">
        <f>IF(AND(Data!R452&lt;&gt;"",Data!L452="Accepté"),Data!R452,"")</f>
        <v/>
      </c>
      <c r="F440" s="326" t="str">
        <f>IF(AND(Data!R452&lt;&gt;"",Data!L452="Accepté"),Data!S452,"")</f>
        <v/>
      </c>
      <c r="G440" s="322">
        <f>IF(Data!R452='Delivery Plan'!E440,Data!U452,"")</f>
        <v>0</v>
      </c>
      <c r="H440" s="259"/>
      <c r="I440" s="391" t="str">
        <f t="shared" si="15"/>
        <v/>
      </c>
      <c r="J440" s="392" t="str">
        <f>IF(AND(E440=Data!R440,Data!AA440&lt;&gt;""),Data!AA440,"")</f>
        <v/>
      </c>
      <c r="K440" s="313" t="str">
        <f>IF(AND(E440=Data!R440,Data!AE440&lt;&gt;""),Data!AE440,"")</f>
        <v/>
      </c>
      <c r="L440" s="318">
        <f>IF(E440=Data!R452,Data!AI452,"")</f>
        <v>0</v>
      </c>
      <c r="M440" s="318">
        <f>IF(E440=Data!R452,Data!AJ452,"")</f>
        <v>0</v>
      </c>
      <c r="N440" s="437" t="str">
        <f>IF(AND(Data!R452&lt;&gt;"",Data!L452="Accepté"),Data!K452,"")</f>
        <v/>
      </c>
    </row>
    <row r="441" spans="1:14" hidden="1" x14ac:dyDescent="0.3">
      <c r="A441" s="393" t="str">
        <f>IF(AND(Data!R453&lt;&gt;"",Data!L453="Accepté"),Data!G453,"")</f>
        <v/>
      </c>
      <c r="B441" s="393" t="str">
        <f>IF(AND(Data!R453&lt;&gt;"",Data!L453="Accepté"),Data!L453,"")</f>
        <v/>
      </c>
      <c r="C441" s="391" t="str">
        <f t="shared" si="16"/>
        <v/>
      </c>
      <c r="D441" s="392" t="str">
        <f>IF(AND(Data!Q453&lt;&gt;"",Data!L453="Accepté"),Data!Q453,"")</f>
        <v/>
      </c>
      <c r="E441" s="237" t="str">
        <f>IF(AND(Data!R453&lt;&gt;"",Data!L453="Accepté"),Data!R453,"")</f>
        <v/>
      </c>
      <c r="F441" s="326" t="str">
        <f>IF(AND(Data!R453&lt;&gt;"",Data!L453="Accepté"),Data!S453,"")</f>
        <v/>
      </c>
      <c r="G441" s="322">
        <f>IF(Data!R453='Delivery Plan'!E441,Data!U453,"")</f>
        <v>0</v>
      </c>
      <c r="H441" s="259"/>
      <c r="I441" s="391" t="str">
        <f t="shared" si="15"/>
        <v/>
      </c>
      <c r="J441" s="392" t="str">
        <f>IF(AND(E441=Data!R441,Data!AA441&lt;&gt;""),Data!AA441,"")</f>
        <v/>
      </c>
      <c r="K441" s="313" t="str">
        <f>IF(AND(E441=Data!R441,Data!AE441&lt;&gt;""),Data!AE441,"")</f>
        <v/>
      </c>
      <c r="L441" s="318">
        <f>IF(E441=Data!R453,Data!AI453,"")</f>
        <v>0</v>
      </c>
      <c r="M441" s="318">
        <f>IF(E441=Data!R453,Data!AJ453,"")</f>
        <v>0</v>
      </c>
      <c r="N441" s="437" t="str">
        <f>IF(AND(Data!R453&lt;&gt;"",Data!L453="Accepté"),Data!K453,"")</f>
        <v/>
      </c>
    </row>
    <row r="442" spans="1:14" hidden="1" x14ac:dyDescent="0.3">
      <c r="A442" s="393" t="str">
        <f>IF(AND(Data!R454&lt;&gt;"",Data!L454="Accepté"),Data!G454,"")</f>
        <v/>
      </c>
      <c r="B442" s="393" t="str">
        <f>IF(AND(Data!R454&lt;&gt;"",Data!L454="Accepté"),Data!L454,"")</f>
        <v/>
      </c>
      <c r="C442" s="391" t="str">
        <f t="shared" si="16"/>
        <v/>
      </c>
      <c r="D442" s="392" t="str">
        <f>IF(AND(Data!Q454&lt;&gt;"",Data!L454="Accepté"),Data!Q454,"")</f>
        <v/>
      </c>
      <c r="E442" s="237" t="str">
        <f>IF(AND(Data!R454&lt;&gt;"",Data!L454="Accepté"),Data!R454,"")</f>
        <v/>
      </c>
      <c r="F442" s="326" t="str">
        <f>IF(AND(Data!R454&lt;&gt;"",Data!L454="Accepté"),Data!S454,"")</f>
        <v/>
      </c>
      <c r="G442" s="322">
        <f>IF(Data!R454='Delivery Plan'!E442,Data!U454,"")</f>
        <v>0</v>
      </c>
      <c r="H442" s="259"/>
      <c r="I442" s="391" t="str">
        <f t="shared" si="15"/>
        <v/>
      </c>
      <c r="J442" s="392" t="str">
        <f>IF(AND(E442=Data!R442,Data!AA442&lt;&gt;""),Data!AA442,"")</f>
        <v/>
      </c>
      <c r="K442" s="313" t="str">
        <f>IF(AND(E442=Data!R442,Data!AE442&lt;&gt;""),Data!AE442,"")</f>
        <v/>
      </c>
      <c r="L442" s="318">
        <f>IF(E442=Data!R454,Data!AI454,"")</f>
        <v>0</v>
      </c>
      <c r="M442" s="318">
        <f>IF(E442=Data!R454,Data!AJ454,"")</f>
        <v>0</v>
      </c>
      <c r="N442" s="437" t="str">
        <f>IF(AND(Data!R454&lt;&gt;"",Data!L454="Accepté"),Data!K454,"")</f>
        <v/>
      </c>
    </row>
    <row r="443" spans="1:14" hidden="1" x14ac:dyDescent="0.3">
      <c r="A443" s="393" t="str">
        <f>IF(AND(Data!R455&lt;&gt;"",Data!L455="Accepté"),Data!G455,"")</f>
        <v/>
      </c>
      <c r="B443" s="393" t="str">
        <f>IF(AND(Data!R455&lt;&gt;"",Data!L455="Accepté"),Data!L455,"")</f>
        <v/>
      </c>
      <c r="C443" s="391" t="str">
        <f t="shared" si="16"/>
        <v/>
      </c>
      <c r="D443" s="392" t="str">
        <f>IF(AND(Data!Q455&lt;&gt;"",Data!L455="Accepté"),Data!Q455,"")</f>
        <v/>
      </c>
      <c r="E443" s="237" t="str">
        <f>IF(AND(Data!R455&lt;&gt;"",Data!L455="Accepté"),Data!R455,"")</f>
        <v/>
      </c>
      <c r="F443" s="326" t="str">
        <f>IF(AND(Data!R455&lt;&gt;"",Data!L455="Accepté"),Data!S455,"")</f>
        <v/>
      </c>
      <c r="G443" s="322">
        <f>IF(Data!R455='Delivery Plan'!E443,Data!U455,"")</f>
        <v>0</v>
      </c>
      <c r="H443" s="259"/>
      <c r="I443" s="391" t="str">
        <f t="shared" si="15"/>
        <v/>
      </c>
      <c r="J443" s="392" t="str">
        <f>IF(AND(E443=Data!R443,Data!AA443&lt;&gt;""),Data!AA443,"")</f>
        <v/>
      </c>
      <c r="K443" s="313" t="str">
        <f>IF(AND(E443=Data!R443,Data!AE443&lt;&gt;""),Data!AE443,"")</f>
        <v/>
      </c>
      <c r="L443" s="318">
        <f>IF(E443=Data!R455,Data!AI455,"")</f>
        <v>0</v>
      </c>
      <c r="M443" s="318">
        <f>IF(E443=Data!R455,Data!AJ455,"")</f>
        <v>0</v>
      </c>
      <c r="N443" s="437" t="str">
        <f>IF(AND(Data!R455&lt;&gt;"",Data!L455="Accepté"),Data!K455,"")</f>
        <v/>
      </c>
    </row>
    <row r="444" spans="1:14" hidden="1" x14ac:dyDescent="0.3">
      <c r="A444" s="393" t="str">
        <f>IF(AND(Data!R456&lt;&gt;"",Data!L456="Accepté"),Data!G456,"")</f>
        <v/>
      </c>
      <c r="B444" s="393" t="str">
        <f>IF(AND(Data!R456&lt;&gt;"",Data!L456="Accepté"),Data!L456,"")</f>
        <v/>
      </c>
      <c r="C444" s="391" t="str">
        <f t="shared" si="16"/>
        <v/>
      </c>
      <c r="D444" s="392" t="str">
        <f>IF(AND(Data!Q456&lt;&gt;"",Data!L456="Accepté"),Data!Q456,"")</f>
        <v/>
      </c>
      <c r="E444" s="237" t="str">
        <f>IF(AND(Data!R456&lt;&gt;"",Data!L456="Accepté"),Data!R456,"")</f>
        <v/>
      </c>
      <c r="F444" s="326" t="str">
        <f>IF(AND(Data!R456&lt;&gt;"",Data!L456="Accepté"),Data!S456,"")</f>
        <v/>
      </c>
      <c r="G444" s="322">
        <f>IF(Data!R456='Delivery Plan'!E444,Data!U456,"")</f>
        <v>0</v>
      </c>
      <c r="H444" s="259"/>
      <c r="I444" s="391" t="str">
        <f t="shared" si="15"/>
        <v/>
      </c>
      <c r="J444" s="392" t="str">
        <f>IF(AND(E444=Data!R444,Data!AA444&lt;&gt;""),Data!AA444,"")</f>
        <v/>
      </c>
      <c r="K444" s="313" t="str">
        <f>IF(AND(E444=Data!R444,Data!AE444&lt;&gt;""),Data!AE444,"")</f>
        <v/>
      </c>
      <c r="L444" s="318">
        <f>IF(E444=Data!R456,Data!AI456,"")</f>
        <v>0</v>
      </c>
      <c r="M444" s="318">
        <f>IF(E444=Data!R456,Data!AJ456,"")</f>
        <v>0</v>
      </c>
      <c r="N444" s="437" t="str">
        <f>IF(AND(Data!R456&lt;&gt;"",Data!L456="Accepté"),Data!K456,"")</f>
        <v/>
      </c>
    </row>
    <row r="445" spans="1:14" hidden="1" x14ac:dyDescent="0.3">
      <c r="A445" s="393" t="str">
        <f>IF(AND(Data!R457&lt;&gt;"",Data!L457="Accepté"),Data!G457,"")</f>
        <v/>
      </c>
      <c r="B445" s="393" t="str">
        <f>IF(AND(Data!R457&lt;&gt;"",Data!L457="Accepté"),Data!L457,"")</f>
        <v/>
      </c>
      <c r="C445" s="391" t="str">
        <f t="shared" si="16"/>
        <v/>
      </c>
      <c r="D445" s="392" t="str">
        <f>IF(AND(Data!Q457&lt;&gt;"",Data!L457="Accepté"),Data!Q457,"")</f>
        <v/>
      </c>
      <c r="E445" s="237" t="str">
        <f>IF(AND(Data!R457&lt;&gt;"",Data!L457="Accepté"),Data!R457,"")</f>
        <v/>
      </c>
      <c r="F445" s="326" t="str">
        <f>IF(AND(Data!R457&lt;&gt;"",Data!L457="Accepté"),Data!S457,"")</f>
        <v/>
      </c>
      <c r="G445" s="322">
        <f>IF(Data!R457='Delivery Plan'!E445,Data!U457,"")</f>
        <v>0</v>
      </c>
      <c r="H445" s="259"/>
      <c r="I445" s="391" t="str">
        <f t="shared" si="15"/>
        <v/>
      </c>
      <c r="J445" s="392" t="str">
        <f>IF(AND(E445=Data!R445,Data!AA445&lt;&gt;""),Data!AA445,"")</f>
        <v/>
      </c>
      <c r="K445" s="313" t="str">
        <f>IF(AND(E445=Data!R445,Data!AE445&lt;&gt;""),Data!AE445,"")</f>
        <v/>
      </c>
      <c r="L445" s="318">
        <f>IF(E445=Data!R457,Data!AI457,"")</f>
        <v>0</v>
      </c>
      <c r="M445" s="318">
        <f>IF(E445=Data!R457,Data!AJ457,"")</f>
        <v>0</v>
      </c>
      <c r="N445" s="437" t="str">
        <f>IF(AND(Data!R457&lt;&gt;"",Data!L457="Accepté"),Data!K457,"")</f>
        <v/>
      </c>
    </row>
    <row r="446" spans="1:14" hidden="1" x14ac:dyDescent="0.3">
      <c r="A446" s="393" t="str">
        <f>IF(AND(Data!R458&lt;&gt;"",Data!L458="Accepté"),Data!G458,"")</f>
        <v/>
      </c>
      <c r="B446" s="393" t="str">
        <f>IF(AND(Data!R458&lt;&gt;"",Data!L458="Accepté"),Data!L458,"")</f>
        <v/>
      </c>
      <c r="C446" s="391" t="str">
        <f t="shared" si="16"/>
        <v/>
      </c>
      <c r="D446" s="392" t="str">
        <f>IF(AND(Data!Q458&lt;&gt;"",Data!L458="Accepté"),Data!Q458,"")</f>
        <v/>
      </c>
      <c r="E446" s="237" t="str">
        <f>IF(AND(Data!R458&lt;&gt;"",Data!L458="Accepté"),Data!R458,"")</f>
        <v/>
      </c>
      <c r="F446" s="326" t="str">
        <f>IF(AND(Data!R458&lt;&gt;"",Data!L458="Accepté"),Data!S458,"")</f>
        <v/>
      </c>
      <c r="G446" s="322">
        <f>IF(Data!R458='Delivery Plan'!E446,Data!U458,"")</f>
        <v>0</v>
      </c>
      <c r="H446" s="259"/>
      <c r="I446" s="391" t="str">
        <f t="shared" si="15"/>
        <v/>
      </c>
      <c r="J446" s="392" t="str">
        <f>IF(AND(E446=Data!R446,Data!AA446&lt;&gt;""),Data!AA446,"")</f>
        <v/>
      </c>
      <c r="K446" s="313" t="str">
        <f>IF(AND(E446=Data!R446,Data!AE446&lt;&gt;""),Data!AE446,"")</f>
        <v/>
      </c>
      <c r="L446" s="318">
        <f>IF(E446=Data!R458,Data!AI458,"")</f>
        <v>0</v>
      </c>
      <c r="M446" s="318">
        <f>IF(E446=Data!R458,Data!AJ458,"")</f>
        <v>0</v>
      </c>
      <c r="N446" s="437" t="str">
        <f>IF(AND(Data!R458&lt;&gt;"",Data!L458="Accepté"),Data!K458,"")</f>
        <v/>
      </c>
    </row>
    <row r="447" spans="1:14" hidden="1" x14ac:dyDescent="0.3">
      <c r="A447" s="393" t="str">
        <f>IF(AND(Data!R459&lt;&gt;"",Data!L459="Accepté"),Data!G459,"")</f>
        <v/>
      </c>
      <c r="B447" s="393" t="str">
        <f>IF(AND(Data!R459&lt;&gt;"",Data!L459="Accepté"),Data!L459,"")</f>
        <v/>
      </c>
      <c r="C447" s="391" t="str">
        <f t="shared" si="16"/>
        <v/>
      </c>
      <c r="D447" s="392" t="str">
        <f>IF(AND(Data!Q459&lt;&gt;"",Data!L459="Accepté"),Data!Q459,"")</f>
        <v/>
      </c>
      <c r="E447" s="237" t="str">
        <f>IF(AND(Data!R459&lt;&gt;"",Data!L459="Accepté"),Data!R459,"")</f>
        <v/>
      </c>
      <c r="F447" s="326" t="str">
        <f>IF(AND(Data!R459&lt;&gt;"",Data!L459="Accepté"),Data!S459,"")</f>
        <v/>
      </c>
      <c r="G447" s="322">
        <f>IF(Data!R459='Delivery Plan'!E447,Data!U459,"")</f>
        <v>0</v>
      </c>
      <c r="H447" s="259"/>
      <c r="I447" s="391" t="str">
        <f t="shared" si="15"/>
        <v/>
      </c>
      <c r="J447" s="392" t="str">
        <f>IF(AND(E447=Data!R447,Data!AA447&lt;&gt;""),Data!AA447,"")</f>
        <v/>
      </c>
      <c r="K447" s="313" t="str">
        <f>IF(AND(E447=Data!R447,Data!AE447&lt;&gt;""),Data!AE447,"")</f>
        <v/>
      </c>
      <c r="L447" s="318">
        <f>IF(E447=Data!R459,Data!AI459,"")</f>
        <v>0</v>
      </c>
      <c r="M447" s="318">
        <f>IF(E447=Data!R459,Data!AJ459,"")</f>
        <v>0</v>
      </c>
      <c r="N447" s="437" t="str">
        <f>IF(AND(Data!R459&lt;&gt;"",Data!L459="Accepté"),Data!K459,"")</f>
        <v/>
      </c>
    </row>
    <row r="448" spans="1:14" hidden="1" x14ac:dyDescent="0.3">
      <c r="A448" s="393" t="str">
        <f>IF(AND(Data!R460&lt;&gt;"",Data!L460="Accepté"),Data!G460,"")</f>
        <v/>
      </c>
      <c r="B448" s="393" t="str">
        <f>IF(AND(Data!R460&lt;&gt;"",Data!L460="Accepté"),Data!L460,"")</f>
        <v/>
      </c>
      <c r="C448" s="391" t="str">
        <f t="shared" si="16"/>
        <v/>
      </c>
      <c r="D448" s="392" t="str">
        <f>IF(AND(Data!Q460&lt;&gt;"",Data!L460="Accepté"),Data!Q460,"")</f>
        <v/>
      </c>
      <c r="E448" s="237" t="str">
        <f>IF(AND(Data!R460&lt;&gt;"",Data!L460="Accepté"),Data!R460,"")</f>
        <v/>
      </c>
      <c r="F448" s="326" t="str">
        <f>IF(AND(Data!R460&lt;&gt;"",Data!L460="Accepté"),Data!S460,"")</f>
        <v/>
      </c>
      <c r="G448" s="322">
        <f>IF(Data!R460='Delivery Plan'!E448,Data!U460,"")</f>
        <v>0</v>
      </c>
      <c r="H448" s="259"/>
      <c r="I448" s="391" t="str">
        <f t="shared" si="15"/>
        <v/>
      </c>
      <c r="J448" s="392" t="str">
        <f>IF(AND(E448=Data!R448,Data!AA448&lt;&gt;""),Data!AA448,"")</f>
        <v/>
      </c>
      <c r="K448" s="313" t="str">
        <f>IF(AND(E448=Data!R448,Data!AE448&lt;&gt;""),Data!AE448,"")</f>
        <v/>
      </c>
      <c r="L448" s="318">
        <f>IF(E448=Data!R460,Data!AI460,"")</f>
        <v>0</v>
      </c>
      <c r="M448" s="318">
        <f>IF(E448=Data!R460,Data!AJ460,"")</f>
        <v>0</v>
      </c>
      <c r="N448" s="437" t="str">
        <f>IF(AND(Data!R460&lt;&gt;"",Data!L460="Accepté"),Data!K460,"")</f>
        <v/>
      </c>
    </row>
    <row r="449" spans="1:14" hidden="1" x14ac:dyDescent="0.3">
      <c r="A449" s="393" t="str">
        <f>IF(AND(Data!R461&lt;&gt;"",Data!L461="Accepté"),Data!G461,"")</f>
        <v/>
      </c>
      <c r="B449" s="393" t="str">
        <f>IF(AND(Data!R461&lt;&gt;"",Data!L461="Accepté"),Data!L461,"")</f>
        <v/>
      </c>
      <c r="C449" s="391" t="str">
        <f t="shared" si="16"/>
        <v/>
      </c>
      <c r="D449" s="392" t="str">
        <f>IF(AND(Data!Q461&lt;&gt;"",Data!L461="Accepté"),Data!Q461,"")</f>
        <v/>
      </c>
      <c r="E449" s="237" t="str">
        <f>IF(AND(Data!R461&lt;&gt;"",Data!L461="Accepté"),Data!R461,"")</f>
        <v/>
      </c>
      <c r="F449" s="326" t="str">
        <f>IF(AND(Data!R461&lt;&gt;"",Data!L461="Accepté"),Data!S461,"")</f>
        <v/>
      </c>
      <c r="G449" s="322">
        <f>IF(Data!R461='Delivery Plan'!E449,Data!U461,"")</f>
        <v>0</v>
      </c>
      <c r="H449" s="259"/>
      <c r="I449" s="391" t="str">
        <f t="shared" si="15"/>
        <v/>
      </c>
      <c r="J449" s="392" t="str">
        <f>IF(AND(E449=Data!R449,Data!AA449&lt;&gt;""),Data!AA449,"")</f>
        <v/>
      </c>
      <c r="K449" s="313" t="str">
        <f>IF(AND(E449=Data!R449,Data!AE449&lt;&gt;""),Data!AE449,"")</f>
        <v/>
      </c>
      <c r="L449" s="318">
        <f>IF(E449=Data!R461,Data!AI461,"")</f>
        <v>0</v>
      </c>
      <c r="M449" s="318">
        <f>IF(E449=Data!R461,Data!AJ461,"")</f>
        <v>0</v>
      </c>
      <c r="N449" s="437" t="str">
        <f>IF(AND(Data!R461&lt;&gt;"",Data!L461="Accepté"),Data!K461,"")</f>
        <v/>
      </c>
    </row>
    <row r="450" spans="1:14" hidden="1" x14ac:dyDescent="0.3">
      <c r="A450" s="393" t="str">
        <f>IF(AND(Data!R462&lt;&gt;"",Data!L462="Accepté"),Data!G462,"")</f>
        <v/>
      </c>
      <c r="B450" s="393" t="str">
        <f>IF(AND(Data!R462&lt;&gt;"",Data!L462="Accepté"),Data!L462,"")</f>
        <v/>
      </c>
      <c r="C450" s="391" t="str">
        <f t="shared" si="16"/>
        <v/>
      </c>
      <c r="D450" s="392" t="str">
        <f>IF(AND(Data!Q462&lt;&gt;"",Data!L462="Accepté"),Data!Q462,"")</f>
        <v/>
      </c>
      <c r="E450" s="237" t="str">
        <f>IF(AND(Data!R462&lt;&gt;"",Data!L462="Accepté"),Data!R462,"")</f>
        <v/>
      </c>
      <c r="F450" s="326" t="str">
        <f>IF(AND(Data!R462&lt;&gt;"",Data!L462="Accepté"),Data!S462,"")</f>
        <v/>
      </c>
      <c r="G450" s="322">
        <f>IF(Data!R462='Delivery Plan'!E450,Data!U462,"")</f>
        <v>0</v>
      </c>
      <c r="H450" s="259"/>
      <c r="I450" s="391" t="str">
        <f t="shared" si="15"/>
        <v/>
      </c>
      <c r="J450" s="392" t="str">
        <f>IF(AND(E450=Data!R450,Data!AA450&lt;&gt;""),Data!AA450,"")</f>
        <v/>
      </c>
      <c r="K450" s="313" t="str">
        <f>IF(AND(E450=Data!R450,Data!AE450&lt;&gt;""),Data!AE450,"")</f>
        <v/>
      </c>
      <c r="L450" s="318">
        <f>IF(E450=Data!R462,Data!AI462,"")</f>
        <v>0</v>
      </c>
      <c r="M450" s="318">
        <f>IF(E450=Data!R462,Data!AJ462,"")</f>
        <v>0</v>
      </c>
      <c r="N450" s="437" t="str">
        <f>IF(AND(Data!R462&lt;&gt;"",Data!L462="Accepté"),Data!K462,"")</f>
        <v/>
      </c>
    </row>
    <row r="451" spans="1:14" hidden="1" x14ac:dyDescent="0.3">
      <c r="A451" s="393" t="str">
        <f>IF(AND(Data!R463&lt;&gt;"",Data!L463="Accepté"),Data!G463,"")</f>
        <v/>
      </c>
      <c r="B451" s="393" t="str">
        <f>IF(AND(Data!R463&lt;&gt;"",Data!L463="Accepté"),Data!L463,"")</f>
        <v/>
      </c>
      <c r="C451" s="391" t="str">
        <f t="shared" si="16"/>
        <v/>
      </c>
      <c r="D451" s="392" t="str">
        <f>IF(AND(Data!Q463&lt;&gt;"",Data!L463="Accepté"),Data!Q463,"")</f>
        <v/>
      </c>
      <c r="E451" s="237" t="str">
        <f>IF(AND(Data!R463&lt;&gt;"",Data!L463="Accepté"),Data!R463,"")</f>
        <v/>
      </c>
      <c r="F451" s="326" t="str">
        <f>IF(AND(Data!R463&lt;&gt;"",Data!L463="Accepté"),Data!S463,"")</f>
        <v/>
      </c>
      <c r="G451" s="322">
        <f>IF(Data!R463='Delivery Plan'!E451,Data!U463,"")</f>
        <v>0</v>
      </c>
      <c r="H451" s="259"/>
      <c r="I451" s="391" t="str">
        <f t="shared" si="15"/>
        <v/>
      </c>
      <c r="J451" s="392" t="str">
        <f>IF(AND(E451=Data!R451,Data!AA451&lt;&gt;""),Data!AA451,"")</f>
        <v/>
      </c>
      <c r="K451" s="313" t="str">
        <f>IF(AND(E451=Data!R451,Data!AE451&lt;&gt;""),Data!AE451,"")</f>
        <v/>
      </c>
      <c r="L451" s="318">
        <f>IF(E451=Data!R463,Data!AI463,"")</f>
        <v>0</v>
      </c>
      <c r="M451" s="318">
        <f>IF(E451=Data!R463,Data!AJ463,"")</f>
        <v>0</v>
      </c>
      <c r="N451" s="437" t="str">
        <f>IF(AND(Data!R463&lt;&gt;"",Data!L463="Accepté"),Data!K463,"")</f>
        <v/>
      </c>
    </row>
    <row r="452" spans="1:14" hidden="1" x14ac:dyDescent="0.3">
      <c r="A452" s="393" t="str">
        <f>IF(AND(Data!R464&lt;&gt;"",Data!L464="Accepté"),Data!G464,"")</f>
        <v/>
      </c>
      <c r="B452" s="393" t="str">
        <f>IF(AND(Data!R464&lt;&gt;"",Data!L464="Accepté"),Data!L464,"")</f>
        <v/>
      </c>
      <c r="C452" s="391" t="str">
        <f t="shared" si="16"/>
        <v/>
      </c>
      <c r="D452" s="392" t="str">
        <f>IF(AND(Data!Q464&lt;&gt;"",Data!L464="Accepté"),Data!Q464,"")</f>
        <v/>
      </c>
      <c r="E452" s="237" t="str">
        <f>IF(AND(Data!R464&lt;&gt;"",Data!L464="Accepté"),Data!R464,"")</f>
        <v/>
      </c>
      <c r="F452" s="326" t="str">
        <f>IF(AND(Data!R464&lt;&gt;"",Data!L464="Accepté"),Data!S464,"")</f>
        <v/>
      </c>
      <c r="G452" s="322">
        <f>IF(Data!R464='Delivery Plan'!E452,Data!U464,"")</f>
        <v>0</v>
      </c>
      <c r="H452" s="259"/>
      <c r="I452" s="391" t="str">
        <f t="shared" si="15"/>
        <v/>
      </c>
      <c r="J452" s="392" t="str">
        <f>IF(AND(E452=Data!R452,Data!AA452&lt;&gt;""),Data!AA452,"")</f>
        <v/>
      </c>
      <c r="K452" s="313" t="str">
        <f>IF(AND(E452=Data!R452,Data!AE452&lt;&gt;""),Data!AE452,"")</f>
        <v/>
      </c>
      <c r="L452" s="318">
        <f>IF(E452=Data!R464,Data!AI464,"")</f>
        <v>0</v>
      </c>
      <c r="M452" s="318">
        <f>IF(E452=Data!R464,Data!AJ464,"")</f>
        <v>0</v>
      </c>
      <c r="N452" s="437" t="str">
        <f>IF(AND(Data!R464&lt;&gt;"",Data!L464="Accepté"),Data!K464,"")</f>
        <v/>
      </c>
    </row>
    <row r="453" spans="1:14" hidden="1" x14ac:dyDescent="0.3">
      <c r="A453" s="393" t="str">
        <f>IF(AND(Data!R465&lt;&gt;"",Data!L465="Accepté"),Data!G465,"")</f>
        <v/>
      </c>
      <c r="B453" s="393" t="str">
        <f>IF(AND(Data!R465&lt;&gt;"",Data!L465="Accepté"),Data!L465,"")</f>
        <v/>
      </c>
      <c r="C453" s="391" t="str">
        <f t="shared" si="16"/>
        <v/>
      </c>
      <c r="D453" s="392" t="str">
        <f>IF(AND(Data!Q465&lt;&gt;"",Data!L465="Accepté"),Data!Q465,"")</f>
        <v/>
      </c>
      <c r="E453" s="237" t="str">
        <f>IF(AND(Data!R465&lt;&gt;"",Data!L465="Accepté"),Data!R465,"")</f>
        <v/>
      </c>
      <c r="F453" s="326" t="str">
        <f>IF(AND(Data!R465&lt;&gt;"",Data!L465="Accepté"),Data!S465,"")</f>
        <v/>
      </c>
      <c r="G453" s="322">
        <f>IF(Data!R465='Delivery Plan'!E453,Data!U465,"")</f>
        <v>0</v>
      </c>
      <c r="H453" s="259"/>
      <c r="I453" s="391" t="str">
        <f t="shared" ref="I453:I481" si="17">IF(J453&lt;&gt;"","S"&amp;TEXT(WEEKNUM(J453),"00"),"")</f>
        <v/>
      </c>
      <c r="J453" s="392" t="str">
        <f>IF(AND(E453=Data!R453,Data!AA453&lt;&gt;""),Data!AA453,"")</f>
        <v/>
      </c>
      <c r="K453" s="313" t="str">
        <f>IF(AND(E453=Data!R453,Data!AE453&lt;&gt;""),Data!AE453,"")</f>
        <v/>
      </c>
      <c r="L453" s="318">
        <f>IF(E453=Data!R465,Data!AI465,"")</f>
        <v>0</v>
      </c>
      <c r="M453" s="318">
        <f>IF(E453=Data!R465,Data!AJ465,"")</f>
        <v>0</v>
      </c>
      <c r="N453" s="437" t="str">
        <f>IF(AND(Data!R465&lt;&gt;"",Data!L465="Accepté"),Data!K465,"")</f>
        <v/>
      </c>
    </row>
    <row r="454" spans="1:14" hidden="1" x14ac:dyDescent="0.3">
      <c r="A454" s="393" t="str">
        <f>IF(AND(Data!R466&lt;&gt;"",Data!L466="Accepté"),Data!G466,"")</f>
        <v/>
      </c>
      <c r="B454" s="393" t="str">
        <f>IF(AND(Data!R466&lt;&gt;"",Data!L466="Accepté"),Data!L466,"")</f>
        <v/>
      </c>
      <c r="C454" s="391" t="str">
        <f t="shared" si="16"/>
        <v/>
      </c>
      <c r="D454" s="392" t="str">
        <f>IF(AND(Data!Q466&lt;&gt;"",Data!L466="Accepté"),Data!Q466,"")</f>
        <v/>
      </c>
      <c r="E454" s="237" t="str">
        <f>IF(AND(Data!R466&lt;&gt;"",Data!L466="Accepté"),Data!R466,"")</f>
        <v/>
      </c>
      <c r="F454" s="326" t="str">
        <f>IF(AND(Data!R466&lt;&gt;"",Data!L466="Accepté"),Data!S466,"")</f>
        <v/>
      </c>
      <c r="G454" s="322">
        <f>IF(Data!R466='Delivery Plan'!E454,Data!U466,"")</f>
        <v>0</v>
      </c>
      <c r="H454" s="259"/>
      <c r="I454" s="391" t="str">
        <f t="shared" si="17"/>
        <v/>
      </c>
      <c r="J454" s="392" t="str">
        <f>IF(AND(E454=Data!R454,Data!AA454&lt;&gt;""),Data!AA454,"")</f>
        <v/>
      </c>
      <c r="K454" s="313" t="str">
        <f>IF(AND(E454=Data!R454,Data!AE454&lt;&gt;""),Data!AE454,"")</f>
        <v/>
      </c>
      <c r="L454" s="318">
        <f>IF(E454=Data!R466,Data!AI466,"")</f>
        <v>0</v>
      </c>
      <c r="M454" s="318">
        <f>IF(E454=Data!R466,Data!AJ466,"")</f>
        <v>0</v>
      </c>
      <c r="N454" s="437" t="str">
        <f>IF(AND(Data!R466&lt;&gt;"",Data!L466="Accepté"),Data!K466,"")</f>
        <v/>
      </c>
    </row>
    <row r="455" spans="1:14" hidden="1" x14ac:dyDescent="0.3">
      <c r="A455" s="393" t="str">
        <f>IF(AND(Data!R467&lt;&gt;"",Data!L467="Accepté"),Data!G467,"")</f>
        <v/>
      </c>
      <c r="B455" s="393" t="str">
        <f>IF(AND(Data!R467&lt;&gt;"",Data!L467="Accepté"),Data!L467,"")</f>
        <v/>
      </c>
      <c r="C455" s="391" t="str">
        <f t="shared" si="16"/>
        <v/>
      </c>
      <c r="D455" s="392" t="str">
        <f>IF(AND(Data!Q467&lt;&gt;"",Data!L467="Accepté"),Data!Q467,"")</f>
        <v/>
      </c>
      <c r="E455" s="237" t="str">
        <f>IF(AND(Data!R467&lt;&gt;"",Data!L467="Accepté"),Data!R467,"")</f>
        <v/>
      </c>
      <c r="F455" s="326" t="str">
        <f>IF(AND(Data!R467&lt;&gt;"",Data!L467="Accepté"),Data!S467,"")</f>
        <v/>
      </c>
      <c r="G455" s="322">
        <f>IF(Data!R467='Delivery Plan'!E455,Data!U467,"")</f>
        <v>0</v>
      </c>
      <c r="H455" s="259"/>
      <c r="I455" s="391" t="str">
        <f t="shared" si="17"/>
        <v/>
      </c>
      <c r="J455" s="392" t="str">
        <f>IF(AND(E455=Data!R455,Data!AA455&lt;&gt;""),Data!AA455,"")</f>
        <v/>
      </c>
      <c r="K455" s="313" t="str">
        <f>IF(AND(E455=Data!R455,Data!AE455&lt;&gt;""),Data!AE455,"")</f>
        <v/>
      </c>
      <c r="L455" s="318">
        <f>IF(E455=Data!R467,Data!AI467,"")</f>
        <v>0</v>
      </c>
      <c r="M455" s="318">
        <f>IF(E455=Data!R467,Data!AJ467,"")</f>
        <v>0</v>
      </c>
      <c r="N455" s="437" t="str">
        <f>IF(AND(Data!R467&lt;&gt;"",Data!L467="Accepté"),Data!K467,"")</f>
        <v/>
      </c>
    </row>
    <row r="456" spans="1:14" hidden="1" x14ac:dyDescent="0.3">
      <c r="A456" s="393" t="str">
        <f>IF(AND(Data!R468&lt;&gt;"",Data!L468="Accepté"),Data!G468,"")</f>
        <v/>
      </c>
      <c r="B456" s="393" t="str">
        <f>IF(AND(Data!R468&lt;&gt;"",Data!L468="Accepté"),Data!L468,"")</f>
        <v/>
      </c>
      <c r="C456" s="391" t="str">
        <f t="shared" si="16"/>
        <v/>
      </c>
      <c r="D456" s="392" t="str">
        <f>IF(AND(Data!Q468&lt;&gt;"",Data!L468="Accepté"),Data!Q468,"")</f>
        <v/>
      </c>
      <c r="E456" s="237" t="str">
        <f>IF(AND(Data!R468&lt;&gt;"",Data!L468="Accepté"),Data!R468,"")</f>
        <v/>
      </c>
      <c r="F456" s="326" t="str">
        <f>IF(AND(Data!R468&lt;&gt;"",Data!L468="Accepté"),Data!S468,"")</f>
        <v/>
      </c>
      <c r="G456" s="322">
        <f>IF(Data!R468='Delivery Plan'!E456,Data!U468,"")</f>
        <v>0</v>
      </c>
      <c r="H456" s="259"/>
      <c r="I456" s="391" t="str">
        <f t="shared" si="17"/>
        <v/>
      </c>
      <c r="J456" s="392" t="str">
        <f>IF(AND(E456=Data!R456,Data!AA456&lt;&gt;""),Data!AA456,"")</f>
        <v/>
      </c>
      <c r="K456" s="313" t="str">
        <f>IF(AND(E456=Data!R456,Data!AE456&lt;&gt;""),Data!AE456,"")</f>
        <v/>
      </c>
      <c r="L456" s="318">
        <f>IF(E456=Data!R468,Data!AI468,"")</f>
        <v>0</v>
      </c>
      <c r="M456" s="318">
        <f>IF(E456=Data!R468,Data!AJ468,"")</f>
        <v>0</v>
      </c>
      <c r="N456" s="437" t="str">
        <f>IF(AND(Data!R468&lt;&gt;"",Data!L468="Accepté"),Data!K468,"")</f>
        <v/>
      </c>
    </row>
    <row r="457" spans="1:14" hidden="1" x14ac:dyDescent="0.3">
      <c r="A457" s="393" t="str">
        <f>IF(AND(Data!R469&lt;&gt;"",Data!L469="Accepté"),Data!G469,"")</f>
        <v/>
      </c>
      <c r="B457" s="393" t="str">
        <f>IF(AND(Data!R469&lt;&gt;"",Data!L469="Accepté"),Data!L469,"")</f>
        <v/>
      </c>
      <c r="C457" s="391" t="str">
        <f t="shared" si="16"/>
        <v/>
      </c>
      <c r="D457" s="392" t="str">
        <f>IF(AND(Data!Q469&lt;&gt;"",Data!L469="Accepté"),Data!Q469,"")</f>
        <v/>
      </c>
      <c r="E457" s="237" t="str">
        <f>IF(AND(Data!R469&lt;&gt;"",Data!L469="Accepté"),Data!R469,"")</f>
        <v/>
      </c>
      <c r="F457" s="326" t="str">
        <f>IF(AND(Data!R469&lt;&gt;"",Data!L469="Accepté"),Data!S469,"")</f>
        <v/>
      </c>
      <c r="G457" s="322">
        <f>IF(Data!R469='Delivery Plan'!E457,Data!U469,"")</f>
        <v>0</v>
      </c>
      <c r="H457" s="259"/>
      <c r="I457" s="391" t="str">
        <f t="shared" si="17"/>
        <v/>
      </c>
      <c r="J457" s="392" t="str">
        <f>IF(AND(E457=Data!R457,Data!AA457&lt;&gt;""),Data!AA457,"")</f>
        <v/>
      </c>
      <c r="K457" s="313" t="str">
        <f>IF(AND(E457=Data!R457,Data!AE457&lt;&gt;""),Data!AE457,"")</f>
        <v/>
      </c>
      <c r="L457" s="318">
        <f>IF(E457=Data!R469,Data!AI469,"")</f>
        <v>0</v>
      </c>
      <c r="M457" s="318">
        <f>IF(E457=Data!R469,Data!AJ469,"")</f>
        <v>0</v>
      </c>
      <c r="N457" s="437" t="str">
        <f>IF(AND(Data!R469&lt;&gt;"",Data!L469="Accepté"),Data!K469,"")</f>
        <v/>
      </c>
    </row>
    <row r="458" spans="1:14" hidden="1" x14ac:dyDescent="0.3">
      <c r="A458" s="393" t="str">
        <f>IF(AND(Data!R470&lt;&gt;"",Data!L470="Accepté"),Data!G470,"")</f>
        <v/>
      </c>
      <c r="B458" s="393" t="str">
        <f>IF(AND(Data!R470&lt;&gt;"",Data!L470="Accepté"),Data!L470,"")</f>
        <v/>
      </c>
      <c r="C458" s="391" t="str">
        <f t="shared" si="16"/>
        <v/>
      </c>
      <c r="D458" s="392" t="str">
        <f>IF(AND(Data!Q470&lt;&gt;"",Data!L470="Accepté"),Data!Q470,"")</f>
        <v/>
      </c>
      <c r="E458" s="237" t="str">
        <f>IF(AND(Data!R470&lt;&gt;"",Data!L470="Accepté"),Data!R470,"")</f>
        <v/>
      </c>
      <c r="F458" s="326" t="str">
        <f>IF(AND(Data!R470&lt;&gt;"",Data!L470="Accepté"),Data!S470,"")</f>
        <v/>
      </c>
      <c r="G458" s="322">
        <f>IF(Data!R470='Delivery Plan'!E458,Data!U470,"")</f>
        <v>0</v>
      </c>
      <c r="H458" s="259"/>
      <c r="I458" s="391" t="str">
        <f t="shared" si="17"/>
        <v/>
      </c>
      <c r="J458" s="392" t="str">
        <f>IF(AND(E458=Data!R458,Data!AA458&lt;&gt;""),Data!AA458,"")</f>
        <v/>
      </c>
      <c r="K458" s="313" t="str">
        <f>IF(AND(E458=Data!R458,Data!AE458&lt;&gt;""),Data!AE458,"")</f>
        <v/>
      </c>
      <c r="L458" s="318">
        <f>IF(E458=Data!R470,Data!AI470,"")</f>
        <v>0</v>
      </c>
      <c r="M458" s="318">
        <f>IF(E458=Data!R470,Data!AJ470,"")</f>
        <v>0</v>
      </c>
      <c r="N458" s="437" t="str">
        <f>IF(AND(Data!R470&lt;&gt;"",Data!L470="Accepté"),Data!K470,"")</f>
        <v/>
      </c>
    </row>
    <row r="459" spans="1:14" hidden="1" x14ac:dyDescent="0.3">
      <c r="A459" s="393" t="str">
        <f>IF(AND(Data!R471&lt;&gt;"",Data!L471="Accepté"),Data!G471,"")</f>
        <v/>
      </c>
      <c r="B459" s="393" t="str">
        <f>IF(AND(Data!R471&lt;&gt;"",Data!L471="Accepté"),Data!L471,"")</f>
        <v/>
      </c>
      <c r="C459" s="391" t="str">
        <f t="shared" si="16"/>
        <v/>
      </c>
      <c r="D459" s="392" t="str">
        <f>IF(AND(Data!Q471&lt;&gt;"",Data!L471="Accepté"),Data!Q471,"")</f>
        <v/>
      </c>
      <c r="E459" s="237" t="str">
        <f>IF(AND(Data!R471&lt;&gt;"",Data!L471="Accepté"),Data!R471,"")</f>
        <v/>
      </c>
      <c r="F459" s="326" t="str">
        <f>IF(AND(Data!R471&lt;&gt;"",Data!L471="Accepté"),Data!S471,"")</f>
        <v/>
      </c>
      <c r="G459" s="322">
        <f>IF(Data!R471='Delivery Plan'!E459,Data!U471,"")</f>
        <v>0</v>
      </c>
      <c r="H459" s="259"/>
      <c r="I459" s="391" t="str">
        <f t="shared" si="17"/>
        <v/>
      </c>
      <c r="J459" s="392" t="str">
        <f>IF(AND(E459=Data!R459,Data!AA459&lt;&gt;""),Data!AA459,"")</f>
        <v/>
      </c>
      <c r="K459" s="313" t="str">
        <f>IF(AND(E459=Data!R459,Data!AE459&lt;&gt;""),Data!AE459,"")</f>
        <v/>
      </c>
      <c r="L459" s="318">
        <f>IF(E459=Data!R471,Data!AI471,"")</f>
        <v>0</v>
      </c>
      <c r="M459" s="318">
        <f>IF(E459=Data!R471,Data!AJ471,"")</f>
        <v>0</v>
      </c>
      <c r="N459" s="437" t="str">
        <f>IF(AND(Data!R471&lt;&gt;"",Data!L471="Accepté"),Data!K471,"")</f>
        <v/>
      </c>
    </row>
    <row r="460" spans="1:14" hidden="1" x14ac:dyDescent="0.3">
      <c r="A460" s="393" t="str">
        <f>IF(AND(Data!R472&lt;&gt;"",Data!L472="Accepté"),Data!G472,"")</f>
        <v/>
      </c>
      <c r="B460" s="393" t="str">
        <f>IF(AND(Data!R472&lt;&gt;"",Data!L472="Accepté"),Data!L472,"")</f>
        <v/>
      </c>
      <c r="C460" s="391" t="str">
        <f t="shared" ref="C460:C523" si="18">IF(D460&lt;&gt;"","S"&amp;TEXT(WEEKNUM(D460),"00"),"")</f>
        <v/>
      </c>
      <c r="D460" s="392" t="str">
        <f>IF(AND(Data!Q472&lt;&gt;"",Data!L472="Accepté"),Data!Q472,"")</f>
        <v/>
      </c>
      <c r="E460" s="237" t="str">
        <f>IF(AND(Data!R472&lt;&gt;"",Data!L472="Accepté"),Data!R472,"")</f>
        <v/>
      </c>
      <c r="F460" s="326" t="str">
        <f>IF(AND(Data!R472&lt;&gt;"",Data!L472="Accepté"),Data!S472,"")</f>
        <v/>
      </c>
      <c r="G460" s="322">
        <f>IF(Data!R472='Delivery Plan'!E460,Data!U472,"")</f>
        <v>0</v>
      </c>
      <c r="H460" s="259"/>
      <c r="I460" s="391" t="str">
        <f t="shared" si="17"/>
        <v/>
      </c>
      <c r="J460" s="392" t="str">
        <f>IF(AND(E460=Data!R460,Data!AA460&lt;&gt;""),Data!AA460,"")</f>
        <v/>
      </c>
      <c r="K460" s="313" t="str">
        <f>IF(AND(E460=Data!R460,Data!AE460&lt;&gt;""),Data!AE460,"")</f>
        <v/>
      </c>
      <c r="L460" s="318">
        <f>IF(E460=Data!R472,Data!AI472,"")</f>
        <v>0</v>
      </c>
      <c r="M460" s="318">
        <f>IF(E460=Data!R472,Data!AJ472,"")</f>
        <v>0</v>
      </c>
      <c r="N460" s="437" t="str">
        <f>IF(AND(Data!R472&lt;&gt;"",Data!L472="Accepté"),Data!K472,"")</f>
        <v/>
      </c>
    </row>
    <row r="461" spans="1:14" hidden="1" x14ac:dyDescent="0.3">
      <c r="A461" s="393" t="str">
        <f>IF(AND(Data!R473&lt;&gt;"",Data!L473="Accepté"),Data!G473,"")</f>
        <v/>
      </c>
      <c r="B461" s="393" t="str">
        <f>IF(AND(Data!R473&lt;&gt;"",Data!L473="Accepté"),Data!L473,"")</f>
        <v/>
      </c>
      <c r="C461" s="391" t="str">
        <f t="shared" si="18"/>
        <v/>
      </c>
      <c r="D461" s="392" t="str">
        <f>IF(AND(Data!Q473&lt;&gt;"",Data!L473="Accepté"),Data!Q473,"")</f>
        <v/>
      </c>
      <c r="E461" s="237" t="str">
        <f>IF(AND(Data!R473&lt;&gt;"",Data!L473="Accepté"),Data!R473,"")</f>
        <v/>
      </c>
      <c r="F461" s="326" t="str">
        <f>IF(AND(Data!R473&lt;&gt;"",Data!L473="Accepté"),Data!S473,"")</f>
        <v/>
      </c>
      <c r="G461" s="322">
        <f>IF(Data!R473='Delivery Plan'!E461,Data!U473,"")</f>
        <v>0</v>
      </c>
      <c r="H461" s="259"/>
      <c r="I461" s="391" t="str">
        <f t="shared" si="17"/>
        <v/>
      </c>
      <c r="J461" s="392" t="str">
        <f>IF(AND(E461=Data!R461,Data!AA461&lt;&gt;""),Data!AA461,"")</f>
        <v/>
      </c>
      <c r="K461" s="313" t="str">
        <f>IF(AND(E461=Data!R461,Data!AE461&lt;&gt;""),Data!AE461,"")</f>
        <v/>
      </c>
      <c r="L461" s="318">
        <f>IF(E461=Data!R473,Data!AI473,"")</f>
        <v>0</v>
      </c>
      <c r="M461" s="318">
        <f>IF(E461=Data!R473,Data!AJ473,"")</f>
        <v>0</v>
      </c>
      <c r="N461" s="437" t="str">
        <f>IF(AND(Data!R473&lt;&gt;"",Data!L473="Accepté"),Data!K473,"")</f>
        <v/>
      </c>
    </row>
    <row r="462" spans="1:14" hidden="1" x14ac:dyDescent="0.3">
      <c r="A462" s="393" t="str">
        <f>IF(AND(Data!R474&lt;&gt;"",Data!L474="Accepté"),Data!G474,"")</f>
        <v/>
      </c>
      <c r="B462" s="393" t="str">
        <f>IF(AND(Data!R474&lt;&gt;"",Data!L474="Accepté"),Data!L474,"")</f>
        <v/>
      </c>
      <c r="C462" s="391" t="str">
        <f t="shared" si="18"/>
        <v/>
      </c>
      <c r="D462" s="392" t="str">
        <f>IF(AND(Data!Q474&lt;&gt;"",Data!L474="Accepté"),Data!Q474,"")</f>
        <v/>
      </c>
      <c r="E462" s="237" t="str">
        <f>IF(AND(Data!R474&lt;&gt;"",Data!L474="Accepté"),Data!R474,"")</f>
        <v/>
      </c>
      <c r="F462" s="326" t="str">
        <f>IF(AND(Data!R474&lt;&gt;"",Data!L474="Accepté"),Data!S474,"")</f>
        <v/>
      </c>
      <c r="G462" s="322">
        <f>IF(Data!R474='Delivery Plan'!E462,Data!U474,"")</f>
        <v>0</v>
      </c>
      <c r="H462" s="259"/>
      <c r="I462" s="391" t="str">
        <f t="shared" si="17"/>
        <v/>
      </c>
      <c r="J462" s="392" t="str">
        <f>IF(AND(E462=Data!R462,Data!AA462&lt;&gt;""),Data!AA462,"")</f>
        <v/>
      </c>
      <c r="K462" s="313" t="str">
        <f>IF(AND(E462=Data!R462,Data!AE462&lt;&gt;""),Data!AE462,"")</f>
        <v/>
      </c>
      <c r="L462" s="318">
        <f>IF(E462=Data!R474,Data!AI474,"")</f>
        <v>0</v>
      </c>
      <c r="M462" s="318">
        <f>IF(E462=Data!R474,Data!AJ474,"")</f>
        <v>0</v>
      </c>
      <c r="N462" s="437" t="str">
        <f>IF(AND(Data!R474&lt;&gt;"",Data!L474="Accepté"),Data!K474,"")</f>
        <v/>
      </c>
    </row>
    <row r="463" spans="1:14" hidden="1" x14ac:dyDescent="0.3">
      <c r="A463" s="393" t="str">
        <f>IF(AND(Data!R475&lt;&gt;"",Data!L475="Accepté"),Data!G475,"")</f>
        <v/>
      </c>
      <c r="B463" s="393" t="str">
        <f>IF(AND(Data!R475&lt;&gt;"",Data!L475="Accepté"),Data!L475,"")</f>
        <v/>
      </c>
      <c r="C463" s="391" t="str">
        <f t="shared" si="18"/>
        <v/>
      </c>
      <c r="D463" s="392" t="str">
        <f>IF(AND(Data!Q475&lt;&gt;"",Data!L475="Accepté"),Data!Q475,"")</f>
        <v/>
      </c>
      <c r="E463" s="237" t="str">
        <f>IF(AND(Data!R475&lt;&gt;"",Data!L475="Accepté"),Data!R475,"")</f>
        <v/>
      </c>
      <c r="F463" s="326" t="str">
        <f>IF(AND(Data!R475&lt;&gt;"",Data!L475="Accepté"),Data!S475,"")</f>
        <v/>
      </c>
      <c r="G463" s="322">
        <f>IF(Data!R475='Delivery Plan'!E463,Data!U475,"")</f>
        <v>0</v>
      </c>
      <c r="H463" s="259"/>
      <c r="I463" s="391" t="str">
        <f t="shared" si="17"/>
        <v/>
      </c>
      <c r="J463" s="392" t="str">
        <f>IF(AND(E463=Data!R463,Data!AA463&lt;&gt;""),Data!AA463,"")</f>
        <v/>
      </c>
      <c r="K463" s="313" t="str">
        <f>IF(AND(E463=Data!R463,Data!AE463&lt;&gt;""),Data!AE463,"")</f>
        <v/>
      </c>
      <c r="L463" s="318">
        <f>IF(E463=Data!R475,Data!AI475,"")</f>
        <v>0</v>
      </c>
      <c r="M463" s="318">
        <f>IF(E463=Data!R475,Data!AJ475,"")</f>
        <v>0</v>
      </c>
      <c r="N463" s="437" t="str">
        <f>IF(AND(Data!R475&lt;&gt;"",Data!L475="Accepté"),Data!K475,"")</f>
        <v/>
      </c>
    </row>
    <row r="464" spans="1:14" hidden="1" x14ac:dyDescent="0.3">
      <c r="A464" s="393" t="str">
        <f>IF(AND(Data!R476&lt;&gt;"",Data!L476="Accepté"),Data!G476,"")</f>
        <v/>
      </c>
      <c r="B464" s="393" t="str">
        <f>IF(AND(Data!R476&lt;&gt;"",Data!L476="Accepté"),Data!L476,"")</f>
        <v/>
      </c>
      <c r="C464" s="391" t="str">
        <f t="shared" si="18"/>
        <v/>
      </c>
      <c r="D464" s="392" t="str">
        <f>IF(AND(Data!Q476&lt;&gt;"",Data!L476="Accepté"),Data!Q476,"")</f>
        <v/>
      </c>
      <c r="E464" s="237" t="str">
        <f>IF(AND(Data!R476&lt;&gt;"",Data!L476="Accepté"),Data!R476,"")</f>
        <v/>
      </c>
      <c r="F464" s="326" t="str">
        <f>IF(AND(Data!R476&lt;&gt;"",Data!L476="Accepté"),Data!S476,"")</f>
        <v/>
      </c>
      <c r="G464" s="322">
        <f>IF(Data!R476='Delivery Plan'!E464,Data!U476,"")</f>
        <v>0</v>
      </c>
      <c r="H464" s="259"/>
      <c r="I464" s="391" t="str">
        <f t="shared" si="17"/>
        <v/>
      </c>
      <c r="J464" s="392" t="str">
        <f>IF(AND(E464=Data!R464,Data!AA464&lt;&gt;""),Data!AA464,"")</f>
        <v/>
      </c>
      <c r="K464" s="313" t="str">
        <f>IF(AND(E464=Data!R464,Data!AE464&lt;&gt;""),Data!AE464,"")</f>
        <v/>
      </c>
      <c r="L464" s="318">
        <f>IF(E464=Data!R476,Data!AI476,"")</f>
        <v>0</v>
      </c>
      <c r="M464" s="318">
        <f>IF(E464=Data!R476,Data!AJ476,"")</f>
        <v>0</v>
      </c>
      <c r="N464" s="437" t="str">
        <f>IF(AND(Data!R476&lt;&gt;"",Data!L476="Accepté"),Data!K476,"")</f>
        <v/>
      </c>
    </row>
    <row r="465" spans="1:14" hidden="1" x14ac:dyDescent="0.3">
      <c r="A465" s="393" t="str">
        <f>IF(AND(Data!R477&lt;&gt;"",Data!L477="Accepté"),Data!G477,"")</f>
        <v/>
      </c>
      <c r="B465" s="393" t="str">
        <f>IF(AND(Data!R477&lt;&gt;"",Data!L477="Accepté"),Data!L477,"")</f>
        <v/>
      </c>
      <c r="C465" s="391" t="str">
        <f t="shared" si="18"/>
        <v/>
      </c>
      <c r="D465" s="392" t="str">
        <f>IF(AND(Data!Q477&lt;&gt;"",Data!L477="Accepté"),Data!Q477,"")</f>
        <v/>
      </c>
      <c r="E465" s="237" t="str">
        <f>IF(AND(Data!R477&lt;&gt;"",Data!L477="Accepté"),Data!R477,"")</f>
        <v/>
      </c>
      <c r="F465" s="326" t="str">
        <f>IF(AND(Data!R477&lt;&gt;"",Data!L477="Accepté"),Data!S477,"")</f>
        <v/>
      </c>
      <c r="G465" s="322">
        <f>IF(Data!R477='Delivery Plan'!E465,Data!U477,"")</f>
        <v>0</v>
      </c>
      <c r="H465" s="259"/>
      <c r="I465" s="391" t="str">
        <f t="shared" si="17"/>
        <v/>
      </c>
      <c r="J465" s="392" t="str">
        <f>IF(AND(E465=Data!R465,Data!AA465&lt;&gt;""),Data!AA465,"")</f>
        <v/>
      </c>
      <c r="K465" s="313" t="str">
        <f>IF(AND(E465=Data!R465,Data!AE465&lt;&gt;""),Data!AE465,"")</f>
        <v/>
      </c>
      <c r="L465" s="318">
        <f>IF(E465=Data!R477,Data!AI477,"")</f>
        <v>0</v>
      </c>
      <c r="M465" s="318">
        <f>IF(E465=Data!R477,Data!AJ477,"")</f>
        <v>0</v>
      </c>
      <c r="N465" s="437" t="str">
        <f>IF(AND(Data!R477&lt;&gt;"",Data!L477="Accepté"),Data!K477,"")</f>
        <v/>
      </c>
    </row>
    <row r="466" spans="1:14" hidden="1" x14ac:dyDescent="0.3">
      <c r="A466" s="393" t="str">
        <f>IF(AND(Data!R478&lt;&gt;"",Data!L478="Accepté"),Data!G478,"")</f>
        <v/>
      </c>
      <c r="B466" s="393" t="str">
        <f>IF(AND(Data!R478&lt;&gt;"",Data!L478="Accepté"),Data!L478,"")</f>
        <v/>
      </c>
      <c r="C466" s="391" t="str">
        <f t="shared" si="18"/>
        <v/>
      </c>
      <c r="D466" s="392" t="str">
        <f>IF(AND(Data!Q478&lt;&gt;"",Data!L478="Accepté"),Data!Q478,"")</f>
        <v/>
      </c>
      <c r="E466" s="237" t="str">
        <f>IF(AND(Data!R478&lt;&gt;"",Data!L478="Accepté"),Data!R478,"")</f>
        <v/>
      </c>
      <c r="F466" s="326" t="str">
        <f>IF(AND(Data!R478&lt;&gt;"",Data!L478="Accepté"),Data!S478,"")</f>
        <v/>
      </c>
      <c r="G466" s="322">
        <f>IF(Data!R478='Delivery Plan'!E466,Data!U478,"")</f>
        <v>0</v>
      </c>
      <c r="H466" s="259"/>
      <c r="I466" s="391" t="str">
        <f t="shared" si="17"/>
        <v/>
      </c>
      <c r="J466" s="392" t="str">
        <f>IF(AND(E466=Data!R466,Data!AA466&lt;&gt;""),Data!AA466,"")</f>
        <v/>
      </c>
      <c r="K466" s="313" t="str">
        <f>IF(AND(E466=Data!R466,Data!AE466&lt;&gt;""),Data!AE466,"")</f>
        <v/>
      </c>
      <c r="L466" s="318">
        <f>IF(E466=Data!R478,Data!AI478,"")</f>
        <v>0</v>
      </c>
      <c r="M466" s="318">
        <f>IF(E466=Data!R478,Data!AJ478,"")</f>
        <v>0</v>
      </c>
      <c r="N466" s="437" t="str">
        <f>IF(AND(Data!R478&lt;&gt;"",Data!L478="Accepté"),Data!K478,"")</f>
        <v/>
      </c>
    </row>
    <row r="467" spans="1:14" hidden="1" x14ac:dyDescent="0.3">
      <c r="A467" s="393" t="str">
        <f>IF(AND(Data!R479&lt;&gt;"",Data!L479="Accepté"),Data!G479,"")</f>
        <v/>
      </c>
      <c r="B467" s="393" t="str">
        <f>IF(AND(Data!R479&lt;&gt;"",Data!L479="Accepté"),Data!L479,"")</f>
        <v/>
      </c>
      <c r="C467" s="391" t="str">
        <f t="shared" si="18"/>
        <v/>
      </c>
      <c r="D467" s="392" t="str">
        <f>IF(AND(Data!Q479&lt;&gt;"",Data!L479="Accepté"),Data!Q479,"")</f>
        <v/>
      </c>
      <c r="E467" s="237" t="str">
        <f>IF(AND(Data!R479&lt;&gt;"",Data!L479="Accepté"),Data!R479,"")</f>
        <v/>
      </c>
      <c r="F467" s="326" t="str">
        <f>IF(AND(Data!R479&lt;&gt;"",Data!L479="Accepté"),Data!S479,"")</f>
        <v/>
      </c>
      <c r="G467" s="322">
        <f>IF(Data!R479='Delivery Plan'!E467,Data!U479,"")</f>
        <v>0</v>
      </c>
      <c r="H467" s="259"/>
      <c r="I467" s="391" t="str">
        <f t="shared" si="17"/>
        <v/>
      </c>
      <c r="J467" s="392" t="str">
        <f>IF(AND(E467=Data!R467,Data!AA467&lt;&gt;""),Data!AA467,"")</f>
        <v/>
      </c>
      <c r="K467" s="313" t="str">
        <f>IF(AND(E467=Data!R467,Data!AE467&lt;&gt;""),Data!AE467,"")</f>
        <v/>
      </c>
      <c r="L467" s="318">
        <f>IF(E467=Data!R479,Data!AI479,"")</f>
        <v>0</v>
      </c>
      <c r="M467" s="318">
        <f>IF(E467=Data!R479,Data!AJ479,"")</f>
        <v>0</v>
      </c>
      <c r="N467" s="437" t="str">
        <f>IF(AND(Data!R479&lt;&gt;"",Data!L479="Accepté"),Data!K479,"")</f>
        <v/>
      </c>
    </row>
    <row r="468" spans="1:14" hidden="1" x14ac:dyDescent="0.3">
      <c r="A468" s="393" t="str">
        <f>IF(AND(Data!R480&lt;&gt;"",Data!L480="Accepté"),Data!G480,"")</f>
        <v/>
      </c>
      <c r="B468" s="393" t="str">
        <f>IF(AND(Data!R480&lt;&gt;"",Data!L480="Accepté"),Data!L480,"")</f>
        <v/>
      </c>
      <c r="C468" s="391" t="str">
        <f t="shared" si="18"/>
        <v/>
      </c>
      <c r="D468" s="392" t="str">
        <f>IF(AND(Data!Q480&lt;&gt;"",Data!L480="Accepté"),Data!Q480,"")</f>
        <v/>
      </c>
      <c r="E468" s="237" t="str">
        <f>IF(AND(Data!R480&lt;&gt;"",Data!L480="Accepté"),Data!R480,"")</f>
        <v/>
      </c>
      <c r="F468" s="326" t="str">
        <f>IF(AND(Data!R480&lt;&gt;"",Data!L480="Accepté"),Data!S480,"")</f>
        <v/>
      </c>
      <c r="G468" s="322">
        <f>IF(Data!R480='Delivery Plan'!E468,Data!U480,"")</f>
        <v>0</v>
      </c>
      <c r="H468" s="259"/>
      <c r="I468" s="391" t="str">
        <f t="shared" si="17"/>
        <v/>
      </c>
      <c r="J468" s="392" t="str">
        <f>IF(AND(E468=Data!R468,Data!AA468&lt;&gt;""),Data!AA468,"")</f>
        <v/>
      </c>
      <c r="K468" s="313" t="str">
        <f>IF(AND(E468=Data!R468,Data!AE468&lt;&gt;""),Data!AE468,"")</f>
        <v/>
      </c>
      <c r="L468" s="318">
        <f>IF(E468=Data!R480,Data!AI480,"")</f>
        <v>0</v>
      </c>
      <c r="M468" s="318">
        <f>IF(E468=Data!R480,Data!AJ480,"")</f>
        <v>0</v>
      </c>
      <c r="N468" s="437" t="str">
        <f>IF(AND(Data!R480&lt;&gt;"",Data!L480="Accepté"),Data!K480,"")</f>
        <v/>
      </c>
    </row>
    <row r="469" spans="1:14" hidden="1" x14ac:dyDescent="0.3">
      <c r="A469" s="393" t="str">
        <f>IF(AND(Data!R481&lt;&gt;"",Data!L481="Accepté"),Data!G481,"")</f>
        <v/>
      </c>
      <c r="B469" s="393" t="str">
        <f>IF(AND(Data!R481&lt;&gt;"",Data!L481="Accepté"),Data!L481,"")</f>
        <v/>
      </c>
      <c r="C469" s="391" t="str">
        <f t="shared" si="18"/>
        <v/>
      </c>
      <c r="D469" s="392" t="str">
        <f>IF(AND(Data!Q481&lt;&gt;"",Data!L481="Accepté"),Data!Q481,"")</f>
        <v/>
      </c>
      <c r="E469" s="237" t="str">
        <f>IF(AND(Data!R481&lt;&gt;"",Data!L481="Accepté"),Data!R481,"")</f>
        <v/>
      </c>
      <c r="F469" s="326" t="str">
        <f>IF(AND(Data!R481&lt;&gt;"",Data!L481="Accepté"),Data!S481,"")</f>
        <v/>
      </c>
      <c r="G469" s="322">
        <f>IF(Data!R481='Delivery Plan'!E469,Data!U481,"")</f>
        <v>0</v>
      </c>
      <c r="H469" s="259"/>
      <c r="I469" s="391" t="str">
        <f t="shared" si="17"/>
        <v/>
      </c>
      <c r="J469" s="392" t="str">
        <f>IF(AND(E469=Data!R469,Data!AA469&lt;&gt;""),Data!AA469,"")</f>
        <v/>
      </c>
      <c r="K469" s="313" t="str">
        <f>IF(AND(E469=Data!R469,Data!AE469&lt;&gt;""),Data!AE469,"")</f>
        <v/>
      </c>
      <c r="L469" s="318">
        <f>IF(E469=Data!R481,Data!AI481,"")</f>
        <v>0</v>
      </c>
      <c r="M469" s="318">
        <f>IF(E469=Data!R481,Data!AJ481,"")</f>
        <v>0</v>
      </c>
      <c r="N469" s="437" t="str">
        <f>IF(AND(Data!R481&lt;&gt;"",Data!L481="Accepté"),Data!K481,"")</f>
        <v/>
      </c>
    </row>
    <row r="470" spans="1:14" hidden="1" x14ac:dyDescent="0.3">
      <c r="A470" s="393" t="str">
        <f>IF(AND(Data!R482&lt;&gt;"",Data!L482="Accepté"),Data!G482,"")</f>
        <v/>
      </c>
      <c r="B470" s="393" t="str">
        <f>IF(AND(Data!R482&lt;&gt;"",Data!L482="Accepté"),Data!L482,"")</f>
        <v/>
      </c>
      <c r="C470" s="391" t="str">
        <f t="shared" si="18"/>
        <v/>
      </c>
      <c r="D470" s="392" t="str">
        <f>IF(AND(Data!Q482&lt;&gt;"",Data!L482="Accepté"),Data!Q482,"")</f>
        <v/>
      </c>
      <c r="E470" s="237" t="str">
        <f>IF(AND(Data!R482&lt;&gt;"",Data!L482="Accepté"),Data!R482,"")</f>
        <v/>
      </c>
      <c r="F470" s="326" t="str">
        <f>IF(AND(Data!R482&lt;&gt;"",Data!L482="Accepté"),Data!S482,"")</f>
        <v/>
      </c>
      <c r="G470" s="322">
        <f>IF(Data!R482='Delivery Plan'!E470,Data!U482,"")</f>
        <v>0</v>
      </c>
      <c r="H470" s="259"/>
      <c r="I470" s="391" t="str">
        <f t="shared" si="17"/>
        <v/>
      </c>
      <c r="J470" s="392" t="str">
        <f>IF(AND(E470=Data!R470,Data!AA470&lt;&gt;""),Data!AA470,"")</f>
        <v/>
      </c>
      <c r="K470" s="313" t="str">
        <f>IF(AND(E470=Data!R470,Data!AE470&lt;&gt;""),Data!AE470,"")</f>
        <v/>
      </c>
      <c r="L470" s="318">
        <f>IF(E470=Data!R482,Data!AI482,"")</f>
        <v>0</v>
      </c>
      <c r="M470" s="318">
        <f>IF(E470=Data!R482,Data!AJ482,"")</f>
        <v>0</v>
      </c>
      <c r="N470" s="437" t="str">
        <f>IF(AND(Data!R482&lt;&gt;"",Data!L482="Accepté"),Data!K482,"")</f>
        <v/>
      </c>
    </row>
    <row r="471" spans="1:14" hidden="1" x14ac:dyDescent="0.3">
      <c r="A471" s="393" t="str">
        <f>IF(AND(Data!R483&lt;&gt;"",Data!L483="Accepté"),Data!G483,"")</f>
        <v/>
      </c>
      <c r="B471" s="393" t="str">
        <f>IF(AND(Data!R483&lt;&gt;"",Data!L483="Accepté"),Data!L483,"")</f>
        <v/>
      </c>
      <c r="C471" s="391" t="str">
        <f t="shared" si="18"/>
        <v/>
      </c>
      <c r="D471" s="392" t="str">
        <f>IF(AND(Data!Q483&lt;&gt;"",Data!L483="Accepté"),Data!Q483,"")</f>
        <v/>
      </c>
      <c r="E471" s="237" t="str">
        <f>IF(AND(Data!R483&lt;&gt;"",Data!L483="Accepté"),Data!R483,"")</f>
        <v/>
      </c>
      <c r="F471" s="326" t="str">
        <f>IF(AND(Data!R483&lt;&gt;"",Data!L483="Accepté"),Data!S483,"")</f>
        <v/>
      </c>
      <c r="G471" s="322">
        <f>IF(Data!R483='Delivery Plan'!E471,Data!U483,"")</f>
        <v>0</v>
      </c>
      <c r="H471" s="259"/>
      <c r="I471" s="391" t="str">
        <f t="shared" si="17"/>
        <v/>
      </c>
      <c r="J471" s="392" t="str">
        <f>IF(AND(E471=Data!R471,Data!AA471&lt;&gt;""),Data!AA471,"")</f>
        <v/>
      </c>
      <c r="K471" s="313" t="str">
        <f>IF(AND(E471=Data!R471,Data!AE471&lt;&gt;""),Data!AE471,"")</f>
        <v/>
      </c>
      <c r="L471" s="318">
        <f>IF(E471=Data!R483,Data!AI483,"")</f>
        <v>0</v>
      </c>
      <c r="M471" s="318">
        <f>IF(E471=Data!R483,Data!AJ483,"")</f>
        <v>0</v>
      </c>
      <c r="N471" s="437" t="str">
        <f>IF(AND(Data!R483&lt;&gt;"",Data!L483="Accepté"),Data!K483,"")</f>
        <v/>
      </c>
    </row>
    <row r="472" spans="1:14" hidden="1" x14ac:dyDescent="0.3">
      <c r="A472" s="393" t="str">
        <f>IF(AND(Data!R484&lt;&gt;"",Data!L484="Accepté"),Data!G484,"")</f>
        <v/>
      </c>
      <c r="B472" s="393" t="str">
        <f>IF(AND(Data!R484&lt;&gt;"",Data!L484="Accepté"),Data!L484,"")</f>
        <v/>
      </c>
      <c r="C472" s="391" t="str">
        <f t="shared" si="18"/>
        <v/>
      </c>
      <c r="D472" s="392" t="str">
        <f>IF(AND(Data!Q484&lt;&gt;"",Data!L484="Accepté"),Data!Q484,"")</f>
        <v/>
      </c>
      <c r="E472" s="237" t="str">
        <f>IF(AND(Data!R484&lt;&gt;"",Data!L484="Accepté"),Data!R484,"")</f>
        <v/>
      </c>
      <c r="F472" s="326" t="str">
        <f>IF(AND(Data!R484&lt;&gt;"",Data!L484="Accepté"),Data!S484,"")</f>
        <v/>
      </c>
      <c r="G472" s="322">
        <f>IF(Data!R484='Delivery Plan'!E472,Data!U484,"")</f>
        <v>0</v>
      </c>
      <c r="H472" s="259"/>
      <c r="I472" s="391" t="str">
        <f t="shared" si="17"/>
        <v/>
      </c>
      <c r="J472" s="392" t="str">
        <f>IF(AND(E472=Data!R472,Data!AA472&lt;&gt;""),Data!AA472,"")</f>
        <v/>
      </c>
      <c r="K472" s="313" t="str">
        <f>IF(AND(E472=Data!R472,Data!AE472&lt;&gt;""),Data!AE472,"")</f>
        <v/>
      </c>
      <c r="L472" s="318">
        <f>IF(E472=Data!R484,Data!AI484,"")</f>
        <v>0</v>
      </c>
      <c r="M472" s="318">
        <f>IF(E472=Data!R484,Data!AJ484,"")</f>
        <v>0</v>
      </c>
      <c r="N472" s="437" t="str">
        <f>IF(AND(Data!R484&lt;&gt;"",Data!L484="Accepté"),Data!K484,"")</f>
        <v/>
      </c>
    </row>
    <row r="473" spans="1:14" hidden="1" x14ac:dyDescent="0.3">
      <c r="A473" s="393" t="str">
        <f>IF(AND(Data!R485&lt;&gt;"",Data!L485="Accepté"),Data!G485,"")</f>
        <v/>
      </c>
      <c r="B473" s="393" t="str">
        <f>IF(AND(Data!R485&lt;&gt;"",Data!L485="Accepté"),Data!L485,"")</f>
        <v/>
      </c>
      <c r="C473" s="391" t="str">
        <f t="shared" si="18"/>
        <v/>
      </c>
      <c r="D473" s="392" t="str">
        <f>IF(AND(Data!Q485&lt;&gt;"",Data!L485="Accepté"),Data!Q485,"")</f>
        <v/>
      </c>
      <c r="E473" s="237" t="str">
        <f>IF(AND(Data!R485&lt;&gt;"",Data!L485="Accepté"),Data!R485,"")</f>
        <v/>
      </c>
      <c r="F473" s="326" t="str">
        <f>IF(AND(Data!R485&lt;&gt;"",Data!L485="Accepté"),Data!S485,"")</f>
        <v/>
      </c>
      <c r="G473" s="322">
        <f>IF(Data!R485='Delivery Plan'!E473,Data!U485,"")</f>
        <v>0</v>
      </c>
      <c r="H473" s="259"/>
      <c r="I473" s="391" t="str">
        <f t="shared" si="17"/>
        <v/>
      </c>
      <c r="J473" s="392" t="str">
        <f>IF(AND(E473=Data!R473,Data!AA473&lt;&gt;""),Data!AA473,"")</f>
        <v/>
      </c>
      <c r="K473" s="313" t="str">
        <f>IF(AND(E473=Data!R473,Data!AE473&lt;&gt;""),Data!AE473,"")</f>
        <v/>
      </c>
      <c r="L473" s="318">
        <f>IF(E473=Data!R485,Data!AI485,"")</f>
        <v>0</v>
      </c>
      <c r="M473" s="318">
        <f>IF(E473=Data!R485,Data!AJ485,"")</f>
        <v>0</v>
      </c>
      <c r="N473" s="437" t="str">
        <f>IF(AND(Data!R485&lt;&gt;"",Data!L485="Accepté"),Data!K485,"")</f>
        <v/>
      </c>
    </row>
    <row r="474" spans="1:14" hidden="1" x14ac:dyDescent="0.3">
      <c r="A474" s="393" t="str">
        <f>IF(AND(Data!R486&lt;&gt;"",Data!L486="Accepté"),Data!G486,"")</f>
        <v/>
      </c>
      <c r="B474" s="393" t="str">
        <f>IF(AND(Data!R486&lt;&gt;"",Data!L486="Accepté"),Data!L486,"")</f>
        <v/>
      </c>
      <c r="C474" s="391" t="str">
        <f t="shared" si="18"/>
        <v/>
      </c>
      <c r="D474" s="392" t="str">
        <f>IF(AND(Data!Q486&lt;&gt;"",Data!L486="Accepté"),Data!Q486,"")</f>
        <v/>
      </c>
      <c r="E474" s="237" t="str">
        <f>IF(AND(Data!R486&lt;&gt;"",Data!L486="Accepté"),Data!R486,"")</f>
        <v/>
      </c>
      <c r="F474" s="326" t="str">
        <f>IF(AND(Data!R486&lt;&gt;"",Data!L486="Accepté"),Data!S486,"")</f>
        <v/>
      </c>
      <c r="G474" s="322">
        <f>IF(Data!R486='Delivery Plan'!E474,Data!U486,"")</f>
        <v>0</v>
      </c>
      <c r="H474" s="259"/>
      <c r="I474" s="391" t="str">
        <f t="shared" si="17"/>
        <v/>
      </c>
      <c r="J474" s="392" t="str">
        <f>IF(AND(E474=Data!R474,Data!AA474&lt;&gt;""),Data!AA474,"")</f>
        <v/>
      </c>
      <c r="K474" s="313" t="str">
        <f>IF(AND(E474=Data!R474,Data!AE474&lt;&gt;""),Data!AE474,"")</f>
        <v/>
      </c>
      <c r="L474" s="318">
        <f>IF(E474=Data!R486,Data!AI486,"")</f>
        <v>0</v>
      </c>
      <c r="M474" s="318">
        <f>IF(E474=Data!R486,Data!AJ486,"")</f>
        <v>0</v>
      </c>
      <c r="N474" s="437" t="str">
        <f>IF(AND(Data!R486&lt;&gt;"",Data!L486="Accepté"),Data!K486,"")</f>
        <v/>
      </c>
    </row>
    <row r="475" spans="1:14" hidden="1" x14ac:dyDescent="0.3">
      <c r="A475" s="393" t="str">
        <f>IF(AND(Data!R487&lt;&gt;"",Data!L487="Accepté"),Data!G487,"")</f>
        <v/>
      </c>
      <c r="B475" s="393" t="str">
        <f>IF(AND(Data!R487&lt;&gt;"",Data!L487="Accepté"),Data!L487,"")</f>
        <v/>
      </c>
      <c r="C475" s="391" t="str">
        <f t="shared" si="18"/>
        <v/>
      </c>
      <c r="D475" s="392" t="str">
        <f>IF(AND(Data!Q487&lt;&gt;"",Data!L487="Accepté"),Data!Q487,"")</f>
        <v/>
      </c>
      <c r="E475" s="237" t="str">
        <f>IF(AND(Data!R487&lt;&gt;"",Data!L487="Accepté"),Data!R487,"")</f>
        <v/>
      </c>
      <c r="F475" s="326" t="str">
        <f>IF(AND(Data!R487&lt;&gt;"",Data!L487="Accepté"),Data!S487,"")</f>
        <v/>
      </c>
      <c r="G475" s="322">
        <f>IF(Data!R487='Delivery Plan'!E475,Data!U487,"")</f>
        <v>0</v>
      </c>
      <c r="H475" s="259"/>
      <c r="I475" s="391" t="str">
        <f t="shared" si="17"/>
        <v/>
      </c>
      <c r="J475" s="392" t="str">
        <f>IF(AND(E475=Data!R475,Data!AA475&lt;&gt;""),Data!AA475,"")</f>
        <v/>
      </c>
      <c r="K475" s="313" t="str">
        <f>IF(AND(E475=Data!R475,Data!AE475&lt;&gt;""),Data!AE475,"")</f>
        <v/>
      </c>
      <c r="L475" s="318">
        <f>IF(E475=Data!R487,Data!AI487,"")</f>
        <v>0</v>
      </c>
      <c r="M475" s="318">
        <f>IF(E475=Data!R487,Data!AJ487,"")</f>
        <v>0</v>
      </c>
      <c r="N475" s="437" t="str">
        <f>IF(AND(Data!R487&lt;&gt;"",Data!L487="Accepté"),Data!K487,"")</f>
        <v/>
      </c>
    </row>
    <row r="476" spans="1:14" hidden="1" x14ac:dyDescent="0.3">
      <c r="A476" s="393" t="str">
        <f>IF(AND(Data!R488&lt;&gt;"",Data!L488="Accepté"),Data!G488,"")</f>
        <v/>
      </c>
      <c r="B476" s="393" t="str">
        <f>IF(AND(Data!R488&lt;&gt;"",Data!L488="Accepté"),Data!L488,"")</f>
        <v/>
      </c>
      <c r="C476" s="391" t="str">
        <f t="shared" si="18"/>
        <v/>
      </c>
      <c r="D476" s="392" t="str">
        <f>IF(AND(Data!Q488&lt;&gt;"",Data!L488="Accepté"),Data!Q488,"")</f>
        <v/>
      </c>
      <c r="E476" s="237" t="str">
        <f>IF(AND(Data!R488&lt;&gt;"",Data!L488="Accepté"),Data!R488,"")</f>
        <v/>
      </c>
      <c r="F476" s="326" t="str">
        <f>IF(AND(Data!R488&lt;&gt;"",Data!L488="Accepté"),Data!S488,"")</f>
        <v/>
      </c>
      <c r="G476" s="322">
        <f>IF(Data!R488='Delivery Plan'!E476,Data!U488,"")</f>
        <v>0</v>
      </c>
      <c r="H476" s="259"/>
      <c r="I476" s="391" t="str">
        <f t="shared" si="17"/>
        <v/>
      </c>
      <c r="J476" s="392" t="str">
        <f>IF(AND(E476=Data!R476,Data!AA476&lt;&gt;""),Data!AA476,"")</f>
        <v/>
      </c>
      <c r="K476" s="313" t="str">
        <f>IF(AND(E476=Data!R476,Data!AE476&lt;&gt;""),Data!AE476,"")</f>
        <v/>
      </c>
      <c r="L476" s="318">
        <f>IF(E476=Data!R488,Data!AI488,"")</f>
        <v>0</v>
      </c>
      <c r="M476" s="318">
        <f>IF(E476=Data!R488,Data!AJ488,"")</f>
        <v>0</v>
      </c>
      <c r="N476" s="437" t="str">
        <f>IF(AND(Data!R488&lt;&gt;"",Data!L488="Accepté"),Data!K488,"")</f>
        <v/>
      </c>
    </row>
    <row r="477" spans="1:14" hidden="1" x14ac:dyDescent="0.3">
      <c r="A477" s="393" t="str">
        <f>IF(AND(Data!R489&lt;&gt;"",Data!L489="Accepté"),Data!G489,"")</f>
        <v/>
      </c>
      <c r="B477" s="393" t="str">
        <f>IF(AND(Data!R489&lt;&gt;"",Data!L489="Accepté"),Data!L489,"")</f>
        <v/>
      </c>
      <c r="C477" s="391" t="str">
        <f t="shared" si="18"/>
        <v/>
      </c>
      <c r="D477" s="392" t="str">
        <f>IF(AND(Data!Q489&lt;&gt;"",Data!L489="Accepté"),Data!Q489,"")</f>
        <v/>
      </c>
      <c r="E477" s="237" t="str">
        <f>IF(AND(Data!R489&lt;&gt;"",Data!L489="Accepté"),Data!R489,"")</f>
        <v/>
      </c>
      <c r="F477" s="326" t="str">
        <f>IF(AND(Data!R489&lt;&gt;"",Data!L489="Accepté"),Data!S489,"")</f>
        <v/>
      </c>
      <c r="G477" s="322">
        <f>IF(Data!R489='Delivery Plan'!E477,Data!U489,"")</f>
        <v>0</v>
      </c>
      <c r="H477" s="259"/>
      <c r="I477" s="391" t="str">
        <f t="shared" si="17"/>
        <v/>
      </c>
      <c r="J477" s="392" t="str">
        <f>IF(AND(E477=Data!R477,Data!AA477&lt;&gt;""),Data!AA477,"")</f>
        <v/>
      </c>
      <c r="K477" s="313" t="str">
        <f>IF(AND(E477=Data!R477,Data!AE477&lt;&gt;""),Data!AE477,"")</f>
        <v/>
      </c>
      <c r="L477" s="318">
        <f>IF(E477=Data!R489,Data!AI489,"")</f>
        <v>0</v>
      </c>
      <c r="M477" s="318">
        <f>IF(E477=Data!R489,Data!AJ489,"")</f>
        <v>0</v>
      </c>
      <c r="N477" s="437" t="str">
        <f>IF(AND(Data!R489&lt;&gt;"",Data!L489="Accepté"),Data!K489,"")</f>
        <v/>
      </c>
    </row>
    <row r="478" spans="1:14" hidden="1" x14ac:dyDescent="0.3">
      <c r="A478" s="393" t="str">
        <f>IF(AND(Data!R490&lt;&gt;"",Data!L490="Accepté"),Data!G490,"")</f>
        <v/>
      </c>
      <c r="B478" s="393" t="str">
        <f>IF(AND(Data!R490&lt;&gt;"",Data!L490="Accepté"),Data!L490,"")</f>
        <v/>
      </c>
      <c r="C478" s="391" t="str">
        <f t="shared" si="18"/>
        <v/>
      </c>
      <c r="D478" s="392" t="str">
        <f>IF(AND(Data!Q490&lt;&gt;"",Data!L490="Accepté"),Data!Q490,"")</f>
        <v/>
      </c>
      <c r="E478" s="237" t="str">
        <f>IF(AND(Data!R490&lt;&gt;"",Data!L490="Accepté"),Data!R490,"")</f>
        <v/>
      </c>
      <c r="F478" s="326" t="str">
        <f>IF(AND(Data!R490&lt;&gt;"",Data!L490="Accepté"),Data!S490,"")</f>
        <v/>
      </c>
      <c r="G478" s="322">
        <f>IF(Data!R490='Delivery Plan'!E478,Data!U490,"")</f>
        <v>0</v>
      </c>
      <c r="H478" s="259"/>
      <c r="I478" s="391" t="str">
        <f t="shared" si="17"/>
        <v/>
      </c>
      <c r="J478" s="392" t="str">
        <f>IF(AND(E478=Data!R478,Data!AA478&lt;&gt;""),Data!AA478,"")</f>
        <v/>
      </c>
      <c r="K478" s="313" t="str">
        <f>IF(AND(E478=Data!R478,Data!AE478&lt;&gt;""),Data!AE478,"")</f>
        <v/>
      </c>
      <c r="L478" s="318">
        <f>IF(E478=Data!R490,Data!AI490,"")</f>
        <v>0</v>
      </c>
      <c r="M478" s="318">
        <f>IF(E478=Data!R490,Data!AJ490,"")</f>
        <v>0</v>
      </c>
      <c r="N478" s="437" t="str">
        <f>IF(AND(Data!R490&lt;&gt;"",Data!L490="Accepté"),Data!K490,"")</f>
        <v/>
      </c>
    </row>
    <row r="479" spans="1:14" hidden="1" x14ac:dyDescent="0.3">
      <c r="A479" s="393" t="str">
        <f>IF(AND(Data!R491&lt;&gt;"",Data!L491="Accepté"),Data!G491,"")</f>
        <v/>
      </c>
      <c r="B479" s="393" t="str">
        <f>IF(AND(Data!R491&lt;&gt;"",Data!L491="Accepté"),Data!L491,"")</f>
        <v/>
      </c>
      <c r="C479" s="391" t="str">
        <f t="shared" si="18"/>
        <v/>
      </c>
      <c r="D479" s="392" t="str">
        <f>IF(AND(Data!Q491&lt;&gt;"",Data!L491="Accepté"),Data!Q491,"")</f>
        <v/>
      </c>
      <c r="E479" s="237" t="str">
        <f>IF(AND(Data!R491&lt;&gt;"",Data!L491="Accepté"),Data!R491,"")</f>
        <v/>
      </c>
      <c r="F479" s="326" t="str">
        <f>IF(AND(Data!R491&lt;&gt;"",Data!L491="Accepté"),Data!S491,"")</f>
        <v/>
      </c>
      <c r="G479" s="322">
        <f>IF(Data!R491='Delivery Plan'!E479,Data!U491,"")</f>
        <v>0</v>
      </c>
      <c r="H479" s="259"/>
      <c r="I479" s="391" t="str">
        <f t="shared" si="17"/>
        <v/>
      </c>
      <c r="J479" s="392" t="str">
        <f>IF(AND(E479=Data!R479,Data!AA479&lt;&gt;""),Data!AA479,"")</f>
        <v/>
      </c>
      <c r="K479" s="313" t="str">
        <f>IF(AND(E479=Data!R479,Data!AE479&lt;&gt;""),Data!AE479,"")</f>
        <v/>
      </c>
      <c r="L479" s="318">
        <f>IF(E479=Data!R491,Data!AI491,"")</f>
        <v>0</v>
      </c>
      <c r="M479" s="318">
        <f>IF(E479=Data!R491,Data!AJ491,"")</f>
        <v>0</v>
      </c>
      <c r="N479" s="437" t="str">
        <f>IF(AND(Data!R491&lt;&gt;"",Data!L491="Accepté"),Data!K491,"")</f>
        <v/>
      </c>
    </row>
    <row r="480" spans="1:14" hidden="1" x14ac:dyDescent="0.3">
      <c r="A480" s="393" t="str">
        <f>IF(AND(Data!R492&lt;&gt;"",Data!L492="Accepté"),Data!G492,"")</f>
        <v/>
      </c>
      <c r="B480" s="393" t="str">
        <f>IF(AND(Data!R492&lt;&gt;"",Data!L492="Accepté"),Data!L492,"")</f>
        <v/>
      </c>
      <c r="C480" s="391" t="str">
        <f t="shared" si="18"/>
        <v/>
      </c>
      <c r="D480" s="392" t="str">
        <f>IF(AND(Data!Q492&lt;&gt;"",Data!L492="Accepté"),Data!Q492,"")</f>
        <v/>
      </c>
      <c r="E480" s="237" t="str">
        <f>IF(AND(Data!R492&lt;&gt;"",Data!L492="Accepté"),Data!R492,"")</f>
        <v/>
      </c>
      <c r="F480" s="326" t="str">
        <f>IF(AND(Data!R492&lt;&gt;"",Data!L492="Accepté"),Data!S492,"")</f>
        <v/>
      </c>
      <c r="G480" s="322">
        <f>IF(Data!R492='Delivery Plan'!E480,Data!U492,"")</f>
        <v>0</v>
      </c>
      <c r="H480" s="259"/>
      <c r="I480" s="391" t="str">
        <f t="shared" si="17"/>
        <v/>
      </c>
      <c r="J480" s="392" t="str">
        <f>IF(AND(E480=Data!R480,Data!AA480&lt;&gt;""),Data!AA480,"")</f>
        <v/>
      </c>
      <c r="K480" s="313" t="str">
        <f>IF(AND(E480=Data!R480,Data!AE480&lt;&gt;""),Data!AE480,"")</f>
        <v/>
      </c>
      <c r="L480" s="318">
        <f>IF(E480=Data!R492,Data!AI492,"")</f>
        <v>0</v>
      </c>
      <c r="M480" s="318">
        <f>IF(E480=Data!R492,Data!AJ492,"")</f>
        <v>0</v>
      </c>
      <c r="N480" s="437" t="str">
        <f>IF(AND(Data!R492&lt;&gt;"",Data!L492="Accepté"),Data!K492,"")</f>
        <v/>
      </c>
    </row>
    <row r="481" spans="1:14" hidden="1" x14ac:dyDescent="0.3">
      <c r="A481" s="393" t="str">
        <f>IF(AND(Data!R493&lt;&gt;"",Data!L493="Accepté"),Data!G493,"")</f>
        <v/>
      </c>
      <c r="B481" s="393" t="str">
        <f>IF(AND(Data!R493&lt;&gt;"",Data!L493="Accepté"),Data!L493,"")</f>
        <v/>
      </c>
      <c r="C481" s="391" t="str">
        <f t="shared" si="18"/>
        <v/>
      </c>
      <c r="D481" s="392" t="str">
        <f>IF(AND(Data!Q493&lt;&gt;"",Data!L493="Accepté"),Data!Q493,"")</f>
        <v/>
      </c>
      <c r="E481" s="237" t="str">
        <f>IF(AND(Data!R493&lt;&gt;"",Data!L493="Accepté"),Data!R493,"")</f>
        <v/>
      </c>
      <c r="F481" s="326" t="str">
        <f>IF(AND(Data!R493&lt;&gt;"",Data!L493="Accepté"),Data!S493,"")</f>
        <v/>
      </c>
      <c r="G481" s="322">
        <f>IF(Data!R493='Delivery Plan'!E481,Data!U493,"")</f>
        <v>0</v>
      </c>
      <c r="H481" s="259"/>
      <c r="I481" s="391" t="str">
        <f t="shared" si="17"/>
        <v/>
      </c>
      <c r="J481" s="392" t="str">
        <f>IF(AND(E481=Data!R481,Data!AA481&lt;&gt;""),Data!AA481,"")</f>
        <v/>
      </c>
      <c r="K481" s="313" t="str">
        <f>IF(AND(E481=Data!R481,Data!AE481&lt;&gt;""),Data!AE481,"")</f>
        <v/>
      </c>
      <c r="L481" s="318">
        <f>IF(E481=Data!R493,Data!AI493,"")</f>
        <v>0</v>
      </c>
      <c r="M481" s="318">
        <f>IF(E481=Data!R493,Data!AJ493,"")</f>
        <v>0</v>
      </c>
      <c r="N481" s="437" t="str">
        <f>IF(AND(Data!R493&lt;&gt;"",Data!L493="Accepté"),Data!K493,"")</f>
        <v/>
      </c>
    </row>
    <row r="482" spans="1:14" hidden="1" x14ac:dyDescent="0.3">
      <c r="A482" s="393" t="str">
        <f>IF(AND(Data!R494&lt;&gt;"",Data!L494="Accepté"),Data!G494,"")</f>
        <v/>
      </c>
      <c r="B482" s="393" t="str">
        <f>IF(AND(Data!R494&lt;&gt;"",Data!L494="Accepté"),Data!L494,"")</f>
        <v/>
      </c>
      <c r="C482" s="391" t="str">
        <f t="shared" si="18"/>
        <v/>
      </c>
      <c r="D482" s="392" t="str">
        <f>IF(AND(Data!Q494&lt;&gt;"",Data!L494="Accepté"),Data!Q494,"")</f>
        <v/>
      </c>
      <c r="E482" s="237" t="str">
        <f>IF(AND(Data!R494&lt;&gt;"",Data!L494="Accepté"),Data!R494,"")</f>
        <v/>
      </c>
      <c r="F482" s="326" t="str">
        <f>IF(AND(Data!R494&lt;&gt;"",Data!L494="Accepté"),Data!S494,"")</f>
        <v/>
      </c>
      <c r="G482" s="322">
        <f>IF(Data!R494='Delivery Plan'!E482,Data!U494,"")</f>
        <v>0</v>
      </c>
      <c r="H482" s="259"/>
      <c r="I482" s="391" t="str">
        <f t="shared" ref="I482:I516" si="19">IF(J482&lt;&gt;"","S"&amp;TEXT(WEEKNUM(J482),"00"),"")</f>
        <v/>
      </c>
      <c r="J482" s="392" t="str">
        <f>IF(AND(E482=Data!R487,Data!AA487&lt;&gt;""),Data!AA487,"")</f>
        <v/>
      </c>
      <c r="K482" s="313" t="str">
        <f>IF(AND(E482=Data!R487,Data!AE487&lt;&gt;""),Data!AE487,"")</f>
        <v/>
      </c>
      <c r="L482" s="318">
        <f>IF(E482=Data!R494,Data!AI494,"")</f>
        <v>0</v>
      </c>
      <c r="M482" s="318">
        <f>IF(E482=Data!R494,Data!AJ494,"")</f>
        <v>0</v>
      </c>
      <c r="N482" s="437" t="str">
        <f>IF(AND(Data!R494&lt;&gt;"",Data!L494="Accepté"),Data!K494,"")</f>
        <v/>
      </c>
    </row>
    <row r="483" spans="1:14" hidden="1" x14ac:dyDescent="0.3">
      <c r="A483" s="393" t="str">
        <f>IF(AND(Data!R495&lt;&gt;"",Data!L495="Accepté"),Data!G495,"")</f>
        <v/>
      </c>
      <c r="B483" s="393" t="str">
        <f>IF(AND(Data!R495&lt;&gt;"",Data!L495="Accepté"),Data!L495,"")</f>
        <v/>
      </c>
      <c r="C483" s="391" t="str">
        <f t="shared" si="18"/>
        <v/>
      </c>
      <c r="D483" s="392" t="str">
        <f>IF(AND(Data!Q495&lt;&gt;"",Data!L495="Accepté"),Data!Q495,"")</f>
        <v/>
      </c>
      <c r="E483" s="237" t="str">
        <f>IF(AND(Data!R495&lt;&gt;"",Data!L495="Accepté"),Data!R495,"")</f>
        <v/>
      </c>
      <c r="F483" s="326" t="str">
        <f>IF(AND(Data!R495&lt;&gt;"",Data!L495="Accepté"),Data!S495,"")</f>
        <v/>
      </c>
      <c r="G483" s="322">
        <f>IF(Data!R495='Delivery Plan'!E483,Data!U495,"")</f>
        <v>0</v>
      </c>
      <c r="H483" s="259"/>
      <c r="I483" s="391" t="str">
        <f t="shared" si="19"/>
        <v/>
      </c>
      <c r="J483" s="392" t="str">
        <f>IF(AND(E483=Data!R488,Data!AA488&lt;&gt;""),Data!AA488,"")</f>
        <v/>
      </c>
      <c r="K483" s="313" t="str">
        <f>IF(AND(E483=Data!R488,Data!AE488&lt;&gt;""),Data!AE488,"")</f>
        <v/>
      </c>
      <c r="L483" s="318">
        <f>IF(E483=Data!R495,Data!AI495,"")</f>
        <v>0</v>
      </c>
      <c r="M483" s="318">
        <f>IF(E483=Data!R495,Data!AJ495,"")</f>
        <v>0</v>
      </c>
      <c r="N483" s="437" t="str">
        <f>IF(AND(Data!R495&lt;&gt;"",Data!L495="Accepté"),Data!K495,"")</f>
        <v/>
      </c>
    </row>
    <row r="484" spans="1:14" hidden="1" x14ac:dyDescent="0.3">
      <c r="A484" s="393" t="str">
        <f>IF(AND(Data!R496&lt;&gt;"",Data!L496="Accepté"),Data!G496,"")</f>
        <v/>
      </c>
      <c r="B484" s="393" t="str">
        <f>IF(AND(Data!R496&lt;&gt;"",Data!L496="Accepté"),Data!L496,"")</f>
        <v/>
      </c>
      <c r="C484" s="391" t="str">
        <f t="shared" si="18"/>
        <v/>
      </c>
      <c r="D484" s="392" t="str">
        <f>IF(AND(Data!Q496&lt;&gt;"",Data!L496="Accepté"),Data!Q496,"")</f>
        <v/>
      </c>
      <c r="E484" s="237" t="str">
        <f>IF(AND(Data!R496&lt;&gt;"",Data!L496="Accepté"),Data!R496,"")</f>
        <v/>
      </c>
      <c r="F484" s="326" t="str">
        <f>IF(AND(Data!R496&lt;&gt;"",Data!L496="Accepté"),Data!S496,"")</f>
        <v/>
      </c>
      <c r="G484" s="322">
        <f>IF(Data!R496='Delivery Plan'!E484,Data!U496,"")</f>
        <v>0</v>
      </c>
      <c r="H484" s="259"/>
      <c r="I484" s="391" t="str">
        <f t="shared" si="19"/>
        <v/>
      </c>
      <c r="J484" s="392" t="str">
        <f>IF(AND(E484=Data!R489,Data!AA489&lt;&gt;""),Data!AA489,"")</f>
        <v/>
      </c>
      <c r="K484" s="313" t="str">
        <f>IF(AND(E484=Data!R489,Data!AE489&lt;&gt;""),Data!AE489,"")</f>
        <v/>
      </c>
      <c r="L484" s="318">
        <f>IF(E484=Data!R496,Data!AI496,"")</f>
        <v>0</v>
      </c>
      <c r="M484" s="318">
        <f>IF(E484=Data!R496,Data!AJ496,"")</f>
        <v>0</v>
      </c>
      <c r="N484" s="437" t="str">
        <f>IF(AND(Data!R496&lt;&gt;"",Data!L496="Accepté"),Data!K496,"")</f>
        <v/>
      </c>
    </row>
    <row r="485" spans="1:14" hidden="1" x14ac:dyDescent="0.3">
      <c r="A485" s="393" t="str">
        <f>IF(AND(Data!R497&lt;&gt;"",Data!L497="Accepté"),Data!G497,"")</f>
        <v/>
      </c>
      <c r="B485" s="393" t="str">
        <f>IF(AND(Data!R497&lt;&gt;"",Data!L497="Accepté"),Data!L497,"")</f>
        <v/>
      </c>
      <c r="C485" s="391" t="str">
        <f t="shared" si="18"/>
        <v/>
      </c>
      <c r="D485" s="392" t="str">
        <f>IF(AND(Data!Q497&lt;&gt;"",Data!L497="Accepté"),Data!Q497,"")</f>
        <v/>
      </c>
      <c r="E485" s="237" t="str">
        <f>IF(AND(Data!R497&lt;&gt;"",Data!L497="Accepté"),Data!R497,"")</f>
        <v/>
      </c>
      <c r="F485" s="326" t="str">
        <f>IF(AND(Data!R497&lt;&gt;"",Data!L497="Accepté"),Data!S497,"")</f>
        <v/>
      </c>
      <c r="G485" s="322">
        <f>IF(Data!R497='Delivery Plan'!E485,Data!U497,"")</f>
        <v>0</v>
      </c>
      <c r="H485" s="259"/>
      <c r="I485" s="391" t="str">
        <f t="shared" si="19"/>
        <v/>
      </c>
      <c r="J485" s="392" t="str">
        <f>IF(AND(E485=Data!R490,Data!AA490&lt;&gt;""),Data!AA490,"")</f>
        <v/>
      </c>
      <c r="K485" s="313" t="str">
        <f>IF(AND(E485=Data!R490,Data!AE490&lt;&gt;""),Data!AE490,"")</f>
        <v/>
      </c>
      <c r="L485" s="318">
        <f>IF(E485=Data!R497,Data!AI497,"")</f>
        <v>0</v>
      </c>
      <c r="M485" s="318">
        <f>IF(E485=Data!R497,Data!AJ497,"")</f>
        <v>0</v>
      </c>
      <c r="N485" s="437" t="str">
        <f>IF(AND(Data!R497&lt;&gt;"",Data!L497="Accepté"),Data!K497,"")</f>
        <v/>
      </c>
    </row>
    <row r="486" spans="1:14" hidden="1" x14ac:dyDescent="0.3">
      <c r="A486" s="393" t="str">
        <f>IF(AND(Data!R498&lt;&gt;"",Data!L498="Accepté"),Data!G498,"")</f>
        <v/>
      </c>
      <c r="B486" s="393" t="str">
        <f>IF(AND(Data!R498&lt;&gt;"",Data!L498="Accepté"),Data!L498,"")</f>
        <v/>
      </c>
      <c r="C486" s="391" t="str">
        <f t="shared" si="18"/>
        <v/>
      </c>
      <c r="D486" s="392" t="str">
        <f>IF(AND(Data!Q498&lt;&gt;"",Data!L498="Accepté"),Data!Q498,"")</f>
        <v/>
      </c>
      <c r="E486" s="237" t="str">
        <f>IF(AND(Data!R498&lt;&gt;"",Data!L498="Accepté"),Data!R498,"")</f>
        <v/>
      </c>
      <c r="F486" s="326" t="str">
        <f>IF(AND(Data!R498&lt;&gt;"",Data!L498="Accepté"),Data!S498,"")</f>
        <v/>
      </c>
      <c r="G486" s="322">
        <f>IF(Data!R498='Delivery Plan'!E486,Data!U498,"")</f>
        <v>0</v>
      </c>
      <c r="H486" s="259"/>
      <c r="I486" s="391" t="str">
        <f t="shared" si="19"/>
        <v/>
      </c>
      <c r="J486" s="392" t="str">
        <f>IF(AND(E486=Data!R491,Data!AA491&lt;&gt;""),Data!AA491,"")</f>
        <v/>
      </c>
      <c r="K486" s="313" t="str">
        <f>IF(AND(E486=Data!R491,Data!AE491&lt;&gt;""),Data!AE491,"")</f>
        <v/>
      </c>
      <c r="L486" s="318">
        <f>IF(E486=Data!R498,Data!AI498,"")</f>
        <v>0</v>
      </c>
      <c r="M486" s="318">
        <f>IF(E486=Data!R498,Data!AJ498,"")</f>
        <v>0</v>
      </c>
      <c r="N486" s="437" t="str">
        <f>IF(AND(Data!R498&lt;&gt;"",Data!L498="Accepté"),Data!K498,"")</f>
        <v/>
      </c>
    </row>
    <row r="487" spans="1:14" hidden="1" x14ac:dyDescent="0.3">
      <c r="A487" s="393" t="str">
        <f>IF(AND(Data!R499&lt;&gt;"",Data!L499="Accepté"),Data!G499,"")</f>
        <v/>
      </c>
      <c r="B487" s="393" t="str">
        <f>IF(AND(Data!R499&lt;&gt;"",Data!L499="Accepté"),Data!L499,"")</f>
        <v/>
      </c>
      <c r="C487" s="391" t="str">
        <f t="shared" si="18"/>
        <v/>
      </c>
      <c r="D487" s="392" t="str">
        <f>IF(AND(Data!Q499&lt;&gt;"",Data!L499="Accepté"),Data!Q499,"")</f>
        <v/>
      </c>
      <c r="E487" s="237" t="str">
        <f>IF(AND(Data!R499&lt;&gt;"",Data!L499="Accepté"),Data!R499,"")</f>
        <v/>
      </c>
      <c r="F487" s="326" t="str">
        <f>IF(AND(Data!R499&lt;&gt;"",Data!L499="Accepté"),Data!S499,"")</f>
        <v/>
      </c>
      <c r="G487" s="322">
        <f>IF(Data!R499='Delivery Plan'!E487,Data!U499,"")</f>
        <v>0</v>
      </c>
      <c r="H487" s="259"/>
      <c r="I487" s="391" t="str">
        <f t="shared" si="19"/>
        <v/>
      </c>
      <c r="J487" s="392" t="str">
        <f>IF(AND(E487=Data!R492,Data!AA492&lt;&gt;""),Data!AA492,"")</f>
        <v/>
      </c>
      <c r="K487" s="313" t="str">
        <f>IF(AND(E487=Data!R492,Data!AE492&lt;&gt;""),Data!AE492,"")</f>
        <v/>
      </c>
      <c r="L487" s="318">
        <f>IF(E487=Data!R499,Data!AI499,"")</f>
        <v>0</v>
      </c>
      <c r="M487" s="318">
        <f>IF(E487=Data!R499,Data!AJ499,"")</f>
        <v>0</v>
      </c>
      <c r="N487" s="437" t="str">
        <f>IF(AND(Data!R499&lt;&gt;"",Data!L499="Accepté"),Data!K499,"")</f>
        <v/>
      </c>
    </row>
    <row r="488" spans="1:14" hidden="1" x14ac:dyDescent="0.3">
      <c r="A488" s="393" t="str">
        <f>IF(AND(Data!R500&lt;&gt;"",Data!L500="Accepté"),Data!G500,"")</f>
        <v/>
      </c>
      <c r="B488" s="393" t="str">
        <f>IF(AND(Data!R500&lt;&gt;"",Data!L500="Accepté"),Data!L500,"")</f>
        <v/>
      </c>
      <c r="C488" s="391" t="str">
        <f t="shared" si="18"/>
        <v/>
      </c>
      <c r="D488" s="392" t="str">
        <f>IF(AND(Data!Q500&lt;&gt;"",Data!L500="Accepté"),Data!Q500,"")</f>
        <v/>
      </c>
      <c r="E488" s="237" t="str">
        <f>IF(AND(Data!R500&lt;&gt;"",Data!L500="Accepté"),Data!R500,"")</f>
        <v/>
      </c>
      <c r="F488" s="326" t="str">
        <f>IF(AND(Data!R500&lt;&gt;"",Data!L500="Accepté"),Data!S500,"")</f>
        <v/>
      </c>
      <c r="G488" s="322">
        <f>IF(Data!R500='Delivery Plan'!E488,Data!U500,"")</f>
        <v>0</v>
      </c>
      <c r="H488" s="259"/>
      <c r="I488" s="391" t="str">
        <f t="shared" si="19"/>
        <v/>
      </c>
      <c r="J488" s="392" t="str">
        <f>IF(AND(E488=Data!R493,Data!AA493&lt;&gt;""),Data!AA493,"")</f>
        <v/>
      </c>
      <c r="K488" s="313" t="str">
        <f>IF(AND(E488=Data!R493,Data!AE493&lt;&gt;""),Data!AE493,"")</f>
        <v/>
      </c>
      <c r="L488" s="318">
        <f>IF(E488=Data!R500,Data!AI500,"")</f>
        <v>0</v>
      </c>
      <c r="M488" s="318">
        <f>IF(E488=Data!R500,Data!AJ500,"")</f>
        <v>0</v>
      </c>
      <c r="N488" s="437" t="str">
        <f>IF(AND(Data!R500&lt;&gt;"",Data!L500="Accepté"),Data!K500,"")</f>
        <v/>
      </c>
    </row>
    <row r="489" spans="1:14" hidden="1" x14ac:dyDescent="0.3">
      <c r="A489" s="393" t="str">
        <f>IF(AND(Data!R501&lt;&gt;"",Data!L501="Accepté"),Data!G501,"")</f>
        <v/>
      </c>
      <c r="B489" s="393" t="str">
        <f>IF(AND(Data!R501&lt;&gt;"",Data!L501="Accepté"),Data!L501,"")</f>
        <v/>
      </c>
      <c r="C489" s="391" t="str">
        <f t="shared" si="18"/>
        <v/>
      </c>
      <c r="D489" s="392" t="str">
        <f>IF(AND(Data!Q501&lt;&gt;"",Data!L501="Accepté"),Data!Q501,"")</f>
        <v/>
      </c>
      <c r="E489" s="237" t="str">
        <f>IF(AND(Data!R501&lt;&gt;"",Data!L501="Accepté"),Data!R501,"")</f>
        <v/>
      </c>
      <c r="F489" s="326" t="str">
        <f>IF(AND(Data!R501&lt;&gt;"",Data!L501="Accepté"),Data!S501,"")</f>
        <v/>
      </c>
      <c r="G489" s="322">
        <f>IF(Data!R501='Delivery Plan'!E489,Data!U501,"")</f>
        <v>0</v>
      </c>
      <c r="H489" s="259"/>
      <c r="I489" s="391" t="str">
        <f t="shared" si="19"/>
        <v/>
      </c>
      <c r="J489" s="392" t="str">
        <f>IF(AND(E489=Data!R494,Data!AA494&lt;&gt;""),Data!AA494,"")</f>
        <v/>
      </c>
      <c r="K489" s="313" t="str">
        <f>IF(AND(E489=Data!R494,Data!AE494&lt;&gt;""),Data!AE494,"")</f>
        <v/>
      </c>
      <c r="L489" s="318">
        <f>IF(E489=Data!R501,Data!AI501,"")</f>
        <v>0</v>
      </c>
      <c r="M489" s="318">
        <f>IF(E489=Data!R501,Data!AJ501,"")</f>
        <v>0</v>
      </c>
      <c r="N489" s="437" t="str">
        <f>IF(AND(Data!R501&lt;&gt;"",Data!L501="Accepté"),Data!K501,"")</f>
        <v/>
      </c>
    </row>
    <row r="490" spans="1:14" hidden="1" x14ac:dyDescent="0.3">
      <c r="A490" s="393" t="str">
        <f>IF(AND(Data!R502&lt;&gt;"",Data!L502="Accepté"),Data!G502,"")</f>
        <v/>
      </c>
      <c r="B490" s="393" t="str">
        <f>IF(AND(Data!R502&lt;&gt;"",Data!L502="Accepté"),Data!L502,"")</f>
        <v/>
      </c>
      <c r="C490" s="391" t="str">
        <f t="shared" si="18"/>
        <v/>
      </c>
      <c r="D490" s="392" t="str">
        <f>IF(AND(Data!Q502&lt;&gt;"",Data!L502="Accepté"),Data!Q502,"")</f>
        <v/>
      </c>
      <c r="E490" s="237" t="str">
        <f>IF(AND(Data!R502&lt;&gt;"",Data!L502="Accepté"),Data!R502,"")</f>
        <v/>
      </c>
      <c r="F490" s="326" t="str">
        <f>IF(AND(Data!R502&lt;&gt;"",Data!L502="Accepté"),Data!S502,"")</f>
        <v/>
      </c>
      <c r="G490" s="322">
        <f>IF(Data!R502='Delivery Plan'!E490,Data!U502,"")</f>
        <v>0</v>
      </c>
      <c r="H490" s="259"/>
      <c r="I490" s="391" t="str">
        <f t="shared" si="19"/>
        <v/>
      </c>
      <c r="J490" s="392" t="str">
        <f>IF(AND(E490=Data!R495,Data!AA495&lt;&gt;""),Data!AA495,"")</f>
        <v/>
      </c>
      <c r="K490" s="313" t="str">
        <f>IF(AND(E490=Data!R495,Data!AE495&lt;&gt;""),Data!AE495,"")</f>
        <v/>
      </c>
      <c r="L490" s="318">
        <f>IF(E490=Data!R502,Data!AI502,"")</f>
        <v>0</v>
      </c>
      <c r="M490" s="318">
        <f>IF(E490=Data!R502,Data!AJ502,"")</f>
        <v>0</v>
      </c>
      <c r="N490" s="437" t="str">
        <f>IF(AND(Data!R502&lt;&gt;"",Data!L502="Accepté"),Data!K502,"")</f>
        <v/>
      </c>
    </row>
    <row r="491" spans="1:14" hidden="1" x14ac:dyDescent="0.3">
      <c r="A491" s="393" t="str">
        <f>IF(AND(Data!R503&lt;&gt;"",Data!L503="Accepté"),Data!G503,"")</f>
        <v/>
      </c>
      <c r="B491" s="393" t="str">
        <f>IF(AND(Data!R503&lt;&gt;"",Data!L503="Accepté"),Data!L503,"")</f>
        <v/>
      </c>
      <c r="C491" s="391" t="str">
        <f t="shared" si="18"/>
        <v/>
      </c>
      <c r="D491" s="392" t="str">
        <f>IF(AND(Data!Q503&lt;&gt;"",Data!L503="Accepté"),Data!Q503,"")</f>
        <v/>
      </c>
      <c r="E491" s="237" t="str">
        <f>IF(AND(Data!R503&lt;&gt;"",Data!L503="Accepté"),Data!R503,"")</f>
        <v/>
      </c>
      <c r="F491" s="326" t="str">
        <f>IF(AND(Data!R503&lt;&gt;"",Data!L503="Accepté"),Data!S503,"")</f>
        <v/>
      </c>
      <c r="G491" s="322">
        <f>IF(Data!R503='Delivery Plan'!E491,Data!U503,"")</f>
        <v>0</v>
      </c>
      <c r="H491" s="259"/>
      <c r="I491" s="391" t="str">
        <f t="shared" si="19"/>
        <v/>
      </c>
      <c r="J491" s="392" t="str">
        <f>IF(AND(E491=Data!R496,Data!AA496&lt;&gt;""),Data!AA496,"")</f>
        <v/>
      </c>
      <c r="K491" s="313" t="str">
        <f>IF(AND(E491=Data!R496,Data!AE496&lt;&gt;""),Data!AE496,"")</f>
        <v/>
      </c>
      <c r="L491" s="318">
        <f>IF(E491=Data!R503,Data!AI503,"")</f>
        <v>0</v>
      </c>
      <c r="M491" s="318">
        <f>IF(E491=Data!R503,Data!AJ503,"")</f>
        <v>0</v>
      </c>
      <c r="N491" s="437" t="str">
        <f>IF(AND(Data!R503&lt;&gt;"",Data!L503="Accepté"),Data!K503,"")</f>
        <v/>
      </c>
    </row>
    <row r="492" spans="1:14" hidden="1" x14ac:dyDescent="0.3">
      <c r="A492" s="393" t="str">
        <f>IF(AND(Data!R504&lt;&gt;"",Data!L504="Accepté"),Data!G504,"")</f>
        <v/>
      </c>
      <c r="B492" s="393" t="str">
        <f>IF(AND(Data!R504&lt;&gt;"",Data!L504="Accepté"),Data!L504,"")</f>
        <v/>
      </c>
      <c r="C492" s="391" t="str">
        <f t="shared" si="18"/>
        <v/>
      </c>
      <c r="D492" s="392" t="str">
        <f>IF(AND(Data!Q504&lt;&gt;"",Data!L504="Accepté"),Data!Q504,"")</f>
        <v/>
      </c>
      <c r="E492" s="237" t="str">
        <f>IF(AND(Data!R504&lt;&gt;"",Data!L504="Accepté"),Data!R504,"")</f>
        <v/>
      </c>
      <c r="F492" s="326" t="str">
        <f>IF(AND(Data!R504&lt;&gt;"",Data!L504="Accepté"),Data!S504,"")</f>
        <v/>
      </c>
      <c r="G492" s="322">
        <f>IF(Data!R504='Delivery Plan'!E492,Data!U504,"")</f>
        <v>0</v>
      </c>
      <c r="H492" s="259"/>
      <c r="I492" s="391" t="str">
        <f t="shared" si="19"/>
        <v/>
      </c>
      <c r="J492" s="392" t="str">
        <f>IF(AND(E492=Data!R497,Data!AA497&lt;&gt;""),Data!AA497,"")</f>
        <v/>
      </c>
      <c r="K492" s="313" t="str">
        <f>IF(AND(E492=Data!R497,Data!AE497&lt;&gt;""),Data!AE497,"")</f>
        <v/>
      </c>
      <c r="L492" s="318">
        <f>IF(E492=Data!R504,Data!AI504,"")</f>
        <v>0</v>
      </c>
      <c r="M492" s="318">
        <f>IF(E492=Data!R504,Data!AJ504,"")</f>
        <v>0</v>
      </c>
      <c r="N492" s="437" t="str">
        <f>IF(AND(Data!R504&lt;&gt;"",Data!L504="Accepté"),Data!K504,"")</f>
        <v/>
      </c>
    </row>
    <row r="493" spans="1:14" hidden="1" x14ac:dyDescent="0.3">
      <c r="A493" s="393" t="str">
        <f>IF(AND(Data!R505&lt;&gt;"",Data!L505="Accepté"),Data!G505,"")</f>
        <v/>
      </c>
      <c r="B493" s="393" t="str">
        <f>IF(AND(Data!R505&lt;&gt;"",Data!L505="Accepté"),Data!L505,"")</f>
        <v/>
      </c>
      <c r="C493" s="391" t="str">
        <f t="shared" si="18"/>
        <v/>
      </c>
      <c r="D493" s="392" t="str">
        <f>IF(AND(Data!Q505&lt;&gt;"",Data!L505="Accepté"),Data!Q505,"")</f>
        <v/>
      </c>
      <c r="E493" s="237" t="str">
        <f>IF(AND(Data!R505&lt;&gt;"",Data!L505="Accepté"),Data!R505,"")</f>
        <v/>
      </c>
      <c r="F493" s="326" t="str">
        <f>IF(AND(Data!R505&lt;&gt;"",Data!L505="Accepté"),Data!S505,"")</f>
        <v/>
      </c>
      <c r="G493" s="322">
        <f>IF(Data!R505='Delivery Plan'!E493,Data!U505,"")</f>
        <v>0</v>
      </c>
      <c r="H493" s="259"/>
      <c r="I493" s="391" t="str">
        <f t="shared" si="19"/>
        <v/>
      </c>
      <c r="J493" s="392" t="str">
        <f>IF(AND(E493=Data!R498,Data!AA498&lt;&gt;""),Data!AA498,"")</f>
        <v/>
      </c>
      <c r="K493" s="313" t="str">
        <f>IF(AND(E493=Data!R498,Data!AE498&lt;&gt;""),Data!AE498,"")</f>
        <v/>
      </c>
      <c r="L493" s="318">
        <f>IF(E493=Data!R505,Data!AI505,"")</f>
        <v>0</v>
      </c>
      <c r="M493" s="318">
        <f>IF(E493=Data!R505,Data!AJ505,"")</f>
        <v>0</v>
      </c>
      <c r="N493" s="437" t="str">
        <f>IF(AND(Data!R505&lt;&gt;"",Data!L505="Accepté"),Data!K505,"")</f>
        <v/>
      </c>
    </row>
    <row r="494" spans="1:14" hidden="1" x14ac:dyDescent="0.3">
      <c r="A494" s="393" t="str">
        <f>IF(AND(Data!R506&lt;&gt;"",Data!L506="Accepté"),Data!G506,"")</f>
        <v/>
      </c>
      <c r="B494" s="393" t="str">
        <f>IF(AND(Data!R506&lt;&gt;"",Data!L506="Accepté"),Data!L506,"")</f>
        <v/>
      </c>
      <c r="C494" s="391" t="str">
        <f t="shared" si="18"/>
        <v/>
      </c>
      <c r="D494" s="392" t="str">
        <f>IF(AND(Data!Q506&lt;&gt;"",Data!L506="Accepté"),Data!Q506,"")</f>
        <v/>
      </c>
      <c r="E494" s="237" t="str">
        <f>IF(AND(Data!R506&lt;&gt;"",Data!L506="Accepté"),Data!R506,"")</f>
        <v/>
      </c>
      <c r="F494" s="326" t="str">
        <f>IF(AND(Data!R506&lt;&gt;"",Data!L506="Accepté"),Data!S506,"")</f>
        <v/>
      </c>
      <c r="G494" s="322">
        <f>IF(Data!R506='Delivery Plan'!E494,Data!U506,"")</f>
        <v>0</v>
      </c>
      <c r="H494" s="259"/>
      <c r="I494" s="391" t="str">
        <f t="shared" si="19"/>
        <v/>
      </c>
      <c r="J494" s="392" t="str">
        <f>IF(AND(E494=Data!R499,Data!AA499&lt;&gt;""),Data!AA499,"")</f>
        <v/>
      </c>
      <c r="K494" s="313" t="str">
        <f>IF(AND(E494=Data!R499,Data!AE499&lt;&gt;""),Data!AE499,"")</f>
        <v/>
      </c>
      <c r="L494" s="318">
        <f>IF(E494=Data!R506,Data!AI506,"")</f>
        <v>0</v>
      </c>
      <c r="M494" s="318">
        <f>IF(E494=Data!R506,Data!AJ506,"")</f>
        <v>0</v>
      </c>
      <c r="N494" s="437" t="str">
        <f>IF(AND(Data!R506&lt;&gt;"",Data!L506="Accepté"),Data!K506,"")</f>
        <v/>
      </c>
    </row>
    <row r="495" spans="1:14" hidden="1" x14ac:dyDescent="0.3">
      <c r="A495" s="393" t="str">
        <f>IF(AND(Data!R507&lt;&gt;"",Data!L507="Accepté"),Data!G507,"")</f>
        <v/>
      </c>
      <c r="B495" s="393" t="str">
        <f>IF(AND(Data!R507&lt;&gt;"",Data!L507="Accepté"),Data!L507,"")</f>
        <v/>
      </c>
      <c r="C495" s="391" t="str">
        <f t="shared" si="18"/>
        <v/>
      </c>
      <c r="D495" s="392" t="str">
        <f>IF(AND(Data!Q507&lt;&gt;"",Data!L507="Accepté"),Data!Q507,"")</f>
        <v/>
      </c>
      <c r="E495" s="237" t="str">
        <f>IF(AND(Data!R507&lt;&gt;"",Data!L507="Accepté"),Data!R507,"")</f>
        <v/>
      </c>
      <c r="F495" s="326" t="str">
        <f>IF(AND(Data!R507&lt;&gt;"",Data!L507="Accepté"),Data!S507,"")</f>
        <v/>
      </c>
      <c r="G495" s="322">
        <f>IF(Data!R507='Delivery Plan'!E495,Data!U507,"")</f>
        <v>0</v>
      </c>
      <c r="H495" s="259"/>
      <c r="I495" s="391" t="str">
        <f t="shared" si="19"/>
        <v/>
      </c>
      <c r="J495" s="392" t="str">
        <f>IF(AND(E495=Data!R500,Data!AA500&lt;&gt;""),Data!AA500,"")</f>
        <v/>
      </c>
      <c r="K495" s="313" t="str">
        <f>IF(AND(E495=Data!R500,Data!AE500&lt;&gt;""),Data!AE500,"")</f>
        <v/>
      </c>
      <c r="L495" s="318">
        <f>IF(E495=Data!R507,Data!AI507,"")</f>
        <v>0</v>
      </c>
      <c r="M495" s="318">
        <f>IF(E495=Data!R507,Data!AJ507,"")</f>
        <v>0</v>
      </c>
      <c r="N495" s="437" t="str">
        <f>IF(AND(Data!R507&lt;&gt;"",Data!L507="Accepté"),Data!K507,"")</f>
        <v/>
      </c>
    </row>
    <row r="496" spans="1:14" hidden="1" x14ac:dyDescent="0.3">
      <c r="A496" s="393" t="str">
        <f>IF(AND(Data!R508&lt;&gt;"",Data!L508="Accepté"),Data!G508,"")</f>
        <v/>
      </c>
      <c r="B496" s="393" t="str">
        <f>IF(AND(Data!R508&lt;&gt;"",Data!L508="Accepté"),Data!L508,"")</f>
        <v/>
      </c>
      <c r="C496" s="391" t="str">
        <f t="shared" si="18"/>
        <v/>
      </c>
      <c r="D496" s="392" t="str">
        <f>IF(AND(Data!Q508&lt;&gt;"",Data!L508="Accepté"),Data!Q508,"")</f>
        <v/>
      </c>
      <c r="E496" s="237" t="str">
        <f>IF(AND(Data!R508&lt;&gt;"",Data!L508="Accepté"),Data!R508,"")</f>
        <v/>
      </c>
      <c r="F496" s="326" t="str">
        <f>IF(AND(Data!R508&lt;&gt;"",Data!L508="Accepté"),Data!S508,"")</f>
        <v/>
      </c>
      <c r="G496" s="322">
        <f>IF(Data!R508='Delivery Plan'!E496,Data!U508,"")</f>
        <v>0</v>
      </c>
      <c r="H496" s="259"/>
      <c r="I496" s="391" t="str">
        <f t="shared" si="19"/>
        <v/>
      </c>
      <c r="J496" s="392" t="str">
        <f>IF(AND(E496=Data!R501,Data!AA501&lt;&gt;""),Data!AA501,"")</f>
        <v/>
      </c>
      <c r="K496" s="313" t="str">
        <f>IF(AND(E496=Data!R501,Data!AE501&lt;&gt;""),Data!AE501,"")</f>
        <v/>
      </c>
      <c r="L496" s="318">
        <f>IF(E496=Data!R508,Data!AI508,"")</f>
        <v>0</v>
      </c>
      <c r="M496" s="318">
        <f>IF(E496=Data!R508,Data!AJ508,"")</f>
        <v>0</v>
      </c>
      <c r="N496" s="437" t="str">
        <f>IF(AND(Data!R508&lt;&gt;"",Data!L508="Accepté"),Data!K508,"")</f>
        <v/>
      </c>
    </row>
    <row r="497" spans="1:14" hidden="1" x14ac:dyDescent="0.3">
      <c r="A497" s="393" t="str">
        <f>IF(AND(Data!R509&lt;&gt;"",Data!L509="Accepté"),Data!G509,"")</f>
        <v/>
      </c>
      <c r="B497" s="393" t="str">
        <f>IF(AND(Data!R509&lt;&gt;"",Data!L509="Accepté"),Data!L509,"")</f>
        <v/>
      </c>
      <c r="C497" s="391" t="str">
        <f t="shared" si="18"/>
        <v/>
      </c>
      <c r="D497" s="392" t="str">
        <f>IF(AND(Data!Q509&lt;&gt;"",Data!L509="Accepté"),Data!Q509,"")</f>
        <v/>
      </c>
      <c r="E497" s="237" t="str">
        <f>IF(AND(Data!R509&lt;&gt;"",Data!L509="Accepté"),Data!R509,"")</f>
        <v/>
      </c>
      <c r="F497" s="326" t="str">
        <f>IF(AND(Data!R509&lt;&gt;"",Data!L509="Accepté"),Data!S509,"")</f>
        <v/>
      </c>
      <c r="G497" s="322">
        <f>IF(Data!R509='Delivery Plan'!E497,Data!U509,"")</f>
        <v>0</v>
      </c>
      <c r="H497" s="259"/>
      <c r="I497" s="391" t="str">
        <f t="shared" si="19"/>
        <v/>
      </c>
      <c r="J497" s="392" t="str">
        <f>IF(AND(E497=Data!R502,Data!AA502&lt;&gt;""),Data!AA502,"")</f>
        <v/>
      </c>
      <c r="K497" s="313" t="str">
        <f>IF(AND(E497=Data!R502,Data!AE502&lt;&gt;""),Data!AE502,"")</f>
        <v/>
      </c>
      <c r="L497" s="318">
        <f>IF(E497=Data!R509,Data!AI509,"")</f>
        <v>0</v>
      </c>
      <c r="M497" s="318">
        <f>IF(E497=Data!R509,Data!AJ509,"")</f>
        <v>0</v>
      </c>
      <c r="N497" s="437" t="str">
        <f>IF(AND(Data!R509&lt;&gt;"",Data!L509="Accepté"),Data!K509,"")</f>
        <v/>
      </c>
    </row>
    <row r="498" spans="1:14" hidden="1" x14ac:dyDescent="0.3">
      <c r="A498" s="393" t="str">
        <f>IF(AND(Data!R510&lt;&gt;"",Data!L510="Accepté"),Data!G510,"")</f>
        <v/>
      </c>
      <c r="B498" s="393" t="str">
        <f>IF(AND(Data!R510&lt;&gt;"",Data!L510="Accepté"),Data!L510,"")</f>
        <v/>
      </c>
      <c r="C498" s="391" t="str">
        <f t="shared" si="18"/>
        <v/>
      </c>
      <c r="D498" s="392" t="str">
        <f>IF(AND(Data!Q510&lt;&gt;"",Data!L510="Accepté"),Data!Q510,"")</f>
        <v/>
      </c>
      <c r="E498" s="237" t="str">
        <f>IF(AND(Data!R510&lt;&gt;"",Data!L510="Accepté"),Data!R510,"")</f>
        <v/>
      </c>
      <c r="F498" s="326" t="str">
        <f>IF(AND(Data!R510&lt;&gt;"",Data!L510="Accepté"),Data!S510,"")</f>
        <v/>
      </c>
      <c r="G498" s="322">
        <f>IF(Data!R510='Delivery Plan'!E498,Data!U510,"")</f>
        <v>0</v>
      </c>
      <c r="H498" s="259"/>
      <c r="I498" s="391" t="str">
        <f t="shared" si="19"/>
        <v/>
      </c>
      <c r="J498" s="392" t="str">
        <f>IF(AND(E498=Data!R503,Data!AA503&lt;&gt;""),Data!AA503,"")</f>
        <v/>
      </c>
      <c r="K498" s="313" t="str">
        <f>IF(AND(E498=Data!R503,Data!AE503&lt;&gt;""),Data!AE503,"")</f>
        <v/>
      </c>
      <c r="L498" s="318">
        <f>IF(E498=Data!R510,Data!AI510,"")</f>
        <v>0</v>
      </c>
      <c r="M498" s="318">
        <f>IF(E498=Data!R510,Data!AJ510,"")</f>
        <v>0</v>
      </c>
      <c r="N498" s="437" t="str">
        <f>IF(AND(Data!R510&lt;&gt;"",Data!L510="Accepté"),Data!K510,"")</f>
        <v/>
      </c>
    </row>
    <row r="499" spans="1:14" hidden="1" x14ac:dyDescent="0.3">
      <c r="A499" s="393" t="str">
        <f>IF(AND(Data!R511&lt;&gt;"",Data!L511="Accepté"),Data!G511,"")</f>
        <v/>
      </c>
      <c r="B499" s="393" t="str">
        <f>IF(AND(Data!R511&lt;&gt;"",Data!L511="Accepté"),Data!L511,"")</f>
        <v/>
      </c>
      <c r="C499" s="391" t="str">
        <f t="shared" si="18"/>
        <v/>
      </c>
      <c r="D499" s="392" t="str">
        <f>IF(AND(Data!Q511&lt;&gt;"",Data!L511="Accepté"),Data!Q511,"")</f>
        <v/>
      </c>
      <c r="E499" s="237" t="str">
        <f>IF(AND(Data!R511&lt;&gt;"",Data!L511="Accepté"),Data!R511,"")</f>
        <v/>
      </c>
      <c r="F499" s="326" t="str">
        <f>IF(AND(Data!R511&lt;&gt;"",Data!L511="Accepté"),Data!S511,"")</f>
        <v/>
      </c>
      <c r="G499" s="322">
        <f>IF(Data!R511='Delivery Plan'!E499,Data!U511,"")</f>
        <v>0</v>
      </c>
      <c r="H499" s="259"/>
      <c r="I499" s="391" t="str">
        <f t="shared" si="19"/>
        <v/>
      </c>
      <c r="J499" s="392" t="str">
        <f>IF(AND(E499=Data!R504,Data!AA504&lt;&gt;""),Data!AA504,"")</f>
        <v/>
      </c>
      <c r="K499" s="313" t="str">
        <f>IF(AND(E499=Data!R504,Data!AE504&lt;&gt;""),Data!AE504,"")</f>
        <v/>
      </c>
      <c r="L499" s="318">
        <f>IF(E499=Data!R511,Data!AI511,"")</f>
        <v>0</v>
      </c>
      <c r="M499" s="318">
        <f>IF(E499=Data!R511,Data!AJ511,"")</f>
        <v>0</v>
      </c>
      <c r="N499" s="437" t="str">
        <f>IF(AND(Data!R511&lt;&gt;"",Data!L511="Accepté"),Data!K511,"")</f>
        <v/>
      </c>
    </row>
    <row r="500" spans="1:14" hidden="1" x14ac:dyDescent="0.3">
      <c r="A500" s="393" t="str">
        <f>IF(AND(Data!R512&lt;&gt;"",Data!L512="Accepté"),Data!G512,"")</f>
        <v/>
      </c>
      <c r="B500" s="393" t="str">
        <f>IF(AND(Data!R512&lt;&gt;"",Data!L512="Accepté"),Data!L512,"")</f>
        <v/>
      </c>
      <c r="C500" s="391" t="str">
        <f t="shared" si="18"/>
        <v/>
      </c>
      <c r="D500" s="392" t="str">
        <f>IF(AND(Data!Q512&lt;&gt;"",Data!L512="Accepté"),Data!Q512,"")</f>
        <v/>
      </c>
      <c r="E500" s="237" t="str">
        <f>IF(AND(Data!R512&lt;&gt;"",Data!L512="Accepté"),Data!R512,"")</f>
        <v/>
      </c>
      <c r="F500" s="326" t="str">
        <f>IF(AND(Data!R512&lt;&gt;"",Data!L512="Accepté"),Data!S512,"")</f>
        <v/>
      </c>
      <c r="G500" s="322">
        <f>IF(Data!R512='Delivery Plan'!E500,Data!U512,"")</f>
        <v>0</v>
      </c>
      <c r="H500" s="259"/>
      <c r="I500" s="391" t="str">
        <f t="shared" si="19"/>
        <v/>
      </c>
      <c r="J500" s="392" t="str">
        <f>IF(AND(E500=Data!R505,Data!AA505&lt;&gt;""),Data!AA505,"")</f>
        <v/>
      </c>
      <c r="K500" s="313" t="str">
        <f>IF(AND(E500=Data!R505,Data!AE505&lt;&gt;""),Data!AE505,"")</f>
        <v/>
      </c>
      <c r="L500" s="318">
        <f>IF(E500=Data!R512,Data!AI512,"")</f>
        <v>0</v>
      </c>
      <c r="M500" s="318">
        <f>IF(E500=Data!R512,Data!AJ512,"")</f>
        <v>0</v>
      </c>
      <c r="N500" s="437" t="str">
        <f>IF(AND(Data!R512&lt;&gt;"",Data!L512="Accepté"),Data!K512,"")</f>
        <v/>
      </c>
    </row>
    <row r="501" spans="1:14" hidden="1" x14ac:dyDescent="0.3">
      <c r="A501" s="393" t="str">
        <f>IF(AND(Data!R513&lt;&gt;"",Data!L513="Accepté"),Data!G513,"")</f>
        <v/>
      </c>
      <c r="B501" s="393" t="str">
        <f>IF(AND(Data!R513&lt;&gt;"",Data!L513="Accepté"),Data!L513,"")</f>
        <v/>
      </c>
      <c r="C501" s="391" t="str">
        <f t="shared" si="18"/>
        <v/>
      </c>
      <c r="D501" s="392" t="str">
        <f>IF(AND(Data!Q513&lt;&gt;"",Data!L513="Accepté"),Data!Q513,"")</f>
        <v/>
      </c>
      <c r="E501" s="237" t="str">
        <f>IF(AND(Data!R513&lt;&gt;"",Data!L513="Accepté"),Data!R513,"")</f>
        <v/>
      </c>
      <c r="F501" s="326" t="str">
        <f>IF(AND(Data!R513&lt;&gt;"",Data!L513="Accepté"),Data!S513,"")</f>
        <v/>
      </c>
      <c r="G501" s="322">
        <f>IF(Data!R513='Delivery Plan'!E501,Data!U513,"")</f>
        <v>0</v>
      </c>
      <c r="H501" s="259"/>
      <c r="I501" s="391" t="str">
        <f t="shared" si="19"/>
        <v/>
      </c>
      <c r="J501" s="392" t="str">
        <f>IF(AND(E501=Data!R506,Data!AA506&lt;&gt;""),Data!AA506,"")</f>
        <v/>
      </c>
      <c r="K501" s="313" t="str">
        <f>IF(AND(E501=Data!R506,Data!AE506&lt;&gt;""),Data!AE506,"")</f>
        <v/>
      </c>
      <c r="L501" s="318">
        <f>IF(E501=Data!R513,Data!AI513,"")</f>
        <v>0</v>
      </c>
      <c r="M501" s="318">
        <f>IF(E501=Data!R513,Data!AJ513,"")</f>
        <v>0</v>
      </c>
      <c r="N501" s="437" t="str">
        <f>IF(AND(Data!R513&lt;&gt;"",Data!L513="Accepté"),Data!K513,"")</f>
        <v/>
      </c>
    </row>
    <row r="502" spans="1:14" hidden="1" x14ac:dyDescent="0.3">
      <c r="A502" s="393" t="str">
        <f>IF(AND(Data!R514&lt;&gt;"",Data!L514="Accepté"),Data!G514,"")</f>
        <v/>
      </c>
      <c r="B502" s="393" t="str">
        <f>IF(AND(Data!R514&lt;&gt;"",Data!L514="Accepté"),Data!L514,"")</f>
        <v/>
      </c>
      <c r="C502" s="391" t="str">
        <f t="shared" si="18"/>
        <v/>
      </c>
      <c r="D502" s="392" t="str">
        <f>IF(AND(Data!Q514&lt;&gt;"",Data!L514="Accepté"),Data!Q514,"")</f>
        <v/>
      </c>
      <c r="E502" s="237" t="str">
        <f>IF(AND(Data!R514&lt;&gt;"",Data!L514="Accepté"),Data!R514,"")</f>
        <v/>
      </c>
      <c r="F502" s="326" t="str">
        <f>IF(AND(Data!R514&lt;&gt;"",Data!L514="Accepté"),Data!S514,"")</f>
        <v/>
      </c>
      <c r="G502" s="322">
        <f>IF(Data!R514='Delivery Plan'!E502,Data!U514,"")</f>
        <v>0</v>
      </c>
      <c r="H502" s="259"/>
      <c r="I502" s="391" t="str">
        <f t="shared" si="19"/>
        <v/>
      </c>
      <c r="J502" s="392" t="str">
        <f>IF(AND(E502=Data!R507,Data!AA507&lt;&gt;""),Data!AA507,"")</f>
        <v/>
      </c>
      <c r="K502" s="313" t="str">
        <f>IF(AND(E502=Data!R507,Data!AE507&lt;&gt;""),Data!AE507,"")</f>
        <v/>
      </c>
      <c r="L502" s="318">
        <f>IF(E502=Data!R514,Data!AI514,"")</f>
        <v>0</v>
      </c>
      <c r="M502" s="318">
        <f>IF(E502=Data!R514,Data!AJ514,"")</f>
        <v>0</v>
      </c>
      <c r="N502" s="437" t="str">
        <f>IF(AND(Data!R514&lt;&gt;"",Data!L514="Accepté"),Data!K514,"")</f>
        <v/>
      </c>
    </row>
    <row r="503" spans="1:14" hidden="1" x14ac:dyDescent="0.3">
      <c r="A503" s="393" t="str">
        <f>IF(AND(Data!R515&lt;&gt;"",Data!L515="Accepté"),Data!G515,"")</f>
        <v/>
      </c>
      <c r="B503" s="393" t="str">
        <f>IF(AND(Data!R515&lt;&gt;"",Data!L515="Accepté"),Data!L515,"")</f>
        <v/>
      </c>
      <c r="C503" s="391" t="str">
        <f t="shared" si="18"/>
        <v/>
      </c>
      <c r="D503" s="392" t="str">
        <f>IF(AND(Data!Q515&lt;&gt;"",Data!L515="Accepté"),Data!Q515,"")</f>
        <v/>
      </c>
      <c r="E503" s="237" t="str">
        <f>IF(AND(Data!R515&lt;&gt;"",Data!L515="Accepté"),Data!R515,"")</f>
        <v/>
      </c>
      <c r="F503" s="326" t="str">
        <f>IF(AND(Data!R515&lt;&gt;"",Data!L515="Accepté"),Data!S515,"")</f>
        <v/>
      </c>
      <c r="G503" s="322">
        <f>IF(Data!R515='Delivery Plan'!E503,Data!U515,"")</f>
        <v>0</v>
      </c>
      <c r="H503" s="259"/>
      <c r="I503" s="391" t="str">
        <f t="shared" si="19"/>
        <v/>
      </c>
      <c r="J503" s="392" t="str">
        <f>IF(AND(E503=Data!R508,Data!AA508&lt;&gt;""),Data!AA508,"")</f>
        <v/>
      </c>
      <c r="K503" s="313" t="str">
        <f>IF(AND(E503=Data!R508,Data!AE508&lt;&gt;""),Data!AE508,"")</f>
        <v/>
      </c>
      <c r="L503" s="318">
        <f>IF(E503=Data!R515,Data!AI515,"")</f>
        <v>0</v>
      </c>
      <c r="M503" s="318">
        <f>IF(E503=Data!R515,Data!AJ515,"")</f>
        <v>0</v>
      </c>
      <c r="N503" s="437" t="str">
        <f>IF(AND(Data!R515&lt;&gt;"",Data!L515="Accepté"),Data!K515,"")</f>
        <v/>
      </c>
    </row>
    <row r="504" spans="1:14" hidden="1" x14ac:dyDescent="0.3">
      <c r="A504" s="393" t="str">
        <f>IF(AND(Data!R516&lt;&gt;"",Data!L516="Accepté"),Data!G516,"")</f>
        <v/>
      </c>
      <c r="B504" s="393" t="str">
        <f>IF(AND(Data!R516&lt;&gt;"",Data!L516="Accepté"),Data!L516,"")</f>
        <v/>
      </c>
      <c r="C504" s="391" t="str">
        <f t="shared" si="18"/>
        <v/>
      </c>
      <c r="D504" s="392" t="str">
        <f>IF(AND(Data!Q516&lt;&gt;"",Data!L516="Accepté"),Data!Q516,"")</f>
        <v/>
      </c>
      <c r="E504" s="237" t="str">
        <f>IF(AND(Data!R516&lt;&gt;"",Data!L516="Accepté"),Data!R516,"")</f>
        <v/>
      </c>
      <c r="F504" s="326" t="str">
        <f>IF(AND(Data!R516&lt;&gt;"",Data!L516="Accepté"),Data!S516,"")</f>
        <v/>
      </c>
      <c r="G504" s="322">
        <f>IF(Data!R516='Delivery Plan'!E504,Data!U516,"")</f>
        <v>0</v>
      </c>
      <c r="H504" s="259"/>
      <c r="I504" s="391" t="str">
        <f t="shared" si="19"/>
        <v/>
      </c>
      <c r="J504" s="392" t="str">
        <f>IF(AND(E504=Data!R509,Data!AA509&lt;&gt;""),Data!AA509,"")</f>
        <v/>
      </c>
      <c r="K504" s="313" t="str">
        <f>IF(AND(E504=Data!R509,Data!AE509&lt;&gt;""),Data!AE509,"")</f>
        <v/>
      </c>
      <c r="L504" s="318">
        <f>IF(E504=Data!R516,Data!AI516,"")</f>
        <v>0</v>
      </c>
      <c r="M504" s="318">
        <f>IF(E504=Data!R516,Data!AJ516,"")</f>
        <v>0</v>
      </c>
      <c r="N504" s="437" t="str">
        <f>IF(AND(Data!R516&lt;&gt;"",Data!L516="Accepté"),Data!K516,"")</f>
        <v/>
      </c>
    </row>
    <row r="505" spans="1:14" hidden="1" x14ac:dyDescent="0.3">
      <c r="A505" s="393" t="str">
        <f>IF(AND(Data!R517&lt;&gt;"",Data!L517="Accepté"),Data!G517,"")</f>
        <v/>
      </c>
      <c r="B505" s="393" t="str">
        <f>IF(AND(Data!R517&lt;&gt;"",Data!L517="Accepté"),Data!L517,"")</f>
        <v/>
      </c>
      <c r="C505" s="391" t="str">
        <f t="shared" si="18"/>
        <v/>
      </c>
      <c r="D505" s="392" t="str">
        <f>IF(AND(Data!Q517&lt;&gt;"",Data!L517="Accepté"),Data!Q517,"")</f>
        <v/>
      </c>
      <c r="E505" s="237" t="str">
        <f>IF(AND(Data!R517&lt;&gt;"",Data!L517="Accepté"),Data!R517,"")</f>
        <v/>
      </c>
      <c r="F505" s="326" t="str">
        <f>IF(AND(Data!R517&lt;&gt;"",Data!L517="Accepté"),Data!S517,"")</f>
        <v/>
      </c>
      <c r="G505" s="322">
        <f>IF(Data!R517='Delivery Plan'!E505,Data!U517,"")</f>
        <v>0</v>
      </c>
      <c r="H505" s="259"/>
      <c r="I505" s="391" t="str">
        <f t="shared" si="19"/>
        <v/>
      </c>
      <c r="J505" s="392" t="str">
        <f>IF(AND(E505=Data!R510,Data!AA510&lt;&gt;""),Data!AA510,"")</f>
        <v/>
      </c>
      <c r="K505" s="313" t="str">
        <f>IF(AND(E505=Data!R510,Data!AE510&lt;&gt;""),Data!AE510,"")</f>
        <v/>
      </c>
      <c r="L505" s="318">
        <f>IF(E505=Data!R517,Data!AI517,"")</f>
        <v>0</v>
      </c>
      <c r="M505" s="318">
        <f>IF(E505=Data!R517,Data!AJ517,"")</f>
        <v>0</v>
      </c>
      <c r="N505" s="437" t="str">
        <f>IF(AND(Data!R517&lt;&gt;"",Data!L517="Accepté"),Data!K517,"")</f>
        <v/>
      </c>
    </row>
    <row r="506" spans="1:14" hidden="1" x14ac:dyDescent="0.3">
      <c r="A506" s="393" t="str">
        <f>IF(AND(Data!R518&lt;&gt;"",Data!L518="Accepté"),Data!G518,"")</f>
        <v/>
      </c>
      <c r="B506" s="393" t="str">
        <f>IF(AND(Data!R518&lt;&gt;"",Data!L518="Accepté"),Data!L518,"")</f>
        <v/>
      </c>
      <c r="C506" s="391" t="str">
        <f t="shared" si="18"/>
        <v/>
      </c>
      <c r="D506" s="392" t="str">
        <f>IF(AND(Data!Q518&lt;&gt;"",Data!L518="Accepté"),Data!Q518,"")</f>
        <v/>
      </c>
      <c r="E506" s="237" t="str">
        <f>IF(AND(Data!R518&lt;&gt;"",Data!L518="Accepté"),Data!R518,"")</f>
        <v/>
      </c>
      <c r="F506" s="326" t="str">
        <f>IF(AND(Data!R518&lt;&gt;"",Data!L518="Accepté"),Data!S518,"")</f>
        <v/>
      </c>
      <c r="G506" s="322">
        <f>IF(Data!R518='Delivery Plan'!E506,Data!U518,"")</f>
        <v>0</v>
      </c>
      <c r="H506" s="259"/>
      <c r="I506" s="391" t="str">
        <f t="shared" si="19"/>
        <v/>
      </c>
      <c r="J506" s="392" t="str">
        <f>IF(AND(E506=Data!R511,Data!AA511&lt;&gt;""),Data!AA511,"")</f>
        <v/>
      </c>
      <c r="K506" s="313" t="str">
        <f>IF(AND(E506=Data!R511,Data!AE511&lt;&gt;""),Data!AE511,"")</f>
        <v/>
      </c>
      <c r="L506" s="318">
        <f>IF(E506=Data!R518,Data!AI518,"")</f>
        <v>0</v>
      </c>
      <c r="M506" s="318">
        <f>IF(E506=Data!R518,Data!AJ518,"")</f>
        <v>0</v>
      </c>
      <c r="N506" s="437" t="str">
        <f>IF(AND(Data!R518&lt;&gt;"",Data!L518="Accepté"),Data!K518,"")</f>
        <v/>
      </c>
    </row>
    <row r="507" spans="1:14" hidden="1" x14ac:dyDescent="0.3">
      <c r="A507" s="393" t="str">
        <f>IF(AND(Data!R519&lt;&gt;"",Data!L519="Accepté"),Data!G519,"")</f>
        <v/>
      </c>
      <c r="B507" s="393" t="str">
        <f>IF(AND(Data!R519&lt;&gt;"",Data!L519="Accepté"),Data!L519,"")</f>
        <v/>
      </c>
      <c r="C507" s="391" t="str">
        <f t="shared" si="18"/>
        <v/>
      </c>
      <c r="D507" s="392" t="str">
        <f>IF(AND(Data!Q519&lt;&gt;"",Data!L519="Accepté"),Data!Q519,"")</f>
        <v/>
      </c>
      <c r="E507" s="237" t="str">
        <f>IF(AND(Data!R519&lt;&gt;"",Data!L519="Accepté"),Data!R519,"")</f>
        <v/>
      </c>
      <c r="F507" s="326" t="str">
        <f>IF(AND(Data!R519&lt;&gt;"",Data!L519="Accepté"),Data!S519,"")</f>
        <v/>
      </c>
      <c r="G507" s="322">
        <f>IF(Data!R519='Delivery Plan'!E507,Data!U519,"")</f>
        <v>0</v>
      </c>
      <c r="H507" s="259"/>
      <c r="I507" s="391" t="str">
        <f t="shared" si="19"/>
        <v/>
      </c>
      <c r="J507" s="392" t="str">
        <f>IF(AND(E507=Data!R512,Data!AA512&lt;&gt;""),Data!AA512,"")</f>
        <v/>
      </c>
      <c r="K507" s="313" t="str">
        <f>IF(AND(E507=Data!R512,Data!AE512&lt;&gt;""),Data!AE512,"")</f>
        <v/>
      </c>
      <c r="L507" s="318">
        <f>IF(E507=Data!R519,Data!AI519,"")</f>
        <v>0</v>
      </c>
      <c r="M507" s="318">
        <f>IF(E507=Data!R519,Data!AJ519,"")</f>
        <v>0</v>
      </c>
      <c r="N507" s="437" t="str">
        <f>IF(AND(Data!R519&lt;&gt;"",Data!L519="Accepté"),Data!K519,"")</f>
        <v/>
      </c>
    </row>
    <row r="508" spans="1:14" hidden="1" x14ac:dyDescent="0.3">
      <c r="A508" s="393" t="str">
        <f>IF(AND(Data!R520&lt;&gt;"",Data!L520="Accepté"),Data!G520,"")</f>
        <v/>
      </c>
      <c r="B508" s="393" t="str">
        <f>IF(AND(Data!R520&lt;&gt;"",Data!L520="Accepté"),Data!L520,"")</f>
        <v/>
      </c>
      <c r="C508" s="391" t="str">
        <f t="shared" si="18"/>
        <v/>
      </c>
      <c r="D508" s="392" t="str">
        <f>IF(AND(Data!Q520&lt;&gt;"",Data!L520="Accepté"),Data!Q520,"")</f>
        <v/>
      </c>
      <c r="E508" s="237" t="str">
        <f>IF(AND(Data!R520&lt;&gt;"",Data!L520="Accepté"),Data!R520,"")</f>
        <v/>
      </c>
      <c r="F508" s="326" t="str">
        <f>IF(AND(Data!R520&lt;&gt;"",Data!L520="Accepté"),Data!S520,"")</f>
        <v/>
      </c>
      <c r="G508" s="322">
        <f>IF(Data!R520='Delivery Plan'!E508,Data!U520,"")</f>
        <v>0</v>
      </c>
      <c r="H508" s="259"/>
      <c r="I508" s="391" t="str">
        <f t="shared" si="19"/>
        <v/>
      </c>
      <c r="J508" s="392" t="str">
        <f>IF(AND(E508=Data!R513,Data!AA513&lt;&gt;""),Data!AA513,"")</f>
        <v/>
      </c>
      <c r="K508" s="313" t="str">
        <f>IF(AND(E508=Data!R513,Data!AE513&lt;&gt;""),Data!AE513,"")</f>
        <v/>
      </c>
      <c r="L508" s="318">
        <f>IF(E508=Data!R520,Data!AI520,"")</f>
        <v>0</v>
      </c>
      <c r="M508" s="318">
        <f>IF(E508=Data!R520,Data!AJ520,"")</f>
        <v>0</v>
      </c>
      <c r="N508" s="437" t="str">
        <f>IF(AND(Data!R520&lt;&gt;"",Data!L520="Accepté"),Data!K520,"")</f>
        <v/>
      </c>
    </row>
    <row r="509" spans="1:14" hidden="1" x14ac:dyDescent="0.3">
      <c r="A509" s="393" t="str">
        <f>IF(AND(Data!R521&lt;&gt;"",Data!L521="Accepté"),Data!G521,"")</f>
        <v/>
      </c>
      <c r="B509" s="393" t="str">
        <f>IF(AND(Data!R521&lt;&gt;"",Data!L521="Accepté"),Data!L521,"")</f>
        <v/>
      </c>
      <c r="C509" s="391" t="str">
        <f t="shared" si="18"/>
        <v/>
      </c>
      <c r="D509" s="392" t="str">
        <f>IF(AND(Data!Q521&lt;&gt;"",Data!L521="Accepté"),Data!Q521,"")</f>
        <v/>
      </c>
      <c r="E509" s="237" t="str">
        <f>IF(AND(Data!R521&lt;&gt;"",Data!L521="Accepté"),Data!R521,"")</f>
        <v/>
      </c>
      <c r="F509" s="326" t="str">
        <f>IF(AND(Data!R521&lt;&gt;"",Data!L521="Accepté"),Data!S521,"")</f>
        <v/>
      </c>
      <c r="G509" s="322">
        <f>IF(Data!R521='Delivery Plan'!E509,Data!U521,"")</f>
        <v>0</v>
      </c>
      <c r="H509" s="259"/>
      <c r="I509" s="391" t="str">
        <f t="shared" si="19"/>
        <v/>
      </c>
      <c r="J509" s="392" t="str">
        <f>IF(AND(E509=Data!R514,Data!AA514&lt;&gt;""),Data!AA514,"")</f>
        <v/>
      </c>
      <c r="K509" s="313" t="str">
        <f>IF(AND(E509=Data!R514,Data!AE514&lt;&gt;""),Data!AE514,"")</f>
        <v/>
      </c>
      <c r="L509" s="318">
        <f>IF(E509=Data!R521,Data!AI521,"")</f>
        <v>0</v>
      </c>
      <c r="M509" s="318">
        <f>IF(E509=Data!R521,Data!AJ521,"")</f>
        <v>0</v>
      </c>
      <c r="N509" s="437" t="str">
        <f>IF(AND(Data!R521&lt;&gt;"",Data!L521="Accepté"),Data!K521,"")</f>
        <v/>
      </c>
    </row>
    <row r="510" spans="1:14" hidden="1" x14ac:dyDescent="0.3">
      <c r="A510" s="393" t="str">
        <f>IF(AND(Data!R522&lt;&gt;"",Data!L522="Accepté"),Data!G522,"")</f>
        <v/>
      </c>
      <c r="B510" s="393" t="str">
        <f>IF(AND(Data!R522&lt;&gt;"",Data!L522="Accepté"),Data!L522,"")</f>
        <v/>
      </c>
      <c r="C510" s="391" t="str">
        <f t="shared" si="18"/>
        <v/>
      </c>
      <c r="D510" s="392" t="str">
        <f>IF(AND(Data!Q522&lt;&gt;"",Data!L522="Accepté"),Data!Q522,"")</f>
        <v/>
      </c>
      <c r="E510" s="237" t="str">
        <f>IF(AND(Data!R522&lt;&gt;"",Data!L522="Accepté"),Data!R522,"")</f>
        <v/>
      </c>
      <c r="F510" s="326" t="str">
        <f>IF(AND(Data!R522&lt;&gt;"",Data!L522="Accepté"),Data!S522,"")</f>
        <v/>
      </c>
      <c r="G510" s="322">
        <f>IF(Data!R522='Delivery Plan'!E510,Data!U522,"")</f>
        <v>0</v>
      </c>
      <c r="H510" s="259"/>
      <c r="I510" s="391" t="str">
        <f t="shared" si="19"/>
        <v/>
      </c>
      <c r="J510" s="392" t="str">
        <f>IF(AND(E510=Data!R515,Data!AA515&lt;&gt;""),Data!AA515,"")</f>
        <v/>
      </c>
      <c r="K510" s="313" t="str">
        <f>IF(AND(E510=Data!R515,Data!AE515&lt;&gt;""),Data!AE515,"")</f>
        <v/>
      </c>
      <c r="L510" s="318">
        <f>IF(E510=Data!R522,Data!AI522,"")</f>
        <v>0</v>
      </c>
      <c r="M510" s="318">
        <f>IF(E510=Data!R522,Data!AJ522,"")</f>
        <v>0</v>
      </c>
      <c r="N510" s="437" t="str">
        <f>IF(AND(Data!R522&lt;&gt;"",Data!L522="Accepté"),Data!K522,"")</f>
        <v/>
      </c>
    </row>
    <row r="511" spans="1:14" hidden="1" x14ac:dyDescent="0.3">
      <c r="A511" s="393" t="str">
        <f>IF(AND(Data!R523&lt;&gt;"",Data!L523="Accepté"),Data!G523,"")</f>
        <v/>
      </c>
      <c r="B511" s="393" t="str">
        <f>IF(AND(Data!R523&lt;&gt;"",Data!L523="Accepté"),Data!L523,"")</f>
        <v/>
      </c>
      <c r="C511" s="391" t="str">
        <f t="shared" si="18"/>
        <v/>
      </c>
      <c r="D511" s="392" t="str">
        <f>IF(AND(Data!Q523&lt;&gt;"",Data!L523="Accepté"),Data!Q523,"")</f>
        <v/>
      </c>
      <c r="E511" s="237" t="str">
        <f>IF(AND(Data!R523&lt;&gt;"",Data!L523="Accepté"),Data!R523,"")</f>
        <v/>
      </c>
      <c r="F511" s="326" t="str">
        <f>IF(AND(Data!R523&lt;&gt;"",Data!L523="Accepté"),Data!S523,"")</f>
        <v/>
      </c>
      <c r="G511" s="322">
        <f>IF(Data!R523='Delivery Plan'!E511,Data!U523,"")</f>
        <v>0</v>
      </c>
      <c r="H511" s="259"/>
      <c r="I511" s="391" t="str">
        <f t="shared" si="19"/>
        <v/>
      </c>
      <c r="J511" s="392" t="str">
        <f>IF(AND(E511=Data!R516,Data!AA516&lt;&gt;""),Data!AA516,"")</f>
        <v/>
      </c>
      <c r="K511" s="313" t="str">
        <f>IF(AND(E511=Data!R516,Data!AE516&lt;&gt;""),Data!AE516,"")</f>
        <v/>
      </c>
      <c r="L511" s="318">
        <f>IF(E511=Data!R523,Data!AI523,"")</f>
        <v>0</v>
      </c>
      <c r="M511" s="318">
        <f>IF(E511=Data!R523,Data!AJ523,"")</f>
        <v>0</v>
      </c>
      <c r="N511" s="437" t="str">
        <f>IF(AND(Data!R523&lt;&gt;"",Data!L523="Accepté"),Data!K523,"")</f>
        <v/>
      </c>
    </row>
    <row r="512" spans="1:14" hidden="1" x14ac:dyDescent="0.3">
      <c r="A512" s="393" t="str">
        <f>IF(AND(Data!R524&lt;&gt;"",Data!L524="Accepté"),Data!G524,"")</f>
        <v/>
      </c>
      <c r="B512" s="393" t="str">
        <f>IF(AND(Data!R524&lt;&gt;"",Data!L524="Accepté"),Data!L524,"")</f>
        <v/>
      </c>
      <c r="C512" s="391" t="str">
        <f t="shared" si="18"/>
        <v/>
      </c>
      <c r="D512" s="392" t="str">
        <f>IF(AND(Data!Q524&lt;&gt;"",Data!L524="Accepté"),Data!Q524,"")</f>
        <v/>
      </c>
      <c r="E512" s="237" t="str">
        <f>IF(AND(Data!R524&lt;&gt;"",Data!L524="Accepté"),Data!R524,"")</f>
        <v/>
      </c>
      <c r="F512" s="326" t="str">
        <f>IF(AND(Data!R524&lt;&gt;"",Data!L524="Accepté"),Data!S524,"")</f>
        <v/>
      </c>
      <c r="G512" s="322">
        <f>IF(Data!R524='Delivery Plan'!E512,Data!U524,"")</f>
        <v>0</v>
      </c>
      <c r="H512" s="259"/>
      <c r="I512" s="391" t="str">
        <f t="shared" si="19"/>
        <v/>
      </c>
      <c r="J512" s="392" t="str">
        <f>IF(AND(E512=Data!R517,Data!AA517&lt;&gt;""),Data!AA517,"")</f>
        <v/>
      </c>
      <c r="K512" s="313" t="str">
        <f>IF(AND(E512=Data!R517,Data!AE517&lt;&gt;""),Data!AE517,"")</f>
        <v/>
      </c>
      <c r="L512" s="318">
        <f>IF(E512=Data!R524,Data!AI524,"")</f>
        <v>0</v>
      </c>
      <c r="M512" s="318">
        <f>IF(E512=Data!R524,Data!AJ524,"")</f>
        <v>0</v>
      </c>
      <c r="N512" s="437" t="str">
        <f>IF(AND(Data!R524&lt;&gt;"",Data!L524="Accepté"),Data!K524,"")</f>
        <v/>
      </c>
    </row>
    <row r="513" spans="1:14" hidden="1" x14ac:dyDescent="0.3">
      <c r="A513" s="393" t="str">
        <f>IF(AND(Data!R525&lt;&gt;"",Data!L525="Accepté"),Data!G525,"")</f>
        <v/>
      </c>
      <c r="B513" s="393" t="str">
        <f>IF(AND(Data!R525&lt;&gt;"",Data!L525="Accepté"),Data!L525,"")</f>
        <v/>
      </c>
      <c r="C513" s="391" t="str">
        <f t="shared" si="18"/>
        <v/>
      </c>
      <c r="D513" s="392" t="str">
        <f>IF(AND(Data!Q525&lt;&gt;"",Data!L525="Accepté"),Data!Q525,"")</f>
        <v/>
      </c>
      <c r="E513" s="237" t="str">
        <f>IF(AND(Data!R525&lt;&gt;"",Data!L525="Accepté"),Data!R525,"")</f>
        <v/>
      </c>
      <c r="F513" s="326" t="str">
        <f>IF(AND(Data!R525&lt;&gt;"",Data!L525="Accepté"),Data!S525,"")</f>
        <v/>
      </c>
      <c r="G513" s="322">
        <f>IF(Data!R525='Delivery Plan'!E513,Data!U525,"")</f>
        <v>0</v>
      </c>
      <c r="H513" s="259"/>
      <c r="I513" s="391" t="str">
        <f t="shared" si="19"/>
        <v/>
      </c>
      <c r="J513" s="392" t="str">
        <f>IF(AND(E513=Data!R518,Data!AA518&lt;&gt;""),Data!AA518,"")</f>
        <v/>
      </c>
      <c r="K513" s="313" t="str">
        <f>IF(AND(E513=Data!R518,Data!AE518&lt;&gt;""),Data!AE518,"")</f>
        <v/>
      </c>
      <c r="L513" s="318">
        <f>IF(E513=Data!R525,Data!AI525,"")</f>
        <v>0</v>
      </c>
      <c r="M513" s="318">
        <f>IF(E513=Data!R525,Data!AJ525,"")</f>
        <v>0</v>
      </c>
      <c r="N513" s="437" t="str">
        <f>IF(AND(Data!R525&lt;&gt;"",Data!L525="Accepté"),Data!K525,"")</f>
        <v/>
      </c>
    </row>
    <row r="514" spans="1:14" hidden="1" x14ac:dyDescent="0.3">
      <c r="A514" s="393" t="str">
        <f>IF(AND(Data!R526&lt;&gt;"",Data!L526="Accepté"),Data!G526,"")</f>
        <v/>
      </c>
      <c r="B514" s="393" t="str">
        <f>IF(AND(Data!R526&lt;&gt;"",Data!L526="Accepté"),Data!L526,"")</f>
        <v/>
      </c>
      <c r="C514" s="391" t="str">
        <f t="shared" si="18"/>
        <v/>
      </c>
      <c r="D514" s="392" t="str">
        <f>IF(AND(Data!Q526&lt;&gt;"",Data!L526="Accepté"),Data!Q526,"")</f>
        <v/>
      </c>
      <c r="E514" s="237" t="str">
        <f>IF(AND(Data!R526&lt;&gt;"",Data!L526="Accepté"),Data!R526,"")</f>
        <v/>
      </c>
      <c r="F514" s="326" t="str">
        <f>IF(AND(Data!R526&lt;&gt;"",Data!L526="Accepté"),Data!S526,"")</f>
        <v/>
      </c>
      <c r="G514" s="322">
        <f>IF(Data!R526='Delivery Plan'!E514,Data!U526,"")</f>
        <v>0</v>
      </c>
      <c r="H514" s="259"/>
      <c r="I514" s="391" t="str">
        <f t="shared" si="19"/>
        <v/>
      </c>
      <c r="J514" s="392" t="str">
        <f>IF(AND(E514=Data!R519,Data!AA519&lt;&gt;""),Data!AA519,"")</f>
        <v/>
      </c>
      <c r="K514" s="313" t="str">
        <f>IF(AND(E514=Data!R519,Data!AE519&lt;&gt;""),Data!AE519,"")</f>
        <v/>
      </c>
      <c r="L514" s="318">
        <f>IF(E514=Data!R526,Data!AI526,"")</f>
        <v>0</v>
      </c>
      <c r="M514" s="318">
        <f>IF(E514=Data!R526,Data!AJ526,"")</f>
        <v>0</v>
      </c>
      <c r="N514" s="437" t="str">
        <f>IF(AND(Data!R526&lt;&gt;"",Data!L526="Accepté"),Data!K526,"")</f>
        <v/>
      </c>
    </row>
    <row r="515" spans="1:14" hidden="1" x14ac:dyDescent="0.3">
      <c r="A515" s="393" t="str">
        <f>IF(AND(Data!R527&lt;&gt;"",Data!L527="Accepté"),Data!G527,"")</f>
        <v/>
      </c>
      <c r="B515" s="393" t="str">
        <f>IF(AND(Data!R527&lt;&gt;"",Data!L527="Accepté"),Data!L527,"")</f>
        <v/>
      </c>
      <c r="C515" s="391" t="str">
        <f t="shared" si="18"/>
        <v/>
      </c>
      <c r="D515" s="392" t="str">
        <f>IF(AND(Data!Q527&lt;&gt;"",Data!L527="Accepté"),Data!Q527,"")</f>
        <v/>
      </c>
      <c r="E515" s="237" t="str">
        <f>IF(AND(Data!R527&lt;&gt;"",Data!L527="Accepté"),Data!R527,"")</f>
        <v/>
      </c>
      <c r="F515" s="326" t="str">
        <f>IF(AND(Data!R527&lt;&gt;"",Data!L527="Accepté"),Data!S527,"")</f>
        <v/>
      </c>
      <c r="G515" s="322">
        <f>IF(Data!R527='Delivery Plan'!E515,Data!U527,"")</f>
        <v>0</v>
      </c>
      <c r="H515" s="259"/>
      <c r="I515" s="391" t="str">
        <f t="shared" si="19"/>
        <v/>
      </c>
      <c r="J515" s="392" t="str">
        <f>IF(AND(E515=Data!R520,Data!AA520&lt;&gt;""),Data!AA520,"")</f>
        <v/>
      </c>
      <c r="K515" s="313" t="str">
        <f>IF(AND(E515=Data!R520,Data!AE520&lt;&gt;""),Data!AE520,"")</f>
        <v/>
      </c>
      <c r="L515" s="318">
        <f>IF(E515=Data!R527,Data!AI527,"")</f>
        <v>0</v>
      </c>
      <c r="M515" s="318">
        <f>IF(E515=Data!R527,Data!AJ527,"")</f>
        <v>0</v>
      </c>
      <c r="N515" s="437" t="str">
        <f>IF(AND(Data!R527&lt;&gt;"",Data!L527="Accepté"),Data!K527,"")</f>
        <v/>
      </c>
    </row>
    <row r="516" spans="1:14" hidden="1" x14ac:dyDescent="0.3">
      <c r="A516" s="393" t="str">
        <f>IF(AND(Data!R528&lt;&gt;"",Data!L528="Accepté"),Data!G528,"")</f>
        <v/>
      </c>
      <c r="B516" s="393" t="str">
        <f>IF(AND(Data!R528&lt;&gt;"",Data!L528="Accepté"),Data!L528,"")</f>
        <v/>
      </c>
      <c r="C516" s="391" t="str">
        <f t="shared" si="18"/>
        <v/>
      </c>
      <c r="D516" s="392" t="str">
        <f>IF(AND(Data!Q528&lt;&gt;"",Data!L528="Accepté"),Data!Q528,"")</f>
        <v/>
      </c>
      <c r="E516" s="237" t="str">
        <f>IF(AND(Data!R528&lt;&gt;"",Data!L528="Accepté"),Data!R528,"")</f>
        <v/>
      </c>
      <c r="F516" s="326" t="str">
        <f>IF(AND(Data!R528&lt;&gt;"",Data!L528="Accepté"),Data!S528,"")</f>
        <v/>
      </c>
      <c r="G516" s="322">
        <f>IF(Data!R528='Delivery Plan'!E516,Data!U528,"")</f>
        <v>0</v>
      </c>
      <c r="H516" s="259"/>
      <c r="I516" s="391" t="str">
        <f t="shared" si="19"/>
        <v/>
      </c>
      <c r="J516" s="392" t="str">
        <f>IF(AND(E516=Data!R521,Data!AA521&lt;&gt;""),Data!AA521,"")</f>
        <v/>
      </c>
      <c r="K516" s="313" t="str">
        <f>IF(AND(E516=Data!R521,Data!AE521&lt;&gt;""),Data!AE521,"")</f>
        <v/>
      </c>
      <c r="L516" s="318">
        <f>IF(E516=Data!R528,Data!AI528,"")</f>
        <v>0</v>
      </c>
      <c r="M516" s="318">
        <f>IF(E516=Data!R528,Data!AJ528,"")</f>
        <v>0</v>
      </c>
      <c r="N516" s="437" t="str">
        <f>IF(AND(Data!R528&lt;&gt;"",Data!L528="Accepté"),Data!K528,"")</f>
        <v/>
      </c>
    </row>
    <row r="517" spans="1:14" hidden="1" x14ac:dyDescent="0.3">
      <c r="A517" s="393" t="str">
        <f>IF(AND(Data!R529&lt;&gt;"",Data!L529="Accepté"),Data!G529,"")</f>
        <v/>
      </c>
      <c r="B517" s="393" t="str">
        <f>IF(AND(Data!R529&lt;&gt;"",Data!L529="Accepté"),Data!L529,"")</f>
        <v/>
      </c>
      <c r="C517" s="391" t="str">
        <f t="shared" si="18"/>
        <v/>
      </c>
      <c r="D517" s="392" t="str">
        <f>IF(AND(Data!Q529&lt;&gt;"",Data!L529="Accepté"),Data!Q529,"")</f>
        <v/>
      </c>
      <c r="E517" s="237" t="str">
        <f>IF(AND(Data!R529&lt;&gt;"",Data!L529="Accepté"),Data!R529,"")</f>
        <v/>
      </c>
      <c r="F517" s="326" t="str">
        <f>IF(AND(Data!R529&lt;&gt;"",Data!L529="Accepté"),Data!S529,"")</f>
        <v/>
      </c>
      <c r="G517" s="322">
        <f>IF(Data!R529='Delivery Plan'!E517,Data!U529,"")</f>
        <v>0</v>
      </c>
      <c r="H517" s="259"/>
      <c r="I517" s="391" t="str">
        <f t="shared" ref="I517:I561" si="20">IF(J517&lt;&gt;"","S"&amp;TEXT(WEEKNUM(J517),"00"),"")</f>
        <v/>
      </c>
      <c r="J517" s="392" t="str">
        <f>IF(AND(E517=Data!R522,Data!AA522&lt;&gt;""),Data!AA522,"")</f>
        <v/>
      </c>
      <c r="K517" s="313" t="str">
        <f>IF(AND(E517=Data!R522,Data!AE522&lt;&gt;""),Data!AE522,"")</f>
        <v/>
      </c>
      <c r="L517" s="318">
        <f>IF(E517=Data!R529,Data!AI529,"")</f>
        <v>0</v>
      </c>
      <c r="M517" s="318">
        <f>IF(E517=Data!R529,Data!AJ529,"")</f>
        <v>0</v>
      </c>
      <c r="N517" s="437" t="str">
        <f>IF(AND(Data!R529&lt;&gt;"",Data!L529="Accepté"),Data!K529,"")</f>
        <v/>
      </c>
    </row>
    <row r="518" spans="1:14" hidden="1" x14ac:dyDescent="0.3">
      <c r="A518" s="393" t="str">
        <f>IF(AND(Data!R530&lt;&gt;"",Data!L530="Accepté"),Data!G530,"")</f>
        <v/>
      </c>
      <c r="B518" s="393" t="str">
        <f>IF(AND(Data!R530&lt;&gt;"",Data!L530="Accepté"),Data!L530,"")</f>
        <v/>
      </c>
      <c r="C518" s="391" t="str">
        <f t="shared" si="18"/>
        <v/>
      </c>
      <c r="D518" s="392" t="str">
        <f>IF(AND(Data!Q530&lt;&gt;"",Data!L530="Accepté"),Data!Q530,"")</f>
        <v/>
      </c>
      <c r="E518" s="237" t="str">
        <f>IF(AND(Data!R530&lt;&gt;"",Data!L530="Accepté"),Data!R530,"")</f>
        <v/>
      </c>
      <c r="F518" s="326" t="str">
        <f>IF(AND(Data!R530&lt;&gt;"",Data!L530="Accepté"),Data!S530,"")</f>
        <v/>
      </c>
      <c r="G518" s="322">
        <f>IF(Data!R530='Delivery Plan'!E518,Data!U530,"")</f>
        <v>0</v>
      </c>
      <c r="H518" s="259"/>
      <c r="I518" s="391" t="str">
        <f t="shared" si="20"/>
        <v/>
      </c>
      <c r="J518" s="392" t="str">
        <f>IF(AND(E518=Data!R523,Data!AA523&lt;&gt;""),Data!AA523,"")</f>
        <v/>
      </c>
      <c r="K518" s="313" t="str">
        <f>IF(AND(E518=Data!R523,Data!AE523&lt;&gt;""),Data!AE523,"")</f>
        <v/>
      </c>
      <c r="L518" s="318">
        <f>IF(E518=Data!R530,Data!AI530,"")</f>
        <v>0</v>
      </c>
      <c r="M518" s="318">
        <f>IF(E518=Data!R530,Data!AJ530,"")</f>
        <v>0</v>
      </c>
      <c r="N518" s="437" t="str">
        <f>IF(AND(Data!R530&lt;&gt;"",Data!L530="Accepté"),Data!K530,"")</f>
        <v/>
      </c>
    </row>
    <row r="519" spans="1:14" hidden="1" x14ac:dyDescent="0.3">
      <c r="A519" s="393" t="str">
        <f>IF(AND(Data!R531&lt;&gt;"",Data!L531="Accepté"),Data!G531,"")</f>
        <v/>
      </c>
      <c r="B519" s="393" t="str">
        <f>IF(AND(Data!R531&lt;&gt;"",Data!L531="Accepté"),Data!L531,"")</f>
        <v/>
      </c>
      <c r="C519" s="391" t="str">
        <f t="shared" si="18"/>
        <v/>
      </c>
      <c r="D519" s="392" t="str">
        <f>IF(AND(Data!Q531&lt;&gt;"",Data!L531="Accepté"),Data!Q531,"")</f>
        <v/>
      </c>
      <c r="E519" s="237" t="str">
        <f>IF(AND(Data!R531&lt;&gt;"",Data!L531="Accepté"),Data!R531,"")</f>
        <v/>
      </c>
      <c r="F519" s="326" t="str">
        <f>IF(AND(Data!R531&lt;&gt;"",Data!L531="Accepté"),Data!S531,"")</f>
        <v/>
      </c>
      <c r="G519" s="322">
        <f>IF(Data!R531='Delivery Plan'!E519,Data!U531,"")</f>
        <v>0</v>
      </c>
      <c r="H519" s="259"/>
      <c r="I519" s="391" t="str">
        <f t="shared" si="20"/>
        <v/>
      </c>
      <c r="J519" s="392" t="str">
        <f>IF(AND(E519=Data!R524,Data!AA524&lt;&gt;""),Data!AA524,"")</f>
        <v/>
      </c>
      <c r="K519" s="313" t="str">
        <f>IF(AND(E519=Data!R524,Data!AE524&lt;&gt;""),Data!AE524,"")</f>
        <v/>
      </c>
      <c r="L519" s="318">
        <f>IF(E519=Data!R531,Data!AI531,"")</f>
        <v>0</v>
      </c>
      <c r="M519" s="318">
        <f>IF(E519=Data!R531,Data!AJ531,"")</f>
        <v>0</v>
      </c>
      <c r="N519" s="437" t="str">
        <f>IF(AND(Data!R531&lt;&gt;"",Data!L531="Accepté"),Data!K531,"")</f>
        <v/>
      </c>
    </row>
    <row r="520" spans="1:14" hidden="1" x14ac:dyDescent="0.3">
      <c r="A520" s="393" t="str">
        <f>IF(AND(Data!R532&lt;&gt;"",Data!L532="Accepté"),Data!G532,"")</f>
        <v/>
      </c>
      <c r="B520" s="393" t="str">
        <f>IF(AND(Data!R532&lt;&gt;"",Data!L532="Accepté"),Data!L532,"")</f>
        <v/>
      </c>
      <c r="C520" s="391" t="str">
        <f t="shared" si="18"/>
        <v/>
      </c>
      <c r="D520" s="392" t="str">
        <f>IF(AND(Data!Q532&lt;&gt;"",Data!L532="Accepté"),Data!Q532,"")</f>
        <v/>
      </c>
      <c r="E520" s="237" t="str">
        <f>IF(AND(Data!R532&lt;&gt;"",Data!L532="Accepté"),Data!R532,"")</f>
        <v/>
      </c>
      <c r="F520" s="326" t="str">
        <f>IF(AND(Data!R532&lt;&gt;"",Data!L532="Accepté"),Data!S532,"")</f>
        <v/>
      </c>
      <c r="G520" s="322">
        <f>IF(Data!R532='Delivery Plan'!E520,Data!U532,"")</f>
        <v>0</v>
      </c>
      <c r="H520" s="259"/>
      <c r="I520" s="391" t="str">
        <f t="shared" si="20"/>
        <v/>
      </c>
      <c r="J520" s="392" t="str">
        <f>IF(AND(E520=Data!R525,Data!AA525&lt;&gt;""),Data!AA525,"")</f>
        <v/>
      </c>
      <c r="K520" s="313" t="str">
        <f>IF(AND(E520=Data!R525,Data!AE525&lt;&gt;""),Data!AE525,"")</f>
        <v/>
      </c>
      <c r="L520" s="318">
        <f>IF(E520=Data!R532,Data!AI532,"")</f>
        <v>0</v>
      </c>
      <c r="M520" s="318">
        <f>IF(E520=Data!R532,Data!AJ532,"")</f>
        <v>0</v>
      </c>
      <c r="N520" s="437" t="str">
        <f>IF(AND(Data!R532&lt;&gt;"",Data!L532="Accepté"),Data!K532,"")</f>
        <v/>
      </c>
    </row>
    <row r="521" spans="1:14" hidden="1" x14ac:dyDescent="0.3">
      <c r="A521" s="393" t="str">
        <f>IF(AND(Data!R533&lt;&gt;"",Data!L533="Accepté"),Data!G533,"")</f>
        <v/>
      </c>
      <c r="B521" s="393" t="str">
        <f>IF(AND(Data!R533&lt;&gt;"",Data!L533="Accepté"),Data!L533,"")</f>
        <v/>
      </c>
      <c r="C521" s="391" t="str">
        <f t="shared" si="18"/>
        <v/>
      </c>
      <c r="D521" s="392" t="str">
        <f>IF(AND(Data!Q533&lt;&gt;"",Data!L533="Accepté"),Data!Q533,"")</f>
        <v/>
      </c>
      <c r="E521" s="237" t="str">
        <f>IF(AND(Data!R533&lt;&gt;"",Data!L533="Accepté"),Data!R533,"")</f>
        <v/>
      </c>
      <c r="F521" s="326" t="str">
        <f>IF(AND(Data!R533&lt;&gt;"",Data!L533="Accepté"),Data!S533,"")</f>
        <v/>
      </c>
      <c r="G521" s="322">
        <f>IF(Data!R533='Delivery Plan'!E521,Data!U533,"")</f>
        <v>0</v>
      </c>
      <c r="H521" s="259"/>
      <c r="I521" s="391" t="str">
        <f t="shared" si="20"/>
        <v/>
      </c>
      <c r="J521" s="392" t="str">
        <f>IF(AND(E521=Data!R526,Data!AA526&lt;&gt;""),Data!AA526,"")</f>
        <v/>
      </c>
      <c r="K521" s="313" t="str">
        <f>IF(AND(E521=Data!R526,Data!AE526&lt;&gt;""),Data!AE526,"")</f>
        <v/>
      </c>
      <c r="L521" s="318">
        <f>IF(E521=Data!R533,Data!AI533,"")</f>
        <v>0</v>
      </c>
      <c r="M521" s="318">
        <f>IF(E521=Data!R533,Data!AJ533,"")</f>
        <v>0</v>
      </c>
      <c r="N521" s="437" t="str">
        <f>IF(AND(Data!R533&lt;&gt;"",Data!L533="Accepté"),Data!K533,"")</f>
        <v/>
      </c>
    </row>
    <row r="522" spans="1:14" hidden="1" x14ac:dyDescent="0.3">
      <c r="A522" s="393" t="str">
        <f>IF(AND(Data!R534&lt;&gt;"",Data!L534="Accepté"),Data!G534,"")</f>
        <v/>
      </c>
      <c r="B522" s="393" t="str">
        <f>IF(AND(Data!R534&lt;&gt;"",Data!L534="Accepté"),Data!L534,"")</f>
        <v/>
      </c>
      <c r="C522" s="391" t="str">
        <f t="shared" si="18"/>
        <v/>
      </c>
      <c r="D522" s="392" t="str">
        <f>IF(AND(Data!Q534&lt;&gt;"",Data!L534="Accepté"),Data!Q534,"")</f>
        <v/>
      </c>
      <c r="E522" s="237" t="str">
        <f>IF(AND(Data!R534&lt;&gt;"",Data!L534="Accepté"),Data!R534,"")</f>
        <v/>
      </c>
      <c r="F522" s="326" t="str">
        <f>IF(AND(Data!R534&lt;&gt;"",Data!L534="Accepté"),Data!S534,"")</f>
        <v/>
      </c>
      <c r="G522" s="322">
        <f>IF(Data!R534='Delivery Plan'!E522,Data!U534,"")</f>
        <v>0</v>
      </c>
      <c r="H522" s="259"/>
      <c r="I522" s="391" t="str">
        <f t="shared" si="20"/>
        <v/>
      </c>
      <c r="J522" s="392" t="str">
        <f>IF(AND(E522=Data!R527,Data!AA527&lt;&gt;""),Data!AA527,"")</f>
        <v/>
      </c>
      <c r="K522" s="313" t="str">
        <f>IF(AND(E522=Data!R527,Data!AE527&lt;&gt;""),Data!AE527,"")</f>
        <v/>
      </c>
      <c r="L522" s="318">
        <f>IF(E522=Data!R534,Data!AI534,"")</f>
        <v>0</v>
      </c>
      <c r="M522" s="318">
        <f>IF(E522=Data!R534,Data!AJ534,"")</f>
        <v>0</v>
      </c>
      <c r="N522" s="437" t="str">
        <f>IF(AND(Data!R534&lt;&gt;"",Data!L534="Accepté"),Data!K534,"")</f>
        <v/>
      </c>
    </row>
    <row r="523" spans="1:14" hidden="1" x14ac:dyDescent="0.3">
      <c r="A523" s="393" t="str">
        <f>IF(AND(Data!R535&lt;&gt;"",Data!L535="Accepté"),Data!G535,"")</f>
        <v/>
      </c>
      <c r="B523" s="393" t="str">
        <f>IF(AND(Data!R535&lt;&gt;"",Data!L535="Accepté"),Data!L535,"")</f>
        <v/>
      </c>
      <c r="C523" s="391" t="str">
        <f t="shared" si="18"/>
        <v/>
      </c>
      <c r="D523" s="392" t="str">
        <f>IF(AND(Data!Q535&lt;&gt;"",Data!L535="Accepté"),Data!Q535,"")</f>
        <v/>
      </c>
      <c r="E523" s="237" t="str">
        <f>IF(AND(Data!R535&lt;&gt;"",Data!L535="Accepté"),Data!R535,"")</f>
        <v/>
      </c>
      <c r="F523" s="326" t="str">
        <f>IF(AND(Data!R535&lt;&gt;"",Data!L535="Accepté"),Data!S535,"")</f>
        <v/>
      </c>
      <c r="G523" s="322">
        <f>IF(Data!R535='Delivery Plan'!E523,Data!U535,"")</f>
        <v>0</v>
      </c>
      <c r="H523" s="259"/>
      <c r="I523" s="391" t="str">
        <f t="shared" si="20"/>
        <v/>
      </c>
      <c r="J523" s="392" t="str">
        <f>IF(AND(E523=Data!R528,Data!AA528&lt;&gt;""),Data!AA528,"")</f>
        <v/>
      </c>
      <c r="K523" s="313" t="str">
        <f>IF(AND(E523=Data!R528,Data!AE528&lt;&gt;""),Data!AE528,"")</f>
        <v/>
      </c>
      <c r="L523" s="318">
        <f>IF(E523=Data!R535,Data!AI535,"")</f>
        <v>0</v>
      </c>
      <c r="M523" s="318">
        <f>IF(E523=Data!R535,Data!AJ535,"")</f>
        <v>0</v>
      </c>
      <c r="N523" s="437" t="str">
        <f>IF(AND(Data!R535&lt;&gt;"",Data!L535="Accepté"),Data!K535,"")</f>
        <v/>
      </c>
    </row>
    <row r="524" spans="1:14" hidden="1" x14ac:dyDescent="0.3">
      <c r="A524" s="393" t="str">
        <f>IF(AND(Data!R536&lt;&gt;"",Data!L536="Accepté"),Data!G536,"")</f>
        <v/>
      </c>
      <c r="B524" s="393" t="str">
        <f>IF(AND(Data!R536&lt;&gt;"",Data!L536="Accepté"),Data!L536,"")</f>
        <v/>
      </c>
      <c r="C524" s="391" t="str">
        <f t="shared" ref="C524:C561" si="21">IF(D524&lt;&gt;"","S"&amp;TEXT(WEEKNUM(D524),"00"),"")</f>
        <v/>
      </c>
      <c r="D524" s="392" t="str">
        <f>IF(AND(Data!Q536&lt;&gt;"",Data!L536="Accepté"),Data!Q536,"")</f>
        <v/>
      </c>
      <c r="E524" s="237" t="str">
        <f>IF(AND(Data!R536&lt;&gt;"",Data!L536="Accepté"),Data!R536,"")</f>
        <v/>
      </c>
      <c r="F524" s="326" t="str">
        <f>IF(AND(Data!R536&lt;&gt;"",Data!L536="Accepté"),Data!S536,"")</f>
        <v/>
      </c>
      <c r="G524" s="322">
        <f>IF(Data!R536='Delivery Plan'!E524,Data!U536,"")</f>
        <v>0</v>
      </c>
      <c r="H524" s="259"/>
      <c r="I524" s="391" t="str">
        <f t="shared" si="20"/>
        <v/>
      </c>
      <c r="J524" s="392" t="str">
        <f>IF(AND(E524=Data!R529,Data!AA529&lt;&gt;""),Data!AA529,"")</f>
        <v/>
      </c>
      <c r="K524" s="313" t="str">
        <f>IF(AND(E524=Data!R529,Data!AE529&lt;&gt;""),Data!AE529,"")</f>
        <v/>
      </c>
      <c r="L524" s="318">
        <f>IF(E524=Data!R536,Data!AI536,"")</f>
        <v>0</v>
      </c>
      <c r="M524" s="318">
        <f>IF(E524=Data!R536,Data!AJ536,"")</f>
        <v>0</v>
      </c>
      <c r="N524" s="437" t="str">
        <f>IF(AND(Data!R536&lt;&gt;"",Data!L536="Accepté"),Data!K536,"")</f>
        <v/>
      </c>
    </row>
    <row r="525" spans="1:14" hidden="1" x14ac:dyDescent="0.3">
      <c r="A525" s="393" t="str">
        <f>IF(AND(Data!R537&lt;&gt;"",Data!L537="Accepté"),Data!G537,"")</f>
        <v/>
      </c>
      <c r="B525" s="393" t="str">
        <f>IF(AND(Data!R537&lt;&gt;"",Data!L537="Accepté"),Data!L537,"")</f>
        <v/>
      </c>
      <c r="C525" s="391" t="str">
        <f t="shared" si="21"/>
        <v/>
      </c>
      <c r="D525" s="392" t="str">
        <f>IF(AND(Data!Q537&lt;&gt;"",Data!L537="Accepté"),Data!Q537,"")</f>
        <v/>
      </c>
      <c r="E525" s="237" t="str">
        <f>IF(AND(Data!R537&lt;&gt;"",Data!L537="Accepté"),Data!R537,"")</f>
        <v/>
      </c>
      <c r="F525" s="326" t="str">
        <f>IF(AND(Data!R537&lt;&gt;"",Data!L537="Accepté"),Data!S537,"")</f>
        <v/>
      </c>
      <c r="G525" s="322">
        <f>IF(Data!R537='Delivery Plan'!E525,Data!U537,"")</f>
        <v>0</v>
      </c>
      <c r="H525" s="259"/>
      <c r="I525" s="391" t="str">
        <f t="shared" si="20"/>
        <v/>
      </c>
      <c r="J525" s="392" t="str">
        <f>IF(AND(E525=Data!R530,Data!AA530&lt;&gt;""),Data!AA530,"")</f>
        <v/>
      </c>
      <c r="K525" s="313" t="str">
        <f>IF(AND(E525=Data!R530,Data!AE530&lt;&gt;""),Data!AE530,"")</f>
        <v/>
      </c>
      <c r="L525" s="318">
        <f>IF(E525=Data!R537,Data!AI537,"")</f>
        <v>0</v>
      </c>
      <c r="M525" s="318">
        <f>IF(E525=Data!R537,Data!AJ537,"")</f>
        <v>0</v>
      </c>
      <c r="N525" s="437" t="str">
        <f>IF(AND(Data!R537&lt;&gt;"",Data!L537="Accepté"),Data!K537,"")</f>
        <v/>
      </c>
    </row>
    <row r="526" spans="1:14" hidden="1" x14ac:dyDescent="0.3">
      <c r="A526" s="393" t="str">
        <f>IF(AND(Data!R538&lt;&gt;"",Data!L538="Accepté"),Data!G538,"")</f>
        <v/>
      </c>
      <c r="B526" s="393" t="str">
        <f>IF(AND(Data!R538&lt;&gt;"",Data!L538="Accepté"),Data!L538,"")</f>
        <v/>
      </c>
      <c r="C526" s="391" t="str">
        <f t="shared" si="21"/>
        <v/>
      </c>
      <c r="D526" s="392" t="str">
        <f>IF(AND(Data!Q538&lt;&gt;"",Data!L538="Accepté"),Data!Q538,"")</f>
        <v/>
      </c>
      <c r="E526" s="237" t="str">
        <f>IF(AND(Data!R538&lt;&gt;"",Data!L538="Accepté"),Data!R538,"")</f>
        <v/>
      </c>
      <c r="F526" s="326" t="str">
        <f>IF(AND(Data!R538&lt;&gt;"",Data!L538="Accepté"),Data!S538,"")</f>
        <v/>
      </c>
      <c r="G526" s="322">
        <f>IF(Data!R538='Delivery Plan'!E526,Data!U538,"")</f>
        <v>0</v>
      </c>
      <c r="H526" s="259"/>
      <c r="I526" s="391" t="str">
        <f t="shared" si="20"/>
        <v/>
      </c>
      <c r="J526" s="392" t="str">
        <f>IF(AND(E526=Data!R531,Data!AA531&lt;&gt;""),Data!AA531,"")</f>
        <v/>
      </c>
      <c r="K526" s="313" t="str">
        <f>IF(AND(E526=Data!R531,Data!AE531&lt;&gt;""),Data!AE531,"")</f>
        <v/>
      </c>
      <c r="L526" s="318">
        <f>IF(E526=Data!R538,Data!AI538,"")</f>
        <v>0</v>
      </c>
      <c r="M526" s="318">
        <f>IF(E526=Data!R538,Data!AJ538,"")</f>
        <v>0</v>
      </c>
      <c r="N526" s="437" t="str">
        <f>IF(AND(Data!R538&lt;&gt;"",Data!L538="Accepté"),Data!K538,"")</f>
        <v/>
      </c>
    </row>
    <row r="527" spans="1:14" hidden="1" x14ac:dyDescent="0.3">
      <c r="A527" s="393" t="str">
        <f>IF(AND(Data!R539&lt;&gt;"",Data!L539="Accepté"),Data!G539,"")</f>
        <v/>
      </c>
      <c r="B527" s="393" t="str">
        <f>IF(AND(Data!R539&lt;&gt;"",Data!L539="Accepté"),Data!L539,"")</f>
        <v/>
      </c>
      <c r="C527" s="391" t="str">
        <f t="shared" si="21"/>
        <v/>
      </c>
      <c r="D527" s="392" t="str">
        <f>IF(AND(Data!Q539&lt;&gt;"",Data!L539="Accepté"),Data!Q539,"")</f>
        <v/>
      </c>
      <c r="E527" s="237" t="str">
        <f>IF(AND(Data!R539&lt;&gt;"",Data!L539="Accepté"),Data!R539,"")</f>
        <v/>
      </c>
      <c r="F527" s="326" t="str">
        <f>IF(AND(Data!R539&lt;&gt;"",Data!L539="Accepté"),Data!S539,"")</f>
        <v/>
      </c>
      <c r="G527" s="322">
        <f>IF(Data!R539='Delivery Plan'!E527,Data!U539,"")</f>
        <v>0</v>
      </c>
      <c r="H527" s="259"/>
      <c r="I527" s="391" t="str">
        <f t="shared" si="20"/>
        <v/>
      </c>
      <c r="J527" s="392" t="str">
        <f>IF(AND(E527=Data!R532,Data!AA532&lt;&gt;""),Data!AA532,"")</f>
        <v/>
      </c>
      <c r="K527" s="313" t="str">
        <f>IF(AND(E527=Data!R532,Data!AE532&lt;&gt;""),Data!AE532,"")</f>
        <v/>
      </c>
      <c r="L527" s="318">
        <f>IF(E527=Data!R539,Data!AI539,"")</f>
        <v>0</v>
      </c>
      <c r="M527" s="318">
        <f>IF(E527=Data!R539,Data!AJ539,"")</f>
        <v>0</v>
      </c>
      <c r="N527" s="437" t="str">
        <f>IF(AND(Data!R539&lt;&gt;"",Data!L539="Accepté"),Data!K539,"")</f>
        <v/>
      </c>
    </row>
    <row r="528" spans="1:14" hidden="1" x14ac:dyDescent="0.3">
      <c r="A528" s="393" t="str">
        <f>IF(AND(Data!R540&lt;&gt;"",Data!L540="Accepté"),Data!G540,"")</f>
        <v/>
      </c>
      <c r="B528" s="393" t="str">
        <f>IF(AND(Data!R540&lt;&gt;"",Data!L540="Accepté"),Data!L540,"")</f>
        <v/>
      </c>
      <c r="C528" s="391" t="str">
        <f t="shared" si="21"/>
        <v/>
      </c>
      <c r="D528" s="392" t="str">
        <f>IF(AND(Data!Q540&lt;&gt;"",Data!L540="Accepté"),Data!Q540,"")</f>
        <v/>
      </c>
      <c r="E528" s="237" t="str">
        <f>IF(AND(Data!R540&lt;&gt;"",Data!L540="Accepté"),Data!R540,"")</f>
        <v/>
      </c>
      <c r="F528" s="326" t="str">
        <f>IF(AND(Data!R540&lt;&gt;"",Data!L540="Accepté"),Data!S540,"")</f>
        <v/>
      </c>
      <c r="G528" s="322">
        <f>IF(Data!R540='Delivery Plan'!E528,Data!U540,"")</f>
        <v>0</v>
      </c>
      <c r="H528" s="259"/>
      <c r="I528" s="391" t="str">
        <f t="shared" si="20"/>
        <v/>
      </c>
      <c r="J528" s="392" t="str">
        <f>IF(AND(E528=Data!R533,Data!AA533&lt;&gt;""),Data!AA533,"")</f>
        <v/>
      </c>
      <c r="K528" s="313" t="str">
        <f>IF(AND(E528=Data!R533,Data!AE533&lt;&gt;""),Data!AE533,"")</f>
        <v/>
      </c>
      <c r="L528" s="318">
        <f>IF(E528=Data!R540,Data!AI540,"")</f>
        <v>0</v>
      </c>
      <c r="M528" s="318">
        <f>IF(E528=Data!R540,Data!AJ540,"")</f>
        <v>0</v>
      </c>
      <c r="N528" s="437" t="str">
        <f>IF(AND(Data!R540&lt;&gt;"",Data!L540="Accepté"),Data!K540,"")</f>
        <v/>
      </c>
    </row>
    <row r="529" spans="1:14" hidden="1" x14ac:dyDescent="0.3">
      <c r="A529" s="393" t="str">
        <f>IF(AND(Data!R541&lt;&gt;"",Data!L541="Accepté"),Data!G541,"")</f>
        <v/>
      </c>
      <c r="B529" s="393" t="str">
        <f>IF(AND(Data!R541&lt;&gt;"",Data!L541="Accepté"),Data!L541,"")</f>
        <v/>
      </c>
      <c r="C529" s="391" t="str">
        <f t="shared" si="21"/>
        <v/>
      </c>
      <c r="D529" s="392" t="str">
        <f>IF(AND(Data!Q541&lt;&gt;"",Data!L541="Accepté"),Data!Q541,"")</f>
        <v/>
      </c>
      <c r="E529" s="237" t="str">
        <f>IF(AND(Data!R541&lt;&gt;"",Data!L541="Accepté"),Data!R541,"")</f>
        <v/>
      </c>
      <c r="F529" s="326" t="str">
        <f>IF(AND(Data!R541&lt;&gt;"",Data!L541="Accepté"),Data!S541,"")</f>
        <v/>
      </c>
      <c r="G529" s="322">
        <f>IF(Data!R541='Delivery Plan'!E529,Data!U541,"")</f>
        <v>0</v>
      </c>
      <c r="H529" s="259"/>
      <c r="I529" s="391" t="str">
        <f t="shared" si="20"/>
        <v/>
      </c>
      <c r="J529" s="392" t="str">
        <f>IF(AND(E529=Data!R534,Data!AA534&lt;&gt;""),Data!AA534,"")</f>
        <v/>
      </c>
      <c r="K529" s="313" t="str">
        <f>IF(AND(E529=Data!R534,Data!AE534&lt;&gt;""),Data!AE534,"")</f>
        <v/>
      </c>
      <c r="L529" s="318">
        <f>IF(E529=Data!R541,Data!AI541,"")</f>
        <v>0</v>
      </c>
      <c r="M529" s="318">
        <f>IF(E529=Data!R541,Data!AJ541,"")</f>
        <v>0</v>
      </c>
      <c r="N529" s="437" t="str">
        <f>IF(AND(Data!R541&lt;&gt;"",Data!L541="Accepté"),Data!K541,"")</f>
        <v/>
      </c>
    </row>
    <row r="530" spans="1:14" hidden="1" x14ac:dyDescent="0.3">
      <c r="A530" s="393" t="str">
        <f>IF(AND(Data!R542&lt;&gt;"",Data!L542="Accepté"),Data!G542,"")</f>
        <v/>
      </c>
      <c r="B530" s="393" t="str">
        <f>IF(AND(Data!R542&lt;&gt;"",Data!L542="Accepté"),Data!L542,"")</f>
        <v/>
      </c>
      <c r="C530" s="391" t="str">
        <f t="shared" si="21"/>
        <v/>
      </c>
      <c r="D530" s="392" t="str">
        <f>IF(AND(Data!Q542&lt;&gt;"",Data!L542="Accepté"),Data!Q542,"")</f>
        <v/>
      </c>
      <c r="E530" s="237" t="str">
        <f>IF(AND(Data!R542&lt;&gt;"",Data!L542="Accepté"),Data!R542,"")</f>
        <v/>
      </c>
      <c r="F530" s="326" t="str">
        <f>IF(AND(Data!R542&lt;&gt;"",Data!L542="Accepté"),Data!S542,"")</f>
        <v/>
      </c>
      <c r="G530" s="322">
        <f>IF(Data!R542='Delivery Plan'!E530,Data!U542,"")</f>
        <v>0</v>
      </c>
      <c r="H530" s="259"/>
      <c r="I530" s="391" t="str">
        <f t="shared" si="20"/>
        <v/>
      </c>
      <c r="J530" s="392" t="str">
        <f>IF(AND(E530=Data!R535,Data!AA535&lt;&gt;""),Data!AA535,"")</f>
        <v/>
      </c>
      <c r="K530" s="313" t="str">
        <f>IF(AND(E530=Data!R535,Data!AE535&lt;&gt;""),Data!AE535,"")</f>
        <v/>
      </c>
      <c r="L530" s="318">
        <f>IF(E530=Data!R542,Data!AI542,"")</f>
        <v>0</v>
      </c>
      <c r="M530" s="318">
        <f>IF(E530=Data!R542,Data!AJ542,"")</f>
        <v>0</v>
      </c>
      <c r="N530" s="437" t="str">
        <f>IF(AND(Data!R542&lt;&gt;"",Data!L542="Accepté"),Data!K542,"")</f>
        <v/>
      </c>
    </row>
    <row r="531" spans="1:14" hidden="1" x14ac:dyDescent="0.3">
      <c r="A531" s="393" t="str">
        <f>IF(AND(Data!R543&lt;&gt;"",Data!L543="Accepté"),Data!G543,"")</f>
        <v/>
      </c>
      <c r="B531" s="393" t="str">
        <f>IF(AND(Data!R543&lt;&gt;"",Data!L543="Accepté"),Data!L543,"")</f>
        <v/>
      </c>
      <c r="C531" s="391" t="str">
        <f t="shared" si="21"/>
        <v/>
      </c>
      <c r="D531" s="392" t="str">
        <f>IF(AND(Data!Q543&lt;&gt;"",Data!L543="Accepté"),Data!Q543,"")</f>
        <v/>
      </c>
      <c r="E531" s="237" t="str">
        <f>IF(AND(Data!R543&lt;&gt;"",Data!L543="Accepté"),Data!R543,"")</f>
        <v/>
      </c>
      <c r="F531" s="326" t="str">
        <f>IF(AND(Data!R543&lt;&gt;"",Data!L543="Accepté"),Data!S543,"")</f>
        <v/>
      </c>
      <c r="G531" s="322">
        <f>IF(Data!R543='Delivery Plan'!E531,Data!U543,"")</f>
        <v>0</v>
      </c>
      <c r="H531" s="259"/>
      <c r="I531" s="391" t="str">
        <f t="shared" si="20"/>
        <v/>
      </c>
      <c r="J531" s="392" t="str">
        <f>IF(AND(E531=Data!R536,Data!AA536&lt;&gt;""),Data!AA536,"")</f>
        <v/>
      </c>
      <c r="K531" s="313" t="str">
        <f>IF(AND(E531=Data!R536,Data!AE536&lt;&gt;""),Data!AE536,"")</f>
        <v/>
      </c>
      <c r="L531" s="318">
        <f>IF(E531=Data!R543,Data!AI543,"")</f>
        <v>0</v>
      </c>
      <c r="M531" s="318">
        <f>IF(E531=Data!R543,Data!AJ543,"")</f>
        <v>0</v>
      </c>
      <c r="N531" s="437" t="str">
        <f>IF(AND(Data!R543&lt;&gt;"",Data!L543="Accepté"),Data!K543,"")</f>
        <v/>
      </c>
    </row>
    <row r="532" spans="1:14" hidden="1" x14ac:dyDescent="0.3">
      <c r="A532" s="393" t="str">
        <f>IF(AND(Data!R544&lt;&gt;"",Data!L544="Accepté"),Data!G544,"")</f>
        <v/>
      </c>
      <c r="B532" s="393" t="str">
        <f>IF(AND(Data!R544&lt;&gt;"",Data!L544="Accepté"),Data!L544,"")</f>
        <v/>
      </c>
      <c r="C532" s="391" t="str">
        <f t="shared" si="21"/>
        <v/>
      </c>
      <c r="D532" s="392" t="str">
        <f>IF(AND(Data!Q544&lt;&gt;"",Data!L544="Accepté"),Data!Q544,"")</f>
        <v/>
      </c>
      <c r="E532" s="237" t="str">
        <f>IF(AND(Data!R544&lt;&gt;"",Data!L544="Accepté"),Data!R544,"")</f>
        <v/>
      </c>
      <c r="F532" s="326" t="str">
        <f>IF(AND(Data!R544&lt;&gt;"",Data!L544="Accepté"),Data!S544,"")</f>
        <v/>
      </c>
      <c r="G532" s="322">
        <f>IF(Data!R544='Delivery Plan'!E532,Data!U544,"")</f>
        <v>0</v>
      </c>
      <c r="H532" s="259"/>
      <c r="I532" s="391" t="str">
        <f t="shared" si="20"/>
        <v/>
      </c>
      <c r="J532" s="392" t="str">
        <f>IF(AND(E532=Data!R537,Data!AA537&lt;&gt;""),Data!AA537,"")</f>
        <v/>
      </c>
      <c r="K532" s="313" t="str">
        <f>IF(AND(E532=Data!R537,Data!AE537&lt;&gt;""),Data!AE537,"")</f>
        <v/>
      </c>
      <c r="L532" s="318">
        <f>IF(E532=Data!R544,Data!AI544,"")</f>
        <v>0</v>
      </c>
      <c r="M532" s="318">
        <f>IF(E532=Data!R544,Data!AJ544,"")</f>
        <v>0</v>
      </c>
      <c r="N532" s="437" t="str">
        <f>IF(AND(Data!R544&lt;&gt;"",Data!L544="Accepté"),Data!K544,"")</f>
        <v/>
      </c>
    </row>
    <row r="533" spans="1:14" hidden="1" x14ac:dyDescent="0.3">
      <c r="A533" s="393" t="str">
        <f>IF(AND(Data!R545&lt;&gt;"",Data!L545="Accepté"),Data!G545,"")</f>
        <v/>
      </c>
      <c r="B533" s="393" t="str">
        <f>IF(AND(Data!R545&lt;&gt;"",Data!L545="Accepté"),Data!L545,"")</f>
        <v/>
      </c>
      <c r="C533" s="391" t="str">
        <f t="shared" si="21"/>
        <v/>
      </c>
      <c r="D533" s="392" t="str">
        <f>IF(AND(Data!Q545&lt;&gt;"",Data!L545="Accepté"),Data!Q545,"")</f>
        <v/>
      </c>
      <c r="E533" s="237" t="str">
        <f>IF(AND(Data!R545&lt;&gt;"",Data!L545="Accepté"),Data!R545,"")</f>
        <v/>
      </c>
      <c r="F533" s="326" t="str">
        <f>IF(AND(Data!R545&lt;&gt;"",Data!L545="Accepté"),Data!S545,"")</f>
        <v/>
      </c>
      <c r="G533" s="322">
        <f>IF(Data!R545='Delivery Plan'!E533,Data!U545,"")</f>
        <v>0</v>
      </c>
      <c r="H533" s="259"/>
      <c r="I533" s="391" t="str">
        <f t="shared" si="20"/>
        <v/>
      </c>
      <c r="J533" s="392" t="str">
        <f>IF(AND(E533=Data!R538,Data!AA538&lt;&gt;""),Data!AA538,"")</f>
        <v/>
      </c>
      <c r="K533" s="313" t="str">
        <f>IF(AND(E533=Data!R538,Data!AE538&lt;&gt;""),Data!AE538,"")</f>
        <v/>
      </c>
      <c r="L533" s="318">
        <f>IF(E533=Data!R545,Data!AI545,"")</f>
        <v>0</v>
      </c>
      <c r="M533" s="318">
        <f>IF(E533=Data!R545,Data!AJ545,"")</f>
        <v>0</v>
      </c>
      <c r="N533" s="437" t="str">
        <f>IF(AND(Data!R545&lt;&gt;"",Data!L545="Accepté"),Data!K545,"")</f>
        <v/>
      </c>
    </row>
    <row r="534" spans="1:14" hidden="1" x14ac:dyDescent="0.3">
      <c r="A534" s="393" t="str">
        <f>IF(AND(Data!R546&lt;&gt;"",Data!L546="Accepté"),Data!G546,"")</f>
        <v/>
      </c>
      <c r="B534" s="393" t="str">
        <f>IF(AND(Data!R546&lt;&gt;"",Data!L546="Accepté"),Data!L546,"")</f>
        <v/>
      </c>
      <c r="C534" s="391" t="str">
        <f t="shared" si="21"/>
        <v/>
      </c>
      <c r="D534" s="392" t="str">
        <f>IF(AND(Data!Q546&lt;&gt;"",Data!L546="Accepté"),Data!Q546,"")</f>
        <v/>
      </c>
      <c r="E534" s="237" t="str">
        <f>IF(AND(Data!R546&lt;&gt;"",Data!L546="Accepté"),Data!R546,"")</f>
        <v/>
      </c>
      <c r="F534" s="326" t="str">
        <f>IF(AND(Data!R546&lt;&gt;"",Data!L546="Accepté"),Data!S546,"")</f>
        <v/>
      </c>
      <c r="G534" s="322">
        <f>IF(Data!R546='Delivery Plan'!E534,Data!U546,"")</f>
        <v>0</v>
      </c>
      <c r="H534" s="259"/>
      <c r="I534" s="391" t="str">
        <f t="shared" si="20"/>
        <v/>
      </c>
      <c r="J534" s="392" t="str">
        <f>IF(AND(E534=Data!R539,Data!AA539&lt;&gt;""),Data!AA539,"")</f>
        <v/>
      </c>
      <c r="K534" s="313" t="str">
        <f>IF(AND(E534=Data!R539,Data!AE539&lt;&gt;""),Data!AE539,"")</f>
        <v/>
      </c>
      <c r="L534" s="318">
        <f>IF(E534=Data!R546,Data!AI546,"")</f>
        <v>0</v>
      </c>
      <c r="M534" s="318">
        <f>IF(E534=Data!R546,Data!AJ546,"")</f>
        <v>0</v>
      </c>
      <c r="N534" s="437" t="str">
        <f>IF(AND(Data!R546&lt;&gt;"",Data!L546="Accepté"),Data!K546,"")</f>
        <v/>
      </c>
    </row>
    <row r="535" spans="1:14" hidden="1" x14ac:dyDescent="0.3">
      <c r="A535" s="393" t="str">
        <f>IF(AND(Data!R547&lt;&gt;"",Data!L547="Accepté"),Data!G547,"")</f>
        <v/>
      </c>
      <c r="B535" s="393" t="str">
        <f>IF(AND(Data!R547&lt;&gt;"",Data!L547="Accepté"),Data!L547,"")</f>
        <v/>
      </c>
      <c r="C535" s="391" t="str">
        <f t="shared" si="21"/>
        <v/>
      </c>
      <c r="D535" s="392" t="str">
        <f>IF(AND(Data!Q547&lt;&gt;"",Data!L547="Accepté"),Data!Q547,"")</f>
        <v/>
      </c>
      <c r="E535" s="237" t="str">
        <f>IF(AND(Data!R547&lt;&gt;"",Data!L547="Accepté"),Data!R547,"")</f>
        <v/>
      </c>
      <c r="F535" s="326" t="str">
        <f>IF(AND(Data!R547&lt;&gt;"",Data!L547="Accepté"),Data!S547,"")</f>
        <v/>
      </c>
      <c r="G535" s="322">
        <f>IF(Data!R547='Delivery Plan'!E535,Data!U547,"")</f>
        <v>0</v>
      </c>
      <c r="H535" s="259"/>
      <c r="I535" s="391" t="str">
        <f t="shared" si="20"/>
        <v/>
      </c>
      <c r="J535" s="392" t="str">
        <f>IF(AND(E535=Data!R540,Data!AA540&lt;&gt;""),Data!AA540,"")</f>
        <v/>
      </c>
      <c r="K535" s="313" t="str">
        <f>IF(AND(E535=Data!R540,Data!AE540&lt;&gt;""),Data!AE540,"")</f>
        <v/>
      </c>
      <c r="L535" s="318">
        <f>IF(E535=Data!R547,Data!AI547,"")</f>
        <v>0</v>
      </c>
      <c r="M535" s="318">
        <f>IF(E535=Data!R547,Data!AJ547,"")</f>
        <v>0</v>
      </c>
      <c r="N535" s="437" t="str">
        <f>IF(AND(Data!R547&lt;&gt;"",Data!L547="Accepté"),Data!K547,"")</f>
        <v/>
      </c>
    </row>
    <row r="536" spans="1:14" hidden="1" x14ac:dyDescent="0.3">
      <c r="A536" s="393" t="str">
        <f>IF(AND(Data!R548&lt;&gt;"",Data!L548="Accepté"),Data!G548,"")</f>
        <v/>
      </c>
      <c r="B536" s="393" t="str">
        <f>IF(AND(Data!R548&lt;&gt;"",Data!L548="Accepté"),Data!L548,"")</f>
        <v/>
      </c>
      <c r="C536" s="391" t="str">
        <f t="shared" si="21"/>
        <v/>
      </c>
      <c r="D536" s="392" t="str">
        <f>IF(AND(Data!Q548&lt;&gt;"",Data!L548="Accepté"),Data!Q548,"")</f>
        <v/>
      </c>
      <c r="E536" s="237" t="str">
        <f>IF(AND(Data!R548&lt;&gt;"",Data!L548="Accepté"),Data!R548,"")</f>
        <v/>
      </c>
      <c r="F536" s="326" t="str">
        <f>IF(AND(Data!R548&lt;&gt;"",Data!L548="Accepté"),Data!S548,"")</f>
        <v/>
      </c>
      <c r="G536" s="322">
        <f>IF(Data!R548='Delivery Plan'!E536,Data!U548,"")</f>
        <v>0</v>
      </c>
      <c r="H536" s="259"/>
      <c r="I536" s="391" t="str">
        <f t="shared" si="20"/>
        <v/>
      </c>
      <c r="J536" s="392" t="str">
        <f>IF(AND(E536=Data!R541,Data!AA541&lt;&gt;""),Data!AA541,"")</f>
        <v/>
      </c>
      <c r="K536" s="313" t="str">
        <f>IF(AND(E536=Data!R541,Data!AE541&lt;&gt;""),Data!AE541,"")</f>
        <v/>
      </c>
      <c r="L536" s="318">
        <f>IF(E536=Data!R548,Data!AI548,"")</f>
        <v>0</v>
      </c>
      <c r="M536" s="318">
        <f>IF(E536=Data!R548,Data!AJ548,"")</f>
        <v>0</v>
      </c>
      <c r="N536" s="437" t="str">
        <f>IF(AND(Data!R548&lt;&gt;"",Data!L548="Accepté"),Data!K548,"")</f>
        <v/>
      </c>
    </row>
    <row r="537" spans="1:14" hidden="1" x14ac:dyDescent="0.3">
      <c r="A537" s="393" t="str">
        <f>IF(AND(Data!R549&lt;&gt;"",Data!L549="Accepté"),Data!G549,"")</f>
        <v/>
      </c>
      <c r="B537" s="393" t="str">
        <f>IF(AND(Data!R549&lt;&gt;"",Data!L549="Accepté"),Data!L549,"")</f>
        <v/>
      </c>
      <c r="C537" s="391" t="str">
        <f t="shared" si="21"/>
        <v/>
      </c>
      <c r="D537" s="392" t="str">
        <f>IF(AND(Data!Q549&lt;&gt;"",Data!L549="Accepté"),Data!Q549,"")</f>
        <v/>
      </c>
      <c r="E537" s="237" t="str">
        <f>IF(AND(Data!R549&lt;&gt;"",Data!L549="Accepté"),Data!R549,"")</f>
        <v/>
      </c>
      <c r="F537" s="326" t="str">
        <f>IF(AND(Data!R549&lt;&gt;"",Data!L549="Accepté"),Data!S549,"")</f>
        <v/>
      </c>
      <c r="G537" s="322">
        <f>IF(Data!R549='Delivery Plan'!E537,Data!U549,"")</f>
        <v>0</v>
      </c>
      <c r="H537" s="259"/>
      <c r="I537" s="391" t="str">
        <f t="shared" si="20"/>
        <v/>
      </c>
      <c r="J537" s="392" t="str">
        <f>IF(AND(E537=Data!R542,Data!AA542&lt;&gt;""),Data!AA542,"")</f>
        <v/>
      </c>
      <c r="K537" s="313" t="str">
        <f>IF(AND(E537=Data!R542,Data!AE542&lt;&gt;""),Data!AE542,"")</f>
        <v/>
      </c>
      <c r="L537" s="318">
        <f>IF(E537=Data!R549,Data!AI549,"")</f>
        <v>0</v>
      </c>
      <c r="M537" s="318">
        <f>IF(E537=Data!R549,Data!AJ549,"")</f>
        <v>0</v>
      </c>
      <c r="N537" s="437" t="str">
        <f>IF(AND(Data!R549&lt;&gt;"",Data!L549="Accepté"),Data!K549,"")</f>
        <v/>
      </c>
    </row>
    <row r="538" spans="1:14" hidden="1" x14ac:dyDescent="0.3">
      <c r="A538" s="393" t="str">
        <f>IF(AND(Data!R550&lt;&gt;"",Data!L550="Accepté"),Data!G550,"")</f>
        <v/>
      </c>
      <c r="B538" s="393" t="str">
        <f>IF(AND(Data!R550&lt;&gt;"",Data!L550="Accepté"),Data!L550,"")</f>
        <v/>
      </c>
      <c r="C538" s="391" t="str">
        <f t="shared" si="21"/>
        <v/>
      </c>
      <c r="D538" s="392" t="str">
        <f>IF(AND(Data!Q550&lt;&gt;"",Data!L550="Accepté"),Data!Q550,"")</f>
        <v/>
      </c>
      <c r="E538" s="237" t="str">
        <f>IF(AND(Data!R550&lt;&gt;"",Data!L550="Accepté"),Data!R550,"")</f>
        <v/>
      </c>
      <c r="F538" s="326" t="str">
        <f>IF(AND(Data!R550&lt;&gt;"",Data!L550="Accepté"),Data!S550,"")</f>
        <v/>
      </c>
      <c r="G538" s="322">
        <f>IF(Data!R550='Delivery Plan'!E538,Data!U550,"")</f>
        <v>0</v>
      </c>
      <c r="H538" s="259"/>
      <c r="I538" s="391" t="str">
        <f t="shared" si="20"/>
        <v/>
      </c>
      <c r="J538" s="392" t="str">
        <f>IF(AND(E538=Data!R543,Data!AA543&lt;&gt;""),Data!AA543,"")</f>
        <v/>
      </c>
      <c r="K538" s="313" t="str">
        <f>IF(AND(E538=Data!R543,Data!AE543&lt;&gt;""),Data!AE543,"")</f>
        <v/>
      </c>
      <c r="L538" s="318">
        <f>IF(E538=Data!R550,Data!AI550,"")</f>
        <v>0</v>
      </c>
      <c r="M538" s="318">
        <f>IF(E538=Data!R550,Data!AJ550,"")</f>
        <v>0</v>
      </c>
      <c r="N538" s="437" t="str">
        <f>IF(AND(Data!R550&lt;&gt;"",Data!L550="Accepté"),Data!K550,"")</f>
        <v/>
      </c>
    </row>
    <row r="539" spans="1:14" hidden="1" x14ac:dyDescent="0.3">
      <c r="A539" s="393" t="str">
        <f>IF(AND(Data!R551&lt;&gt;"",Data!L551="Accepté"),Data!G551,"")</f>
        <v/>
      </c>
      <c r="B539" s="393" t="str">
        <f>IF(AND(Data!R551&lt;&gt;"",Data!L551="Accepté"),Data!L551,"")</f>
        <v/>
      </c>
      <c r="C539" s="391" t="str">
        <f t="shared" si="21"/>
        <v/>
      </c>
      <c r="D539" s="392" t="str">
        <f>IF(AND(Data!Q551&lt;&gt;"",Data!L551="Accepté"),Data!Q551,"")</f>
        <v/>
      </c>
      <c r="E539" s="237" t="str">
        <f>IF(AND(Data!R551&lt;&gt;"",Data!L551="Accepté"),Data!R551,"")</f>
        <v/>
      </c>
      <c r="F539" s="326" t="str">
        <f>IF(AND(Data!R551&lt;&gt;"",Data!L551="Accepté"),Data!S551,"")</f>
        <v/>
      </c>
      <c r="G539" s="322">
        <f>IF(Data!R551='Delivery Plan'!E539,Data!U551,"")</f>
        <v>0</v>
      </c>
      <c r="H539" s="259"/>
      <c r="I539" s="391" t="str">
        <f t="shared" si="20"/>
        <v/>
      </c>
      <c r="J539" s="392" t="str">
        <f>IF(AND(E539=Data!R544,Data!AA544&lt;&gt;""),Data!AA544,"")</f>
        <v/>
      </c>
      <c r="K539" s="313" t="str">
        <f>IF(AND(E539=Data!R544,Data!AE544&lt;&gt;""),Data!AE544,"")</f>
        <v/>
      </c>
      <c r="L539" s="318">
        <f>IF(E539=Data!R551,Data!AI551,"")</f>
        <v>0</v>
      </c>
      <c r="M539" s="318">
        <f>IF(E539=Data!R551,Data!AJ551,"")</f>
        <v>0</v>
      </c>
      <c r="N539" s="437" t="str">
        <f>IF(AND(Data!R551&lt;&gt;"",Data!L551="Accepté"),Data!K551,"")</f>
        <v/>
      </c>
    </row>
    <row r="540" spans="1:14" hidden="1" x14ac:dyDescent="0.3">
      <c r="A540" s="393" t="str">
        <f>IF(AND(Data!R552&lt;&gt;"",Data!L552="Accepté"),Data!G552,"")</f>
        <v/>
      </c>
      <c r="B540" s="393" t="str">
        <f>IF(AND(Data!R552&lt;&gt;"",Data!L552="Accepté"),Data!L552,"")</f>
        <v/>
      </c>
      <c r="C540" s="391" t="str">
        <f t="shared" si="21"/>
        <v/>
      </c>
      <c r="D540" s="392" t="str">
        <f>IF(AND(Data!Q552&lt;&gt;"",Data!L552="Accepté"),Data!Q552,"")</f>
        <v/>
      </c>
      <c r="E540" s="237" t="str">
        <f>IF(AND(Data!R552&lt;&gt;"",Data!L552="Accepté"),Data!R552,"")</f>
        <v/>
      </c>
      <c r="F540" s="326" t="str">
        <f>IF(AND(Data!R552&lt;&gt;"",Data!L552="Accepté"),Data!S552,"")</f>
        <v/>
      </c>
      <c r="G540" s="322">
        <f>IF(Data!R552='Delivery Plan'!E540,Data!U552,"")</f>
        <v>0</v>
      </c>
      <c r="H540" s="259"/>
      <c r="I540" s="391" t="str">
        <f t="shared" si="20"/>
        <v/>
      </c>
      <c r="J540" s="392" t="str">
        <f>IF(AND(E540=Data!R545,Data!AA545&lt;&gt;""),Data!AA545,"")</f>
        <v/>
      </c>
      <c r="K540" s="313" t="str">
        <f>IF(AND(E540=Data!R545,Data!AE545&lt;&gt;""),Data!AE545,"")</f>
        <v/>
      </c>
      <c r="L540" s="318">
        <f>IF(E540=Data!R552,Data!AI552,"")</f>
        <v>0</v>
      </c>
      <c r="M540" s="318">
        <f>IF(E540=Data!R552,Data!AJ552,"")</f>
        <v>0</v>
      </c>
      <c r="N540" s="437" t="str">
        <f>IF(AND(Data!R552&lt;&gt;"",Data!L552="Accepté"),Data!K552,"")</f>
        <v/>
      </c>
    </row>
    <row r="541" spans="1:14" hidden="1" x14ac:dyDescent="0.3">
      <c r="A541" s="393" t="str">
        <f>IF(AND(Data!R553&lt;&gt;"",Data!L553="Accepté"),Data!G553,"")</f>
        <v/>
      </c>
      <c r="B541" s="393" t="str">
        <f>IF(AND(Data!R553&lt;&gt;"",Data!L553="Accepté"),Data!L553,"")</f>
        <v/>
      </c>
      <c r="C541" s="391" t="str">
        <f t="shared" si="21"/>
        <v/>
      </c>
      <c r="D541" s="392" t="str">
        <f>IF(AND(Data!Q553&lt;&gt;"",Data!L553="Accepté"),Data!Q553,"")</f>
        <v/>
      </c>
      <c r="E541" s="237" t="str">
        <f>IF(AND(Data!R553&lt;&gt;"",Data!L553="Accepté"),Data!R553,"")</f>
        <v/>
      </c>
      <c r="F541" s="326" t="str">
        <f>IF(AND(Data!R553&lt;&gt;"",Data!L553="Accepté"),Data!S553,"")</f>
        <v/>
      </c>
      <c r="G541" s="322">
        <f>IF(Data!R553='Delivery Plan'!E541,Data!U553,"")</f>
        <v>0</v>
      </c>
      <c r="H541" s="259"/>
      <c r="I541" s="391" t="str">
        <f t="shared" si="20"/>
        <v/>
      </c>
      <c r="J541" s="392" t="str">
        <f>IF(AND(E541=Data!R546,Data!AA546&lt;&gt;""),Data!AA546,"")</f>
        <v/>
      </c>
      <c r="K541" s="313" t="str">
        <f>IF(AND(E541=Data!R546,Data!AE546&lt;&gt;""),Data!AE546,"")</f>
        <v/>
      </c>
      <c r="L541" s="318">
        <f>IF(E541=Data!R553,Data!AI553,"")</f>
        <v>0</v>
      </c>
      <c r="M541" s="318">
        <f>IF(E541=Data!R553,Data!AJ553,"")</f>
        <v>0</v>
      </c>
      <c r="N541" s="437" t="str">
        <f>IF(AND(Data!R553&lt;&gt;"",Data!L553="Accepté"),Data!K553,"")</f>
        <v/>
      </c>
    </row>
    <row r="542" spans="1:14" hidden="1" x14ac:dyDescent="0.3">
      <c r="A542" s="393" t="str">
        <f>IF(AND(Data!R554&lt;&gt;"",Data!L554="Accepté"),Data!G554,"")</f>
        <v/>
      </c>
      <c r="B542" s="393" t="str">
        <f>IF(AND(Data!R554&lt;&gt;"",Data!L554="Accepté"),Data!L554,"")</f>
        <v/>
      </c>
      <c r="C542" s="391" t="str">
        <f t="shared" si="21"/>
        <v/>
      </c>
      <c r="D542" s="392" t="str">
        <f>IF(AND(Data!Q554&lt;&gt;"",Data!L554="Accepté"),Data!Q554,"")</f>
        <v/>
      </c>
      <c r="E542" s="237" t="str">
        <f>IF(AND(Data!R554&lt;&gt;"",Data!L554="Accepté"),Data!R554,"")</f>
        <v/>
      </c>
      <c r="F542" s="326" t="str">
        <f>IF(AND(Data!R554&lt;&gt;"",Data!L554="Accepté"),Data!S554,"")</f>
        <v/>
      </c>
      <c r="G542" s="322">
        <f>IF(Data!R554='Delivery Plan'!E542,Data!U554,"")</f>
        <v>0</v>
      </c>
      <c r="H542" s="259"/>
      <c r="I542" s="391" t="str">
        <f t="shared" si="20"/>
        <v/>
      </c>
      <c r="J542" s="392" t="str">
        <f>IF(AND(E542=Data!R547,Data!AA547&lt;&gt;""),Data!AA547,"")</f>
        <v/>
      </c>
      <c r="K542" s="313" t="str">
        <f>IF(AND(E542=Data!R547,Data!AE547&lt;&gt;""),Data!AE547,"")</f>
        <v/>
      </c>
      <c r="L542" s="318">
        <f>IF(E542=Data!R554,Data!AI554,"")</f>
        <v>0</v>
      </c>
      <c r="M542" s="318">
        <f>IF(E542=Data!R554,Data!AJ554,"")</f>
        <v>0</v>
      </c>
      <c r="N542" s="437" t="str">
        <f>IF(AND(Data!R554&lt;&gt;"",Data!L554="Accepté"),Data!K554,"")</f>
        <v/>
      </c>
    </row>
    <row r="543" spans="1:14" hidden="1" x14ac:dyDescent="0.3">
      <c r="A543" s="393" t="str">
        <f>IF(AND(Data!R555&lt;&gt;"",Data!L555="Accepté"),Data!G555,"")</f>
        <v/>
      </c>
      <c r="B543" s="393" t="str">
        <f>IF(AND(Data!R555&lt;&gt;"",Data!L555="Accepté"),Data!L555,"")</f>
        <v/>
      </c>
      <c r="C543" s="391" t="str">
        <f t="shared" si="21"/>
        <v/>
      </c>
      <c r="D543" s="392" t="str">
        <f>IF(AND(Data!Q555&lt;&gt;"",Data!L555="Accepté"),Data!Q555,"")</f>
        <v/>
      </c>
      <c r="E543" s="237" t="str">
        <f>IF(AND(Data!R555&lt;&gt;"",Data!L555="Accepté"),Data!R555,"")</f>
        <v/>
      </c>
      <c r="F543" s="326" t="str">
        <f>IF(AND(Data!R555&lt;&gt;"",Data!L555="Accepté"),Data!S555,"")</f>
        <v/>
      </c>
      <c r="G543" s="322">
        <f>IF(Data!R555='Delivery Plan'!E543,Data!U555,"")</f>
        <v>0</v>
      </c>
      <c r="H543" s="259"/>
      <c r="I543" s="391" t="str">
        <f t="shared" si="20"/>
        <v/>
      </c>
      <c r="J543" s="392" t="str">
        <f>IF(AND(E543=Data!R548,Data!AA548&lt;&gt;""),Data!AA548,"")</f>
        <v/>
      </c>
      <c r="K543" s="313" t="str">
        <f>IF(AND(E543=Data!R548,Data!AE548&lt;&gt;""),Data!AE548,"")</f>
        <v/>
      </c>
      <c r="L543" s="318">
        <f>IF(E543=Data!R555,Data!AI555,"")</f>
        <v>0</v>
      </c>
      <c r="M543" s="318">
        <f>IF(E543=Data!R555,Data!AJ555,"")</f>
        <v>0</v>
      </c>
      <c r="N543" s="437" t="str">
        <f>IF(AND(Data!R555&lt;&gt;"",Data!L555="Accepté"),Data!K555,"")</f>
        <v/>
      </c>
    </row>
    <row r="544" spans="1:14" hidden="1" x14ac:dyDescent="0.3">
      <c r="A544" s="393" t="str">
        <f>IF(AND(Data!R556&lt;&gt;"",Data!L556="Accepté"),Data!G556,"")</f>
        <v/>
      </c>
      <c r="B544" s="393" t="str">
        <f>IF(AND(Data!R556&lt;&gt;"",Data!L556="Accepté"),Data!L556,"")</f>
        <v/>
      </c>
      <c r="C544" s="391" t="str">
        <f t="shared" si="21"/>
        <v/>
      </c>
      <c r="D544" s="392" t="str">
        <f>IF(AND(Data!Q556&lt;&gt;"",Data!L556="Accepté"),Data!Q556,"")</f>
        <v/>
      </c>
      <c r="E544" s="237" t="str">
        <f>IF(AND(Data!R556&lt;&gt;"",Data!L556="Accepté"),Data!R556,"")</f>
        <v/>
      </c>
      <c r="F544" s="326" t="str">
        <f>IF(AND(Data!R556&lt;&gt;"",Data!L556="Accepté"),Data!S556,"")</f>
        <v/>
      </c>
      <c r="G544" s="322">
        <f>IF(Data!R556='Delivery Plan'!E544,Data!U556,"")</f>
        <v>0</v>
      </c>
      <c r="H544" s="259"/>
      <c r="I544" s="391" t="str">
        <f t="shared" si="20"/>
        <v/>
      </c>
      <c r="J544" s="392" t="str">
        <f>IF(AND(E544=Data!R549,Data!AA549&lt;&gt;""),Data!AA549,"")</f>
        <v/>
      </c>
      <c r="K544" s="313" t="str">
        <f>IF(AND(E544=Data!R549,Data!AE549&lt;&gt;""),Data!AE549,"")</f>
        <v/>
      </c>
      <c r="L544" s="318">
        <f>IF(E544=Data!R556,Data!AI556,"")</f>
        <v>0</v>
      </c>
      <c r="M544" s="318">
        <f>IF(E544=Data!R556,Data!AJ556,"")</f>
        <v>0</v>
      </c>
      <c r="N544" s="437" t="str">
        <f>IF(AND(Data!R556&lt;&gt;"",Data!L556="Accepté"),Data!K556,"")</f>
        <v/>
      </c>
    </row>
    <row r="545" spans="1:14" hidden="1" x14ac:dyDescent="0.3">
      <c r="A545" s="393" t="str">
        <f>IF(AND(Data!R557&lt;&gt;"",Data!L557="Accepté"),Data!G557,"")</f>
        <v/>
      </c>
      <c r="B545" s="393" t="str">
        <f>IF(AND(Data!R557&lt;&gt;"",Data!L557="Accepté"),Data!L557,"")</f>
        <v/>
      </c>
      <c r="C545" s="391" t="str">
        <f t="shared" si="21"/>
        <v/>
      </c>
      <c r="D545" s="392" t="str">
        <f>IF(AND(Data!Q557&lt;&gt;"",Data!L557="Accepté"),Data!Q557,"")</f>
        <v/>
      </c>
      <c r="E545" s="237" t="str">
        <f>IF(AND(Data!R557&lt;&gt;"",Data!L557="Accepté"),Data!R557,"")</f>
        <v/>
      </c>
      <c r="F545" s="326" t="str">
        <f>IF(AND(Data!R557&lt;&gt;"",Data!L557="Accepté"),Data!S557,"")</f>
        <v/>
      </c>
      <c r="G545" s="322">
        <f>IF(Data!R557='Delivery Plan'!E545,Data!U557,"")</f>
        <v>0</v>
      </c>
      <c r="H545" s="259"/>
      <c r="I545" s="391" t="str">
        <f t="shared" si="20"/>
        <v/>
      </c>
      <c r="J545" s="392" t="str">
        <f>IF(AND(E545=Data!R550,Data!AA550&lt;&gt;""),Data!AA550,"")</f>
        <v/>
      </c>
      <c r="K545" s="313" t="str">
        <f>IF(AND(E545=Data!R550,Data!AE550&lt;&gt;""),Data!AE550,"")</f>
        <v/>
      </c>
      <c r="L545" s="318">
        <f>IF(E545=Data!R557,Data!AI557,"")</f>
        <v>0</v>
      </c>
      <c r="M545" s="318">
        <f>IF(E545=Data!R557,Data!AJ557,"")</f>
        <v>0</v>
      </c>
      <c r="N545" s="437" t="str">
        <f>IF(AND(Data!R557&lt;&gt;"",Data!L557="Accepté"),Data!K557,"")</f>
        <v/>
      </c>
    </row>
    <row r="546" spans="1:14" hidden="1" x14ac:dyDescent="0.3">
      <c r="A546" s="393" t="str">
        <f>IF(AND(Data!R558&lt;&gt;"",Data!L558="Accepté"),Data!G558,"")</f>
        <v/>
      </c>
      <c r="B546" s="393" t="str">
        <f>IF(AND(Data!R558&lt;&gt;"",Data!L558="Accepté"),Data!L558,"")</f>
        <v/>
      </c>
      <c r="C546" s="391" t="str">
        <f t="shared" si="21"/>
        <v/>
      </c>
      <c r="D546" s="392" t="str">
        <f>IF(AND(Data!Q558&lt;&gt;"",Data!L558="Accepté"),Data!Q558,"")</f>
        <v/>
      </c>
      <c r="E546" s="237" t="str">
        <f>IF(AND(Data!R558&lt;&gt;"",Data!L558="Accepté"),Data!R558,"")</f>
        <v/>
      </c>
      <c r="F546" s="326" t="str">
        <f>IF(AND(Data!R558&lt;&gt;"",Data!L558="Accepté"),Data!S558,"")</f>
        <v/>
      </c>
      <c r="G546" s="322">
        <f>IF(Data!R558='Delivery Plan'!E546,Data!U558,"")</f>
        <v>0</v>
      </c>
      <c r="H546" s="259"/>
      <c r="I546" s="391" t="str">
        <f t="shared" si="20"/>
        <v/>
      </c>
      <c r="J546" s="392" t="str">
        <f>IF(AND(E546=Data!R551,Data!AA551&lt;&gt;""),Data!AA551,"")</f>
        <v/>
      </c>
      <c r="K546" s="313" t="str">
        <f>IF(AND(E546=Data!R551,Data!AE551&lt;&gt;""),Data!AE551,"")</f>
        <v/>
      </c>
      <c r="L546" s="318">
        <f>IF(E546=Data!R558,Data!AI558,"")</f>
        <v>0</v>
      </c>
      <c r="M546" s="318">
        <f>IF(E546=Data!R558,Data!AJ558,"")</f>
        <v>0</v>
      </c>
      <c r="N546" s="437" t="str">
        <f>IF(AND(Data!R558&lt;&gt;"",Data!L558="Accepté"),Data!K558,"")</f>
        <v/>
      </c>
    </row>
    <row r="547" spans="1:14" hidden="1" x14ac:dyDescent="0.3">
      <c r="A547" s="393" t="str">
        <f>IF(AND(Data!R559&lt;&gt;"",Data!L559="Accepté"),Data!G559,"")</f>
        <v/>
      </c>
      <c r="B547" s="393" t="str">
        <f>IF(AND(Data!R559&lt;&gt;"",Data!L559="Accepté"),Data!L559,"")</f>
        <v/>
      </c>
      <c r="C547" s="391" t="str">
        <f t="shared" si="21"/>
        <v/>
      </c>
      <c r="D547" s="392" t="str">
        <f>IF(AND(Data!Q559&lt;&gt;"",Data!L559="Accepté"),Data!Q559,"")</f>
        <v/>
      </c>
      <c r="E547" s="237" t="str">
        <f>IF(AND(Data!R559&lt;&gt;"",Data!L559="Accepté"),Data!R559,"")</f>
        <v/>
      </c>
      <c r="F547" s="326" t="str">
        <f>IF(AND(Data!R559&lt;&gt;"",Data!L559="Accepté"),Data!S559,"")</f>
        <v/>
      </c>
      <c r="G547" s="322">
        <f>IF(Data!R559='Delivery Plan'!E547,Data!U559,"")</f>
        <v>0</v>
      </c>
      <c r="H547" s="259"/>
      <c r="I547" s="391" t="str">
        <f t="shared" si="20"/>
        <v/>
      </c>
      <c r="J547" s="392" t="str">
        <f>IF(AND(E547=Data!R552,Data!AA552&lt;&gt;""),Data!AA552,"")</f>
        <v/>
      </c>
      <c r="K547" s="313" t="str">
        <f>IF(AND(E547=Data!R552,Data!AE552&lt;&gt;""),Data!AE552,"")</f>
        <v/>
      </c>
      <c r="L547" s="318">
        <f>IF(E547=Data!R559,Data!AI559,"")</f>
        <v>0</v>
      </c>
      <c r="M547" s="318">
        <f>IF(E547=Data!R559,Data!AJ559,"")</f>
        <v>0</v>
      </c>
      <c r="N547" s="437" t="str">
        <f>IF(AND(Data!R559&lt;&gt;"",Data!L559="Accepté"),Data!K559,"")</f>
        <v/>
      </c>
    </row>
    <row r="548" spans="1:14" hidden="1" x14ac:dyDescent="0.3">
      <c r="A548" s="393" t="str">
        <f>IF(AND(Data!R560&lt;&gt;"",Data!L560="Accepté"),Data!G560,"")</f>
        <v/>
      </c>
      <c r="B548" s="393" t="str">
        <f>IF(AND(Data!R560&lt;&gt;"",Data!L560="Accepté"),Data!L560,"")</f>
        <v/>
      </c>
      <c r="C548" s="391" t="str">
        <f t="shared" si="21"/>
        <v/>
      </c>
      <c r="D548" s="392" t="str">
        <f>IF(AND(Data!Q560&lt;&gt;"",Data!L560="Accepté"),Data!Q560,"")</f>
        <v/>
      </c>
      <c r="E548" s="237" t="str">
        <f>IF(AND(Data!R560&lt;&gt;"",Data!L560="Accepté"),Data!R560,"")</f>
        <v/>
      </c>
      <c r="F548" s="326" t="str">
        <f>IF(AND(Data!R560&lt;&gt;"",Data!L560="Accepté"),Data!S560,"")</f>
        <v/>
      </c>
      <c r="G548" s="322">
        <f>IF(Data!R560='Delivery Plan'!E548,Data!U560,"")</f>
        <v>0</v>
      </c>
      <c r="H548" s="259"/>
      <c r="I548" s="391" t="str">
        <f t="shared" si="20"/>
        <v/>
      </c>
      <c r="J548" s="392" t="str">
        <f>IF(AND(E548=Data!R553,Data!AA553&lt;&gt;""),Data!AA553,"")</f>
        <v/>
      </c>
      <c r="K548" s="313" t="str">
        <f>IF(AND(E548=Data!R553,Data!AE553&lt;&gt;""),Data!AE553,"")</f>
        <v/>
      </c>
      <c r="L548" s="318">
        <f>IF(E548=Data!R560,Data!AI560,"")</f>
        <v>0</v>
      </c>
      <c r="M548" s="318">
        <f>IF(E548=Data!R560,Data!AJ560,"")</f>
        <v>0</v>
      </c>
      <c r="N548" s="437" t="str">
        <f>IF(AND(Data!R560&lt;&gt;"",Data!L560="Accepté"),Data!K560,"")</f>
        <v/>
      </c>
    </row>
    <row r="549" spans="1:14" hidden="1" x14ac:dyDescent="0.3">
      <c r="A549" s="393" t="str">
        <f>IF(AND(Data!R561&lt;&gt;"",Data!L561="Accepté"),Data!G561,"")</f>
        <v/>
      </c>
      <c r="B549" s="393" t="str">
        <f>IF(AND(Data!R561&lt;&gt;"",Data!L561="Accepté"),Data!L561,"")</f>
        <v/>
      </c>
      <c r="C549" s="391" t="str">
        <f t="shared" si="21"/>
        <v/>
      </c>
      <c r="D549" s="392" t="str">
        <f>IF(AND(Data!Q561&lt;&gt;"",Data!L561="Accepté"),Data!Q561,"")</f>
        <v/>
      </c>
      <c r="E549" s="237" t="str">
        <f>IF(AND(Data!R561&lt;&gt;"",Data!L561="Accepté"),Data!R561,"")</f>
        <v/>
      </c>
      <c r="F549" s="326" t="str">
        <f>IF(AND(Data!R561&lt;&gt;"",Data!L561="Accepté"),Data!S561,"")</f>
        <v/>
      </c>
      <c r="G549" s="322">
        <f>IF(Data!R561='Delivery Plan'!E549,Data!U561,"")</f>
        <v>0</v>
      </c>
      <c r="H549" s="259"/>
      <c r="I549" s="391" t="str">
        <f t="shared" si="20"/>
        <v/>
      </c>
      <c r="J549" s="392" t="str">
        <f>IF(AND(E549=Data!R554,Data!AA554&lt;&gt;""),Data!AA554,"")</f>
        <v/>
      </c>
      <c r="K549" s="313" t="str">
        <f>IF(AND(E549=Data!R554,Data!AE554&lt;&gt;""),Data!AE554,"")</f>
        <v/>
      </c>
      <c r="L549" s="318">
        <f>IF(E549=Data!R561,Data!AI561,"")</f>
        <v>0</v>
      </c>
      <c r="M549" s="318">
        <f>IF(E549=Data!R561,Data!AJ561,"")</f>
        <v>0</v>
      </c>
      <c r="N549" s="437" t="str">
        <f>IF(AND(Data!R561&lt;&gt;"",Data!L561="Accepté"),Data!K561,"")</f>
        <v/>
      </c>
    </row>
    <row r="550" spans="1:14" hidden="1" x14ac:dyDescent="0.3">
      <c r="A550" s="393" t="str">
        <f>IF(AND(Data!R562&lt;&gt;"",Data!L562="Accepté"),Data!G562,"")</f>
        <v/>
      </c>
      <c r="B550" s="393" t="str">
        <f>IF(AND(Data!R562&lt;&gt;"",Data!L562="Accepté"),Data!L562,"")</f>
        <v/>
      </c>
      <c r="C550" s="391" t="str">
        <f t="shared" si="21"/>
        <v/>
      </c>
      <c r="D550" s="392" t="str">
        <f>IF(AND(Data!Q562&lt;&gt;"",Data!L562="Accepté"),Data!Q562,"")</f>
        <v/>
      </c>
      <c r="E550" s="237" t="str">
        <f>IF(AND(Data!R562&lt;&gt;"",Data!L562="Accepté"),Data!R562,"")</f>
        <v/>
      </c>
      <c r="F550" s="326" t="str">
        <f>IF(AND(Data!R562&lt;&gt;"",Data!L562="Accepté"),Data!S562,"")</f>
        <v/>
      </c>
      <c r="G550" s="322">
        <f>IF(Data!R562='Delivery Plan'!E550,Data!U562,"")</f>
        <v>0</v>
      </c>
      <c r="H550" s="259"/>
      <c r="I550" s="391" t="str">
        <f t="shared" si="20"/>
        <v/>
      </c>
      <c r="J550" s="392" t="str">
        <f>IF(AND(E550=Data!R555,Data!AA555&lt;&gt;""),Data!AA555,"")</f>
        <v/>
      </c>
      <c r="K550" s="313" t="str">
        <f>IF(AND(E550=Data!R555,Data!AE555&lt;&gt;""),Data!AE555,"")</f>
        <v/>
      </c>
      <c r="L550" s="318">
        <f>IF(E550=Data!R562,Data!AI562,"")</f>
        <v>0</v>
      </c>
      <c r="M550" s="318">
        <f>IF(E550=Data!R562,Data!AJ562,"")</f>
        <v>0</v>
      </c>
      <c r="N550" s="437" t="str">
        <f>IF(AND(Data!R562&lt;&gt;"",Data!L562="Accepté"),Data!K562,"")</f>
        <v/>
      </c>
    </row>
    <row r="551" spans="1:14" hidden="1" x14ac:dyDescent="0.3">
      <c r="A551" s="393" t="str">
        <f>IF(AND(Data!R563&lt;&gt;"",Data!L563="Accepté"),Data!G563,"")</f>
        <v/>
      </c>
      <c r="B551" s="393" t="str">
        <f>IF(AND(Data!R563&lt;&gt;"",Data!L563="Accepté"),Data!L563,"")</f>
        <v/>
      </c>
      <c r="C551" s="391" t="str">
        <f t="shared" si="21"/>
        <v/>
      </c>
      <c r="D551" s="392" t="str">
        <f>IF(AND(Data!Q563&lt;&gt;"",Data!L563="Accepté"),Data!Q563,"")</f>
        <v/>
      </c>
      <c r="E551" s="237" t="str">
        <f>IF(AND(Data!R563&lt;&gt;"",Data!L563="Accepté"),Data!R563,"")</f>
        <v/>
      </c>
      <c r="F551" s="326" t="str">
        <f>IF(AND(Data!R563&lt;&gt;"",Data!L563="Accepté"),Data!S563,"")</f>
        <v/>
      </c>
      <c r="G551" s="322">
        <f>IF(Data!R563='Delivery Plan'!E551,Data!U563,"")</f>
        <v>0</v>
      </c>
      <c r="H551" s="259"/>
      <c r="I551" s="391" t="str">
        <f t="shared" si="20"/>
        <v/>
      </c>
      <c r="J551" s="392" t="str">
        <f>IF(AND(E551=Data!R556,Data!AA556&lt;&gt;""),Data!AA556,"")</f>
        <v/>
      </c>
      <c r="K551" s="313" t="str">
        <f>IF(AND(E551=Data!R556,Data!AE556&lt;&gt;""),Data!AE556,"")</f>
        <v/>
      </c>
      <c r="L551" s="318">
        <f>IF(E551=Data!R563,Data!AI563,"")</f>
        <v>0</v>
      </c>
      <c r="M551" s="318">
        <f>IF(E551=Data!R563,Data!AJ563,"")</f>
        <v>0</v>
      </c>
      <c r="N551" s="437" t="str">
        <f>IF(AND(Data!R563&lt;&gt;"",Data!L563="Accepté"),Data!K563,"")</f>
        <v/>
      </c>
    </row>
    <row r="552" spans="1:14" hidden="1" x14ac:dyDescent="0.3">
      <c r="A552" s="393" t="str">
        <f>IF(AND(Data!R564&lt;&gt;"",Data!L564="Accepté"),Data!G564,"")</f>
        <v/>
      </c>
      <c r="B552" s="393" t="str">
        <f>IF(AND(Data!R564&lt;&gt;"",Data!L564="Accepté"),Data!L564,"")</f>
        <v/>
      </c>
      <c r="C552" s="391" t="str">
        <f t="shared" si="21"/>
        <v/>
      </c>
      <c r="D552" s="392" t="str">
        <f>IF(AND(Data!Q564&lt;&gt;"",Data!L564="Accepté"),Data!Q564,"")</f>
        <v/>
      </c>
      <c r="E552" s="237" t="str">
        <f>IF(AND(Data!R564&lt;&gt;"",Data!L564="Accepté"),Data!R564,"")</f>
        <v/>
      </c>
      <c r="F552" s="326" t="str">
        <f>IF(AND(Data!R564&lt;&gt;"",Data!L564="Accepté"),Data!S564,"")</f>
        <v/>
      </c>
      <c r="G552" s="322">
        <f>IF(Data!R564='Delivery Plan'!E552,Data!U564,"")</f>
        <v>0</v>
      </c>
      <c r="H552" s="259"/>
      <c r="I552" s="391" t="str">
        <f t="shared" si="20"/>
        <v/>
      </c>
      <c r="J552" s="392" t="str">
        <f>IF(AND(E552=Data!R557,Data!AA557&lt;&gt;""),Data!AA557,"")</f>
        <v/>
      </c>
      <c r="K552" s="313" t="str">
        <f>IF(AND(E552=Data!R557,Data!AE557&lt;&gt;""),Data!AE557,"")</f>
        <v/>
      </c>
      <c r="L552" s="318">
        <f>IF(E552=Data!R564,Data!AI564,"")</f>
        <v>0</v>
      </c>
      <c r="M552" s="318">
        <f>IF(E552=Data!R564,Data!AJ564,"")</f>
        <v>0</v>
      </c>
      <c r="N552" s="437" t="str">
        <f>IF(AND(Data!R564&lt;&gt;"",Data!L564="Accepté"),Data!K564,"")</f>
        <v/>
      </c>
    </row>
    <row r="553" spans="1:14" hidden="1" x14ac:dyDescent="0.3">
      <c r="A553" s="393" t="str">
        <f>IF(AND(Data!R565&lt;&gt;"",Data!L565="Accepté"),Data!G565,"")</f>
        <v/>
      </c>
      <c r="B553" s="393" t="str">
        <f>IF(AND(Data!R565&lt;&gt;"",Data!L565="Accepté"),Data!L565,"")</f>
        <v/>
      </c>
      <c r="C553" s="391" t="str">
        <f t="shared" si="21"/>
        <v/>
      </c>
      <c r="D553" s="392" t="str">
        <f>IF(AND(Data!Q565&lt;&gt;"",Data!L565="Accepté"),Data!Q565,"")</f>
        <v/>
      </c>
      <c r="E553" s="237" t="str">
        <f>IF(AND(Data!R565&lt;&gt;"",Data!L565="Accepté"),Data!R565,"")</f>
        <v/>
      </c>
      <c r="F553" s="326" t="str">
        <f>IF(AND(Data!R565&lt;&gt;"",Data!L565="Accepté"),Data!S565,"")</f>
        <v/>
      </c>
      <c r="G553" s="322">
        <f>IF(Data!R565='Delivery Plan'!E553,Data!U565,"")</f>
        <v>0</v>
      </c>
      <c r="H553" s="259"/>
      <c r="I553" s="391" t="str">
        <f t="shared" si="20"/>
        <v/>
      </c>
      <c r="J553" s="392" t="str">
        <f>IF(AND(E553=Data!R558,Data!AA558&lt;&gt;""),Data!AA558,"")</f>
        <v/>
      </c>
      <c r="K553" s="313" t="str">
        <f>IF(AND(E553=Data!R558,Data!AE558&lt;&gt;""),Data!AE558,"")</f>
        <v/>
      </c>
      <c r="L553" s="318">
        <f>IF(E553=Data!R565,Data!AI565,"")</f>
        <v>0</v>
      </c>
      <c r="M553" s="318">
        <f>IF(E553=Data!R565,Data!AJ565,"")</f>
        <v>0</v>
      </c>
      <c r="N553" s="437" t="str">
        <f>IF(AND(Data!R565&lt;&gt;"",Data!L565="Accepté"),Data!K565,"")</f>
        <v/>
      </c>
    </row>
    <row r="554" spans="1:14" hidden="1" x14ac:dyDescent="0.3">
      <c r="A554" s="393" t="str">
        <f>IF(AND(Data!R566&lt;&gt;"",Data!L566="Accepté"),Data!G566,"")</f>
        <v/>
      </c>
      <c r="B554" s="393" t="str">
        <f>IF(AND(Data!R566&lt;&gt;"",Data!L566="Accepté"),Data!L566,"")</f>
        <v/>
      </c>
      <c r="C554" s="391" t="str">
        <f t="shared" si="21"/>
        <v/>
      </c>
      <c r="D554" s="392" t="str">
        <f>IF(AND(Data!Q566&lt;&gt;"",Data!L566="Accepté"),Data!Q566,"")</f>
        <v/>
      </c>
      <c r="E554" s="237" t="str">
        <f>IF(AND(Data!R566&lt;&gt;"",Data!L566="Accepté"),Data!R566,"")</f>
        <v/>
      </c>
      <c r="F554" s="326" t="str">
        <f>IF(AND(Data!R566&lt;&gt;"",Data!L566="Accepté"),Data!S566,"")</f>
        <v/>
      </c>
      <c r="G554" s="322">
        <f>IF(Data!R566='Delivery Plan'!E554,Data!U566,"")</f>
        <v>0</v>
      </c>
      <c r="H554" s="259"/>
      <c r="I554" s="391" t="str">
        <f t="shared" si="20"/>
        <v/>
      </c>
      <c r="J554" s="392" t="str">
        <f>IF(AND(E554=Data!R559,Data!AA559&lt;&gt;""),Data!AA559,"")</f>
        <v/>
      </c>
      <c r="K554" s="313" t="str">
        <f>IF(AND(E554=Data!R559,Data!AE559&lt;&gt;""),Data!AE559,"")</f>
        <v/>
      </c>
      <c r="L554" s="318">
        <f>IF(E554=Data!R566,Data!AI566,"")</f>
        <v>0</v>
      </c>
      <c r="M554" s="318">
        <f>IF(E554=Data!R566,Data!AJ566,"")</f>
        <v>0</v>
      </c>
      <c r="N554" s="437" t="str">
        <f>IF(AND(Data!R566&lt;&gt;"",Data!L566="Accepté"),Data!K566,"")</f>
        <v/>
      </c>
    </row>
    <row r="555" spans="1:14" hidden="1" x14ac:dyDescent="0.3">
      <c r="A555" s="393" t="str">
        <f>IF(AND(Data!R567&lt;&gt;"",Data!L567="Accepté"),Data!G567,"")</f>
        <v/>
      </c>
      <c r="B555" s="393" t="str">
        <f>IF(AND(Data!R567&lt;&gt;"",Data!L567="Accepté"),Data!L567,"")</f>
        <v/>
      </c>
      <c r="C555" s="391" t="str">
        <f t="shared" si="21"/>
        <v/>
      </c>
      <c r="D555" s="392" t="str">
        <f>IF(AND(Data!Q567&lt;&gt;"",Data!L567="Accepté"),Data!Q567,"")</f>
        <v/>
      </c>
      <c r="E555" s="237" t="str">
        <f>IF(AND(Data!R567&lt;&gt;"",Data!L567="Accepté"),Data!R567,"")</f>
        <v/>
      </c>
      <c r="F555" s="326" t="str">
        <f>IF(AND(Data!R567&lt;&gt;"",Data!L567="Accepté"),Data!S567,"")</f>
        <v/>
      </c>
      <c r="G555" s="322">
        <f>IF(Data!R567='Delivery Plan'!E555,Data!U567,"")</f>
        <v>0</v>
      </c>
      <c r="H555" s="259"/>
      <c r="I555" s="391" t="str">
        <f t="shared" si="20"/>
        <v/>
      </c>
      <c r="J555" s="392" t="str">
        <f>IF(AND(E555=Data!R560,Data!AA560&lt;&gt;""),Data!AA560,"")</f>
        <v/>
      </c>
      <c r="K555" s="313" t="str">
        <f>IF(AND(E555=Data!R560,Data!AE560&lt;&gt;""),Data!AE560,"")</f>
        <v/>
      </c>
      <c r="L555" s="318">
        <f>IF(E555=Data!R567,Data!AI567,"")</f>
        <v>0</v>
      </c>
      <c r="M555" s="318">
        <f>IF(E555=Data!R567,Data!AJ567,"")</f>
        <v>0</v>
      </c>
      <c r="N555" s="437" t="str">
        <f>IF(AND(Data!R567&lt;&gt;"",Data!L567="Accepté"),Data!K567,"")</f>
        <v/>
      </c>
    </row>
    <row r="556" spans="1:14" hidden="1" x14ac:dyDescent="0.3">
      <c r="A556" s="393" t="str">
        <f>IF(AND(Data!R568&lt;&gt;"",Data!L568="Accepté"),Data!G568,"")</f>
        <v/>
      </c>
      <c r="B556" s="393" t="str">
        <f>IF(AND(Data!R568&lt;&gt;"",Data!L568="Accepté"),Data!L568,"")</f>
        <v/>
      </c>
      <c r="C556" s="391" t="str">
        <f t="shared" si="21"/>
        <v/>
      </c>
      <c r="D556" s="392" t="str">
        <f>IF(AND(Data!Q568&lt;&gt;"",Data!L568="Accepté"),Data!Q568,"")</f>
        <v/>
      </c>
      <c r="E556" s="237" t="str">
        <f>IF(AND(Data!R568&lt;&gt;"",Data!L568="Accepté"),Data!R568,"")</f>
        <v/>
      </c>
      <c r="F556" s="326" t="str">
        <f>IF(AND(Data!R568&lt;&gt;"",Data!L568="Accepté"),Data!S568,"")</f>
        <v/>
      </c>
      <c r="G556" s="322">
        <f>IF(Data!R568='Delivery Plan'!E556,Data!U568,"")</f>
        <v>0</v>
      </c>
      <c r="H556" s="259"/>
      <c r="I556" s="391" t="str">
        <f t="shared" si="20"/>
        <v/>
      </c>
      <c r="J556" s="392" t="str">
        <f>IF(AND(E556=Data!R561,Data!AA561&lt;&gt;""),Data!AA561,"")</f>
        <v/>
      </c>
      <c r="K556" s="313" t="str">
        <f>IF(AND(E556=Data!R561,Data!AE561&lt;&gt;""),Data!AE561,"")</f>
        <v/>
      </c>
      <c r="L556" s="318">
        <f>IF(E556=Data!R568,Data!AI568,"")</f>
        <v>0</v>
      </c>
      <c r="M556" s="318">
        <f>IF(E556=Data!R568,Data!AJ568,"")</f>
        <v>0</v>
      </c>
      <c r="N556" s="437" t="str">
        <f>IF(AND(Data!R568&lt;&gt;"",Data!L568="Accepté"),Data!K568,"")</f>
        <v/>
      </c>
    </row>
    <row r="557" spans="1:14" hidden="1" x14ac:dyDescent="0.3">
      <c r="A557" s="393" t="str">
        <f>IF(AND(Data!R569&lt;&gt;"",Data!L569="Accepté"),Data!G569,"")</f>
        <v/>
      </c>
      <c r="B557" s="393" t="str">
        <f>IF(AND(Data!R569&lt;&gt;"",Data!L569="Accepté"),Data!L569,"")</f>
        <v/>
      </c>
      <c r="C557" s="391" t="str">
        <f t="shared" si="21"/>
        <v/>
      </c>
      <c r="D557" s="392" t="str">
        <f>IF(AND(Data!Q569&lt;&gt;"",Data!L569="Accepté"),Data!Q569,"")</f>
        <v/>
      </c>
      <c r="E557" s="237" t="str">
        <f>IF(AND(Data!R569&lt;&gt;"",Data!L569="Accepté"),Data!R569,"")</f>
        <v/>
      </c>
      <c r="F557" s="326" t="str">
        <f>IF(AND(Data!R569&lt;&gt;"",Data!L569="Accepté"),Data!S569,"")</f>
        <v/>
      </c>
      <c r="G557" s="322">
        <f>IF(Data!R569='Delivery Plan'!E557,Data!U569,"")</f>
        <v>0</v>
      </c>
      <c r="H557" s="259"/>
      <c r="I557" s="391" t="str">
        <f t="shared" si="20"/>
        <v/>
      </c>
      <c r="J557" s="392" t="str">
        <f>IF(AND(E557=Data!R562,Data!AA562&lt;&gt;""),Data!AA562,"")</f>
        <v/>
      </c>
      <c r="K557" s="313" t="str">
        <f>IF(AND(E557=Data!R562,Data!AE562&lt;&gt;""),Data!AE562,"")</f>
        <v/>
      </c>
      <c r="L557" s="318">
        <f>IF(E557=Data!R569,Data!AI569,"")</f>
        <v>0</v>
      </c>
      <c r="M557" s="318">
        <f>IF(E557=Data!R569,Data!AJ569,"")</f>
        <v>0</v>
      </c>
      <c r="N557" s="437" t="str">
        <f>IF(AND(Data!R569&lt;&gt;"",Data!L569="Accepté"),Data!K569,"")</f>
        <v/>
      </c>
    </row>
    <row r="558" spans="1:14" hidden="1" x14ac:dyDescent="0.3">
      <c r="A558" s="393" t="str">
        <f>IF(AND(Data!R570&lt;&gt;"",Data!L570="Accepté"),Data!G570,"")</f>
        <v/>
      </c>
      <c r="B558" s="393" t="str">
        <f>IF(AND(Data!R570&lt;&gt;"",Data!L570="Accepté"),Data!L570,"")</f>
        <v/>
      </c>
      <c r="C558" s="391" t="str">
        <f t="shared" si="21"/>
        <v/>
      </c>
      <c r="D558" s="392" t="str">
        <f>IF(AND(Data!Q570&lt;&gt;"",Data!L570="Accepté"),Data!Q570,"")</f>
        <v/>
      </c>
      <c r="E558" s="237" t="str">
        <f>IF(AND(Data!R570&lt;&gt;"",Data!L570="Accepté"),Data!R570,"")</f>
        <v/>
      </c>
      <c r="F558" s="326" t="str">
        <f>IF(AND(Data!R570&lt;&gt;"",Data!L570="Accepté"),Data!S570,"")</f>
        <v/>
      </c>
      <c r="G558" s="322">
        <f>IF(Data!R570='Delivery Plan'!E558,Data!U570,"")</f>
        <v>0</v>
      </c>
      <c r="H558" s="259"/>
      <c r="I558" s="391" t="str">
        <f t="shared" si="20"/>
        <v/>
      </c>
      <c r="J558" s="392" t="str">
        <f>IF(AND(E558=Data!R563,Data!AA563&lt;&gt;""),Data!AA563,"")</f>
        <v/>
      </c>
      <c r="K558" s="313" t="str">
        <f>IF(AND(E558=Data!R563,Data!AE563&lt;&gt;""),Data!AE563,"")</f>
        <v/>
      </c>
      <c r="L558" s="318">
        <f>IF(E558=Data!R570,Data!AI570,"")</f>
        <v>0</v>
      </c>
      <c r="M558" s="318">
        <f>IF(E558=Data!R570,Data!AJ570,"")</f>
        <v>0</v>
      </c>
      <c r="N558" s="437" t="str">
        <f>IF(AND(Data!R570&lt;&gt;"",Data!L570="Accepté"),Data!K570,"")</f>
        <v/>
      </c>
    </row>
    <row r="559" spans="1:14" hidden="1" x14ac:dyDescent="0.3">
      <c r="A559" s="393" t="str">
        <f>IF(AND(Data!R571&lt;&gt;"",Data!L571="Accepté"),Data!G571,"")</f>
        <v/>
      </c>
      <c r="B559" s="393" t="str">
        <f>IF(AND(Data!R571&lt;&gt;"",Data!L571="Accepté"),Data!L571,"")</f>
        <v/>
      </c>
      <c r="C559" s="391" t="str">
        <f t="shared" si="21"/>
        <v/>
      </c>
      <c r="D559" s="392" t="str">
        <f>IF(AND(Data!Q571&lt;&gt;"",Data!L571="Accepté"),Data!Q571,"")</f>
        <v/>
      </c>
      <c r="E559" s="237" t="str">
        <f>IF(AND(Data!R571&lt;&gt;"",Data!L571="Accepté"),Data!R571,"")</f>
        <v/>
      </c>
      <c r="F559" s="326" t="str">
        <f>IF(AND(Data!R571&lt;&gt;"",Data!L571="Accepté"),Data!S571,"")</f>
        <v/>
      </c>
      <c r="G559" s="322">
        <f>IF(Data!R571='Delivery Plan'!E559,Data!U571,"")</f>
        <v>0</v>
      </c>
      <c r="H559" s="259"/>
      <c r="I559" s="391" t="str">
        <f t="shared" si="20"/>
        <v/>
      </c>
      <c r="J559" s="392" t="str">
        <f>IF(AND(E559=Data!R564,Data!AA564&lt;&gt;""),Data!AA564,"")</f>
        <v/>
      </c>
      <c r="K559" s="313" t="str">
        <f>IF(AND(E559=Data!R564,Data!AE564&lt;&gt;""),Data!AE564,"")</f>
        <v/>
      </c>
      <c r="L559" s="318">
        <f>IF(E559=Data!R571,Data!AI571,"")</f>
        <v>0</v>
      </c>
      <c r="M559" s="318">
        <f>IF(E559=Data!R571,Data!AJ571,"")</f>
        <v>0</v>
      </c>
      <c r="N559" s="437" t="str">
        <f>IF(AND(Data!R571&lt;&gt;"",Data!L571="Accepté"),Data!K571,"")</f>
        <v/>
      </c>
    </row>
    <row r="560" spans="1:14" hidden="1" x14ac:dyDescent="0.3">
      <c r="A560" s="393" t="str">
        <f>IF(AND(Data!R572&lt;&gt;"",Data!L572="Accepté"),Data!G572,"")</f>
        <v/>
      </c>
      <c r="B560" s="393" t="str">
        <f>IF(AND(Data!R572&lt;&gt;"",Data!L572="Accepté"),Data!L572,"")</f>
        <v/>
      </c>
      <c r="C560" s="391" t="str">
        <f t="shared" si="21"/>
        <v/>
      </c>
      <c r="D560" s="392" t="str">
        <f>IF(AND(Data!Q572&lt;&gt;"",Data!L572="Accepté"),Data!Q572,"")</f>
        <v/>
      </c>
      <c r="E560" s="237" t="str">
        <f>IF(AND(Data!R572&lt;&gt;"",Data!L572="Accepté"),Data!R572,"")</f>
        <v/>
      </c>
      <c r="F560" s="326" t="str">
        <f>IF(AND(Data!R572&lt;&gt;"",Data!L572="Accepté"),Data!S572,"")</f>
        <v/>
      </c>
      <c r="G560" s="322">
        <f>IF(Data!R572='Delivery Plan'!E560,Data!U572,"")</f>
        <v>0</v>
      </c>
      <c r="H560" s="259"/>
      <c r="I560" s="391" t="str">
        <f t="shared" si="20"/>
        <v/>
      </c>
      <c r="J560" s="392" t="str">
        <f>IF(AND(E560=Data!R565,Data!AA565&lt;&gt;""),Data!AA565,"")</f>
        <v/>
      </c>
      <c r="K560" s="313" t="str">
        <f>IF(AND(E560=Data!R565,Data!AE565&lt;&gt;""),Data!AE565,"")</f>
        <v/>
      </c>
      <c r="L560" s="318">
        <f>IF(E560=Data!R572,Data!AI572,"")</f>
        <v>0</v>
      </c>
      <c r="M560" s="318">
        <f>IF(E560=Data!R572,Data!AJ572,"")</f>
        <v>0</v>
      </c>
      <c r="N560" s="437" t="str">
        <f>IF(AND(Data!R572&lt;&gt;"",Data!L572="Accepté"),Data!K572,"")</f>
        <v/>
      </c>
    </row>
    <row r="561" spans="1:14" hidden="1" x14ac:dyDescent="0.3">
      <c r="A561" s="393" t="str">
        <f>IF(AND(Data!R573&lt;&gt;"",Data!L573="Accepté"),Data!G573,"")</f>
        <v/>
      </c>
      <c r="B561" s="393" t="str">
        <f>IF(AND(Data!R573&lt;&gt;"",Data!L573="Accepté"),Data!L573,"")</f>
        <v/>
      </c>
      <c r="C561" s="391" t="str">
        <f t="shared" si="21"/>
        <v/>
      </c>
      <c r="D561" s="392" t="str">
        <f>IF(AND(Data!Q573&lt;&gt;"",Data!L573="Accepté"),Data!Q573,"")</f>
        <v/>
      </c>
      <c r="E561" s="237" t="str">
        <f>IF(AND(Data!R573&lt;&gt;"",Data!L573="Accepté"),Data!R573,"")</f>
        <v/>
      </c>
      <c r="F561" s="326" t="str">
        <f>IF(AND(Data!R573&lt;&gt;"",Data!L573="Accepté"),Data!S573,"")</f>
        <v/>
      </c>
      <c r="G561" s="322">
        <f>IF(Data!R573='Delivery Plan'!E561,Data!U573,"")</f>
        <v>0</v>
      </c>
      <c r="H561" s="259"/>
      <c r="I561" s="391" t="str">
        <f t="shared" si="20"/>
        <v/>
      </c>
      <c r="J561" s="392" t="str">
        <f>IF(AND(E561=Data!R566,Data!AA566&lt;&gt;""),Data!AA566,"")</f>
        <v/>
      </c>
      <c r="K561" s="313" t="str">
        <f>IF(AND(E561=Data!R566,Data!AE566&lt;&gt;""),Data!AE566,"")</f>
        <v/>
      </c>
      <c r="L561" s="318">
        <f>IF(E561=Data!R573,Data!AI573,"")</f>
        <v>0</v>
      </c>
      <c r="M561" s="318">
        <f>IF(E561=Data!R573,Data!AJ573,"")</f>
        <v>0</v>
      </c>
      <c r="N561" s="437" t="str">
        <f>IF(AND(Data!R573&lt;&gt;"",Data!L573="Accepté"),Data!K573,"")</f>
        <v/>
      </c>
    </row>
  </sheetData>
  <autoFilter ref="A3:N561" xr:uid="{00000000-0009-0000-0000-000009000000}">
    <filterColumn colId="4">
      <customFilters>
        <customFilter operator="notEqual" val=" "/>
      </customFilters>
    </filterColumn>
    <filterColumn colId="9">
      <filters blank="1"/>
    </filterColumn>
  </autoFilter>
  <mergeCells count="2">
    <mergeCell ref="C2:G2"/>
    <mergeCell ref="I2:K2"/>
  </mergeCells>
  <conditionalFormatting sqref="C4:K561">
    <cfRule type="expression" dxfId="260" priority="150">
      <formula>OR(#REF!="Annulé",#REF!="Rejeté")</formula>
    </cfRule>
  </conditionalFormatting>
  <conditionalFormatting sqref="C4:G561">
    <cfRule type="expression" dxfId="259" priority="78">
      <formula>AND(YEAR($D4)=YEAR(TODAY()),MONTH($D4)=MONTH(336))</formula>
    </cfRule>
    <cfRule type="expression" dxfId="258" priority="81">
      <formula>AND(YEAR($D4)=YEAR(TODAY()),MONTH($D4)=MONTH(306))</formula>
    </cfRule>
    <cfRule type="expression" dxfId="257" priority="84">
      <formula>AND(YEAR($D4)=YEAR(TODAY()),MONTH($D4)=MONTH(275))</formula>
    </cfRule>
    <cfRule type="expression" dxfId="256" priority="87">
      <formula>AND(YEAR($D4)=YEAR(TODAY()),MONTH($D4)=MONTH(245))</formula>
    </cfRule>
    <cfRule type="expression" dxfId="255" priority="90">
      <formula>AND(YEAR($D4)=YEAR(TODAY()),MONTH($D4)=MONTH(214))</formula>
    </cfRule>
    <cfRule type="expression" dxfId="254" priority="93">
      <formula>AND(YEAR($D4)=YEAR(TODAY()),MONTH($D4)=MONTH(183))</formula>
    </cfRule>
    <cfRule type="expression" dxfId="253" priority="101">
      <formula>AND(YEAR($D4)=YEAR(TODAY()),MONTH($D4)=MONTH(92))</formula>
    </cfRule>
    <cfRule type="expression" dxfId="252" priority="102">
      <formula>AND(YEAR($D4)=YEAR(TODAY()),MONTH($D4)=MONTH(122))</formula>
    </cfRule>
    <cfRule type="expression" dxfId="251" priority="103">
      <formula>AND(YEAR($D4)=YEAR(TODAY()),MONTH($D4)=MONTH(32))</formula>
    </cfRule>
    <cfRule type="expression" dxfId="250" priority="104">
      <formula>AND(YEAR($D4)=YEAR(TODAY()),MONTH($D4)=MONTH(61))</formula>
    </cfRule>
    <cfRule type="expression" dxfId="249" priority="105">
      <formula>AND(YEAR($D4)=YEAR(TODAY()),MONTH($D4)=MONTH(31))</formula>
    </cfRule>
    <cfRule type="expression" dxfId="248" priority="106">
      <formula>AND(YEAR($D4)=YEAR(TODAY()),MONTH($D4)=MONTH(153))</formula>
    </cfRule>
    <cfRule type="expression" dxfId="247" priority="115">
      <formula>AND(YEAR($D4)=YEAR(TODAY()),MONTH($D4)=MONTH(335))</formula>
    </cfRule>
    <cfRule type="expression" dxfId="246" priority="118">
      <formula>AND(YEAR($D4)=YEAR(TODAY()),MONTH($D4)=MONTH(305))</formula>
    </cfRule>
    <cfRule type="expression" dxfId="245" priority="121">
      <formula>AND(YEAR($D4)=YEAR(TODAY()),MONTH($D4)=MONTH(274))</formula>
    </cfRule>
    <cfRule type="expression" dxfId="244" priority="124">
      <formula>AND(YEAR($D4)=YEAR(TODAY()),MONTH($D4)=MONTH(244))</formula>
    </cfRule>
    <cfRule type="expression" dxfId="243" priority="127">
      <formula>AND(YEAR($D4)=YEAR(TODAY()),MONTH($D4)=MONTH(213))</formula>
    </cfRule>
    <cfRule type="expression" dxfId="242" priority="130">
      <formula>AND(YEAR($D4)=YEAR(TODAY()),MONTH($D4)=MONTH(182))</formula>
    </cfRule>
    <cfRule type="expression" dxfId="241" priority="138">
      <formula>AND(YEAR($D4)=YEAR(TODAY()),MONTH($D4)=MONTH(91))</formula>
    </cfRule>
    <cfRule type="expression" dxfId="240" priority="139">
      <formula>AND(YEAR($D4)=YEAR(TODAY()),MONTH($D4)=MONTH(121))</formula>
    </cfRule>
    <cfRule type="expression" dxfId="239" priority="140">
      <formula>AND(YEAR($D4)=YEAR(TODAY()),MONTH($D4)=MONTH(60))</formula>
    </cfRule>
    <cfRule type="expression" dxfId="238" priority="141">
      <formula>AND(YEAR($D4)=YEAR(TODAY()),MONTH($D4)=MONTH(91))</formula>
    </cfRule>
    <cfRule type="expression" dxfId="237" priority="142">
      <formula>AND(YEAR($D4)=YEAR(TODAY()),MONTH($D4)=MONTH(31))</formula>
    </cfRule>
    <cfRule type="expression" dxfId="236" priority="143">
      <formula>AND(YEAR($D4)=YEAR(TODAY()),MONTH($D4)=MONTH(182))</formula>
    </cfRule>
  </conditionalFormatting>
  <conditionalFormatting sqref="A4:A561">
    <cfRule type="expression" dxfId="235" priority="799">
      <formula>AND(YEAR(#REF!)=YEAR(TODAY()),MONTH(#REF!)=MONTH(335))</formula>
    </cfRule>
    <cfRule type="expression" dxfId="234" priority="800">
      <formula>AND(YEAR(#REF!)=YEAR(TODAY()),MONTH(#REF!)=MONTH(305))</formula>
    </cfRule>
    <cfRule type="expression" dxfId="233" priority="801">
      <formula>AND(YEAR(#REF!)=YEAR(TODAY()),MONTH(#REF!)=MONTH(274))</formula>
    </cfRule>
  </conditionalFormatting>
  <conditionalFormatting sqref="A4:A561">
    <cfRule type="expression" dxfId="232" priority="802">
      <formula>AND(YEAR(#REF!)=YEAR(TODAY()),MONTH(#REF!)=MONTH(336))</formula>
    </cfRule>
    <cfRule type="expression" dxfId="231" priority="803">
      <formula>AND(YEAR(#REF!)=YEAR(TODAY()),MONTH(#REF!)=MONTH(306))</formula>
    </cfRule>
    <cfRule type="expression" dxfId="230" priority="804">
      <formula>AND(YEAR(#REF!)=YEAR(TODAY()),MONTH(#REF!)=MONTH(276))</formula>
    </cfRule>
    <cfRule type="expression" dxfId="229" priority="805">
      <formula>AND(YEAR(#REF!)=YEAR(TODAY()),MONTH(#REF!)=MONTH(245))</formula>
    </cfRule>
    <cfRule type="expression" dxfId="228" priority="806">
      <formula>AND(YEAR(#REF!)=YEAR(TODAY()),MONTH(#REF!)=MONTH(214))</formula>
    </cfRule>
    <cfRule type="expression" dxfId="227" priority="807">
      <formula>AND(YEAR(#REF!)=YEAR(TODAY()),MONTH(#REF!)=MONTH(183))</formula>
    </cfRule>
    <cfRule type="expression" dxfId="226" priority="808">
      <formula>AND(YEAR(#REF!)=YEAR(TODAY()),MONTH(#REF!)=MONTH(153))</formula>
    </cfRule>
    <cfRule type="expression" dxfId="225" priority="809">
      <formula>AND(YEAR(#REF!)=YEAR(TODAY()),MONTH(#REF!)=MONTH(92))</formula>
    </cfRule>
    <cfRule type="expression" dxfId="224" priority="810">
      <formula>AND(YEAR(#REF!)=YEAR(TODAY()),MONTH(#REF!)=MONTH(122))</formula>
    </cfRule>
    <cfRule type="expression" dxfId="223" priority="811">
      <formula>AND(YEAR(#REF!)=YEAR(TODAY()),MONTH(#REF!)=MONTH(1))</formula>
    </cfRule>
    <cfRule type="expression" dxfId="222" priority="812">
      <formula>AND(YEAR(#REF!)=YEAR(TODAY()),MONTH(#REF!)=MONTH(32))</formula>
    </cfRule>
    <cfRule type="expression" dxfId="221" priority="813">
      <formula>AND(YEAR(#REF!)=YEAR(TODAY()),MONTH(#REF!)=MONTH(61))</formula>
    </cfRule>
    <cfRule type="expression" dxfId="220" priority="814">
      <formula>AND(YEAR(#REF!)=YEAR(TODAY()),MONTH(#REF!)=MONTH(244))</formula>
    </cfRule>
    <cfRule type="expression" dxfId="219" priority="815">
      <formula>AND(YEAR(#REF!)=YEAR(TODAY()),MONTH(#REF!)=MONTH(213))</formula>
    </cfRule>
    <cfRule type="expression" dxfId="218" priority="816">
      <formula>AND(YEAR(#REF!)=YEAR(TODAY()),MONTH(#REF!)=MONTH(182))</formula>
    </cfRule>
    <cfRule type="expression" dxfId="217" priority="817">
      <formula>AND(YEAR(#REF!)=YEAR(TODAY()),MONTH(#REF!)=MONTH(182))</formula>
    </cfRule>
    <cfRule type="expression" dxfId="216" priority="818">
      <formula>AND(YEAR(#REF!)=YEAR(TODAY()),MONTH(#REF!)=MONTH(91))</formula>
    </cfRule>
    <cfRule type="expression" dxfId="215" priority="819">
      <formula>AND(YEAR(#REF!)=YEAR(TODAY()),MONTH(#REF!)=MONTH(152))</formula>
    </cfRule>
    <cfRule type="expression" dxfId="214" priority="820">
      <formula>AND(YEAR(#REF!)=YEAR(TODAY()),MONTH(#REF!)=MONTH(1))</formula>
    </cfRule>
    <cfRule type="expression" dxfId="213" priority="821">
      <formula>AND(YEAR(#REF!)=YEAR(TODAY()),MONTH(#REF!)=MONTH(43145))</formula>
    </cfRule>
    <cfRule type="expression" dxfId="212" priority="822">
      <formula>AND(YEAR(#REF!)=YEAR(TODAY()),MONTH(#REF!)=MONTH(60))</formula>
    </cfRule>
  </conditionalFormatting>
  <conditionalFormatting sqref="I4:K561">
    <cfRule type="expression" dxfId="211" priority="825">
      <formula>AND(YEAR(#REF!)=YEAR(TODAY()),MONTH(#REF!)=MONTH(336))</formula>
    </cfRule>
    <cfRule type="expression" dxfId="210" priority="826">
      <formula>AND(YEAR(#REF!)=YEAR(TODAY()),MONTH(#REF!)=MONTH(306))</formula>
    </cfRule>
    <cfRule type="expression" dxfId="209" priority="827">
      <formula>AND(YEAR(#REF!)=YEAR(TODAY()),MONTH(#REF!)=MONTH(275))</formula>
    </cfRule>
    <cfRule type="expression" dxfId="208" priority="828">
      <formula>AND(YEAR(#REF!)=YEAR(TODAY()),MONTH(#REF!)=MONTH(245))</formula>
    </cfRule>
    <cfRule type="expression" dxfId="207" priority="829">
      <formula>AND(YEAR(#REF!)=YEAR(TODAY()),MONTH(#REF!)=MONTH(214))</formula>
    </cfRule>
    <cfRule type="expression" dxfId="206" priority="830">
      <formula>AND(YEAR(#REF!)=YEAR(TODAY()),MONTH(#REF!)=MONTH(183))</formula>
    </cfRule>
    <cfRule type="expression" dxfId="205" priority="831">
      <formula>AND(YEAR(#REF!)=YEAR(TODAY()),MONTH(#REF!)=MONTH(153))</formula>
    </cfRule>
    <cfRule type="expression" dxfId="204" priority="832">
      <formula>AND(YEAR(#REF!)=YEAR(TODAY()),MONTH(#REF!)=MONTH(122))</formula>
    </cfRule>
    <cfRule type="expression" dxfId="203" priority="833">
      <formula>AND(YEAR(#REF!)=YEAR(TODAY()),MONTH(#REF!)=MONTH(92))</formula>
    </cfRule>
    <cfRule type="expression" dxfId="202" priority="834">
      <formula>AND(YEAR(#REF!)=YEAR(TODAY()),MONTH(#REF!)=MONTH(61))</formula>
    </cfRule>
    <cfRule type="expression" dxfId="201" priority="835">
      <formula>AND(YEAR(#REF!)=YEAR(TODAY()),MONTH(#REF!)=MONTH(32))</formula>
    </cfRule>
    <cfRule type="expression" dxfId="200" priority="836">
      <formula>AND(YEAR(#REF!)=YEAR(TODAY()),MONTH(#REF!)=MONTH(31))</formula>
    </cfRule>
    <cfRule type="expression" dxfId="199" priority="837">
      <formula>AND(YEAR(#REF!)=YEAR(TODAY()),MONTH(#REF!)=MONTH(335))</formula>
    </cfRule>
    <cfRule type="expression" dxfId="198" priority="838">
      <formula>AND(YEAR(#REF!)=YEAR(TODAY()),MONTH(#REF!)=MONTH(305))</formula>
    </cfRule>
    <cfRule type="expression" dxfId="197" priority="839">
      <formula>AND(YEAR(#REF!)=YEAR(TODAY()),MONTH(#REF!)=MONTH(274))</formula>
    </cfRule>
    <cfRule type="expression" dxfId="196" priority="840">
      <formula>AND(YEAR(#REF!)=YEAR(TODAY()),MONTH(#REF!)=MONTH(244))</formula>
    </cfRule>
    <cfRule type="expression" dxfId="195" priority="841">
      <formula>AND(YEAR(#REF!)=YEAR(TODAY()),MONTH(#REF!)=MONTH(213))</formula>
    </cfRule>
    <cfRule type="expression" dxfId="194" priority="842">
      <formula>AND(YEAR(#REF!)=YEAR(TODAY()),MONTH(#REF!)=MONTH(182))</formula>
    </cfRule>
    <cfRule type="expression" dxfId="193" priority="843">
      <formula>AND(YEAR(#REF!)=YEAR(TODAY()),MONTH(#REF!)=MONTH(152))</formula>
    </cfRule>
    <cfRule type="expression" dxfId="192" priority="844">
      <formula>AND(YEAR(#REF!)=YEAR(TODAY()),MONTH(#REF!)=MONTH(152))</formula>
    </cfRule>
    <cfRule type="expression" dxfId="191" priority="845">
      <formula>AND(YEAR(#REF!)=YEAR(TODAY()),MONTH(#REF!)=MONTH(121))</formula>
    </cfRule>
    <cfRule type="expression" dxfId="190" priority="846">
      <formula>AND(YEAR(#REF!)=YEAR(TODAY()),MONTH(#REF!)=MONTH(91))</formula>
    </cfRule>
    <cfRule type="expression" dxfId="189" priority="847">
      <formula>AND(YEAR(#REF!)=YEAR(TODAY()),MONTH(#REF!)=MONTH(60))</formula>
    </cfRule>
    <cfRule type="expression" dxfId="188" priority="848">
      <formula>AND(YEAR(#REF!)=YEAR(TODAY()),MONTH(#REF!)=MONTH(32))</formula>
    </cfRule>
  </conditionalFormatting>
  <conditionalFormatting sqref="B4:B561">
    <cfRule type="containsText" dxfId="187" priority="64" operator="containsText" text="Rejeté">
      <formula>NOT(ISERROR(SEARCH("Rejeté",B4)))</formula>
    </cfRule>
  </conditionalFormatting>
  <conditionalFormatting sqref="B4:B561">
    <cfRule type="expression" dxfId="186" priority="65">
      <formula>AND(YEAR($D4)=YEAR(TODAY()),MONTH($D4)=MONTH(335))</formula>
    </cfRule>
    <cfRule type="expression" dxfId="185" priority="66">
      <formula>AND(YEAR($D4)=YEAR(TODAY()),MONTH($D4)=MONTH(305))</formula>
    </cfRule>
    <cfRule type="expression" dxfId="184" priority="67">
      <formula>AND(YEAR($D4)=YEAR(TODAY()),MONTH($D4)=MONTH(274))</formula>
    </cfRule>
  </conditionalFormatting>
  <conditionalFormatting sqref="B4:B561">
    <cfRule type="expression" dxfId="183" priority="52">
      <formula>AND(YEAR($D4)=YEAR(TODAY()),MONTH($D4)=MONTH(336))</formula>
    </cfRule>
    <cfRule type="expression" dxfId="182" priority="53">
      <formula>AND(YEAR($D4)=YEAR(TODAY()),MONTH($D4)=MONTH(306))</formula>
    </cfRule>
    <cfRule type="expression" dxfId="181" priority="54">
      <formula>AND(YEAR($D4)=YEAR(TODAY()),MONTH($D4)=MONTH(276))</formula>
    </cfRule>
    <cfRule type="expression" dxfId="180" priority="55">
      <formula>AND(YEAR($D4)=YEAR(TODAY()),MONTH($D4)=MONTH(245))</formula>
    </cfRule>
    <cfRule type="expression" dxfId="179" priority="56">
      <formula>AND(YEAR($D4)=YEAR(TODAY()),MONTH($D4)=MONTH(214))</formula>
    </cfRule>
    <cfRule type="expression" dxfId="178" priority="57">
      <formula>AND(YEAR($D4)=YEAR(TODAY()),MONTH($D4)=MONTH(183))</formula>
    </cfRule>
    <cfRule type="expression" dxfId="177" priority="58">
      <formula>AND(YEAR($D4)=YEAR(TODAY()),MONTH($D4)=MONTH(153))</formula>
    </cfRule>
    <cfRule type="expression" dxfId="176" priority="59">
      <formula>AND(YEAR($D4)=YEAR(TODAY()),MONTH($D4)=MONTH(92))</formula>
    </cfRule>
    <cfRule type="expression" dxfId="175" priority="60">
      <formula>AND(YEAR($D4)=YEAR(TODAY()),MONTH($D4)=MONTH(122))</formula>
    </cfRule>
    <cfRule type="expression" dxfId="174" priority="61">
      <formula>AND(YEAR($D4)=YEAR(TODAY()),MONTH($D4)=MONTH(1))</formula>
    </cfRule>
    <cfRule type="expression" dxfId="173" priority="62">
      <formula>AND(YEAR($D4)=YEAR(TODAY()),MONTH($D4)=MONTH(32))</formula>
    </cfRule>
    <cfRule type="expression" dxfId="172" priority="63">
      <formula>AND(YEAR($D4)=YEAR(TODAY()),MONTH($D4)=MONTH(61))</formula>
    </cfRule>
    <cfRule type="expression" dxfId="171" priority="68">
      <formula>AND(YEAR($D4)=YEAR(TODAY()),MONTH($D4)=MONTH(244))</formula>
    </cfRule>
    <cfRule type="expression" dxfId="170" priority="69">
      <formula>AND(YEAR($D4)=YEAR(TODAY()),MONTH($D4)=MONTH(213))</formula>
    </cfRule>
    <cfRule type="expression" dxfId="169" priority="70">
      <formula>AND(YEAR($D4)=YEAR(TODAY()),MONTH($D4)=MONTH(182))</formula>
    </cfRule>
    <cfRule type="expression" dxfId="168" priority="71">
      <formula>AND(YEAR($D4)=YEAR(TODAY()),MONTH($D4)=MONTH(182))</formula>
    </cfRule>
    <cfRule type="expression" dxfId="167" priority="72">
      <formula>AND(YEAR($D4)=YEAR(TODAY()),MONTH($D4)=MONTH(91))</formula>
    </cfRule>
    <cfRule type="expression" dxfId="166" priority="73">
      <formula>AND(YEAR($D4)=YEAR(TODAY()),MONTH($D4)=MONTH(152))</formula>
    </cfRule>
    <cfRule type="expression" dxfId="165" priority="74">
      <formula>AND(YEAR($D4)=YEAR(TODAY()),MONTH($D4)=MONTH(1))</formula>
    </cfRule>
    <cfRule type="expression" dxfId="164" priority="75">
      <formula>AND(YEAR($D4)=YEAR(TODAY()),MONTH($D4)=MONTH(43145))</formula>
    </cfRule>
    <cfRule type="expression" dxfId="163" priority="76">
      <formula>AND(YEAR($D4)=YEAR(TODAY()),MONTH($D4)=MONTH(60))</formula>
    </cfRule>
  </conditionalFormatting>
  <conditionalFormatting sqref="K1:K1048576">
    <cfRule type="expression" dxfId="162" priority="1">
      <formula>"&lt;Today()"</formula>
    </cfRule>
    <cfRule type="expression" dxfId="161" priority="2">
      <formula>VALUE(WEEKNUM(K1))=VALUE(WEEKNUM(TODAY()))</formula>
    </cfRule>
  </conditionalFormatting>
  <pageMargins left="0.25" right="0.25" top="0.75" bottom="0.75" header="0.3" footer="0.3"/>
  <pageSetup paperSize="9" scale="59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Y146"/>
  <sheetViews>
    <sheetView workbookViewId="0">
      <pane ySplit="6" topLeftCell="A7" activePane="bottomLeft" state="frozen"/>
      <selection pane="bottomLeft" activeCell="J19" sqref="J19"/>
    </sheetView>
  </sheetViews>
  <sheetFormatPr baseColWidth="10" defaultColWidth="11.44140625" defaultRowHeight="14.4" x14ac:dyDescent="0.3"/>
  <cols>
    <col min="3" max="3" width="11.44140625" style="79"/>
    <col min="4" max="4" width="14.44140625" bestFit="1" customWidth="1"/>
    <col min="5" max="5" width="14.109375" customWidth="1"/>
    <col min="6" max="6" width="35" bestFit="1" customWidth="1"/>
    <col min="7" max="7" width="11.44140625" customWidth="1"/>
    <col min="10" max="10" width="39.109375" bestFit="1" customWidth="1"/>
    <col min="12" max="12" width="32.109375" customWidth="1"/>
    <col min="25" max="25" width="12.44140625" bestFit="1" customWidth="1"/>
  </cols>
  <sheetData>
    <row r="1" spans="1:25" ht="23.4" x14ac:dyDescent="0.45">
      <c r="A1" s="75" t="s">
        <v>122</v>
      </c>
      <c r="B1" s="75"/>
      <c r="C1" s="76"/>
      <c r="D1" s="77"/>
      <c r="E1" s="77"/>
      <c r="F1" s="77"/>
      <c r="G1" s="77"/>
      <c r="H1" s="77"/>
      <c r="I1" s="77"/>
      <c r="J1" s="77"/>
      <c r="M1" s="78">
        <f>DATE(2018,1,1)</f>
        <v>43101</v>
      </c>
      <c r="N1" s="78">
        <f>DATE(2018,2,1)</f>
        <v>43132</v>
      </c>
      <c r="O1" s="78">
        <f>DATE(2018,3,1)</f>
        <v>43160</v>
      </c>
      <c r="P1" s="78">
        <f>DATE(2018,4,1)</f>
        <v>43191</v>
      </c>
      <c r="Q1" s="78">
        <f>DATE(2018,5,1)</f>
        <v>43221</v>
      </c>
      <c r="R1" s="78">
        <f>DATE(2018,6,1)</f>
        <v>43252</v>
      </c>
      <c r="S1" s="78">
        <f>DATE(2018,7,1)</f>
        <v>43282</v>
      </c>
      <c r="T1" s="78">
        <f>DATE(2018,8,1)</f>
        <v>43313</v>
      </c>
      <c r="U1" s="78">
        <f>DATE(2018,9,1)</f>
        <v>43344</v>
      </c>
      <c r="V1" s="78">
        <f>DATE(2018,10,1)</f>
        <v>43374</v>
      </c>
      <c r="W1" s="78">
        <f>DATE(2018,11,1)</f>
        <v>43405</v>
      </c>
      <c r="X1" s="78">
        <f>DATE(2018,12,1)</f>
        <v>43435</v>
      </c>
      <c r="Y1" s="78" t="s">
        <v>119</v>
      </c>
    </row>
    <row r="2" spans="1:25" x14ac:dyDescent="0.3">
      <c r="L2" s="80" t="s">
        <v>123</v>
      </c>
      <c r="M2" s="79">
        <f t="shared" ref="M2:X2" si="0">SUMIFS($C:$C,$B:$B,"&gt;="&amp;M$1,$B:$B,"&lt;="&amp;EOMONTH(M$1,0))</f>
        <v>0</v>
      </c>
      <c r="N2" s="79">
        <f>SUMIFS($C:$C,$B:$B,"&gt;="&amp;N$1,$B:$B,"&lt;="&amp;EOMONTH(N$1,0))</f>
        <v>0</v>
      </c>
      <c r="O2" s="79">
        <f t="shared" si="0"/>
        <v>0</v>
      </c>
      <c r="P2" s="79">
        <f t="shared" si="0"/>
        <v>0</v>
      </c>
      <c r="Q2" s="79">
        <f t="shared" si="0"/>
        <v>0</v>
      </c>
      <c r="R2" s="79">
        <f t="shared" si="0"/>
        <v>0</v>
      </c>
      <c r="S2" s="79">
        <f t="shared" si="0"/>
        <v>0</v>
      </c>
      <c r="T2" s="79">
        <f t="shared" si="0"/>
        <v>0</v>
      </c>
      <c r="U2" s="79">
        <f t="shared" si="0"/>
        <v>0</v>
      </c>
      <c r="V2" s="79">
        <f t="shared" si="0"/>
        <v>0</v>
      </c>
      <c r="W2" s="79">
        <f t="shared" si="0"/>
        <v>0</v>
      </c>
      <c r="X2" s="79">
        <f t="shared" si="0"/>
        <v>0</v>
      </c>
      <c r="Y2" s="79">
        <f t="shared" ref="Y2:Y7" si="1">SUM(M2:X2)</f>
        <v>0</v>
      </c>
    </row>
    <row r="3" spans="1:25" x14ac:dyDescent="0.3">
      <c r="L3" s="81" t="s">
        <v>124</v>
      </c>
      <c r="M3" s="79">
        <f t="shared" ref="M3:X3" si="2">-SUMIFS($C:$C,$B:$B,"&gt;="&amp;M$1,$B:$B,"&lt;="&amp;EOMONTH(M$1,0),$D:$D,"&lt;&gt;X")</f>
        <v>0</v>
      </c>
      <c r="N3" s="79">
        <f t="shared" si="2"/>
        <v>0</v>
      </c>
      <c r="O3" s="79">
        <f t="shared" si="2"/>
        <v>0</v>
      </c>
      <c r="P3" s="79">
        <f t="shared" si="2"/>
        <v>0</v>
      </c>
      <c r="Q3" s="79">
        <f t="shared" si="2"/>
        <v>0</v>
      </c>
      <c r="R3" s="79">
        <f t="shared" si="2"/>
        <v>0</v>
      </c>
      <c r="S3" s="79">
        <f t="shared" si="2"/>
        <v>0</v>
      </c>
      <c r="T3" s="79">
        <f t="shared" si="2"/>
        <v>0</v>
      </c>
      <c r="U3" s="79">
        <f t="shared" si="2"/>
        <v>0</v>
      </c>
      <c r="V3" s="79">
        <f t="shared" si="2"/>
        <v>0</v>
      </c>
      <c r="W3" s="79">
        <f t="shared" si="2"/>
        <v>0</v>
      </c>
      <c r="X3" s="79">
        <f t="shared" si="2"/>
        <v>0</v>
      </c>
      <c r="Y3" s="79">
        <f t="shared" si="1"/>
        <v>0</v>
      </c>
    </row>
    <row r="4" spans="1:25" x14ac:dyDescent="0.3">
      <c r="A4" s="82" t="s">
        <v>125</v>
      </c>
      <c r="B4" s="82"/>
      <c r="C4" s="83"/>
      <c r="D4" s="82"/>
      <c r="E4" s="84" t="s">
        <v>126</v>
      </c>
      <c r="F4" s="84"/>
      <c r="G4" s="84"/>
      <c r="H4" s="84"/>
      <c r="I4" s="84"/>
      <c r="J4" s="84"/>
      <c r="L4" s="85" t="s">
        <v>127</v>
      </c>
      <c r="M4" s="79">
        <f t="shared" ref="M4:X4" si="3">-SUMIFS($H:$H,$G:$G,"&gt;="&amp;M$1,$G:$G,"&lt;="&amp;EOMONTH(M$1,0),$I:$I,"&lt;&gt;X")</f>
        <v>0</v>
      </c>
      <c r="N4" s="79">
        <f t="shared" si="3"/>
        <v>0</v>
      </c>
      <c r="O4" s="79">
        <f t="shared" si="3"/>
        <v>0</v>
      </c>
      <c r="P4" s="79">
        <f t="shared" si="3"/>
        <v>0</v>
      </c>
      <c r="Q4" s="79">
        <f t="shared" si="3"/>
        <v>0</v>
      </c>
      <c r="R4" s="79">
        <f t="shared" si="3"/>
        <v>0</v>
      </c>
      <c r="S4" s="79">
        <f t="shared" si="3"/>
        <v>0</v>
      </c>
      <c r="T4" s="79">
        <f t="shared" si="3"/>
        <v>0</v>
      </c>
      <c r="U4" s="79">
        <f t="shared" si="3"/>
        <v>0</v>
      </c>
      <c r="V4" s="79">
        <f t="shared" si="3"/>
        <v>0</v>
      </c>
      <c r="W4" s="79">
        <f t="shared" si="3"/>
        <v>0</v>
      </c>
      <c r="X4" s="79">
        <f t="shared" si="3"/>
        <v>0</v>
      </c>
      <c r="Y4" s="79">
        <f t="shared" si="1"/>
        <v>0</v>
      </c>
    </row>
    <row r="5" spans="1:25" x14ac:dyDescent="0.3">
      <c r="A5" s="83">
        <f>SUM(C:C)</f>
        <v>0</v>
      </c>
      <c r="B5" s="82"/>
      <c r="C5" s="83"/>
      <c r="D5" s="82"/>
      <c r="E5" s="86">
        <f>-SUM(H:H)</f>
        <v>0</v>
      </c>
      <c r="F5" s="86"/>
      <c r="G5" s="86"/>
      <c r="H5" s="86"/>
      <c r="I5" s="86"/>
      <c r="J5" s="86"/>
      <c r="L5" s="87" t="s">
        <v>128</v>
      </c>
      <c r="M5" s="79">
        <f t="shared" ref="M5:X5" si="4">-SUMIFS($H:$H,$G:$G,"&gt;="&amp;M$1,$G:$G,"&lt;="&amp;EOMONTH(M$1,0))</f>
        <v>0</v>
      </c>
      <c r="N5" s="79">
        <f t="shared" si="4"/>
        <v>0</v>
      </c>
      <c r="O5" s="79">
        <f t="shared" si="4"/>
        <v>0</v>
      </c>
      <c r="P5" s="79">
        <f t="shared" si="4"/>
        <v>0</v>
      </c>
      <c r="Q5" s="79">
        <f t="shared" si="4"/>
        <v>0</v>
      </c>
      <c r="R5" s="79">
        <f t="shared" si="4"/>
        <v>0</v>
      </c>
      <c r="S5" s="79">
        <f t="shared" si="4"/>
        <v>0</v>
      </c>
      <c r="T5" s="79">
        <f t="shared" si="4"/>
        <v>0</v>
      </c>
      <c r="U5" s="79">
        <f t="shared" si="4"/>
        <v>0</v>
      </c>
      <c r="V5" s="79">
        <f t="shared" si="4"/>
        <v>0</v>
      </c>
      <c r="W5" s="79">
        <f t="shared" si="4"/>
        <v>0</v>
      </c>
      <c r="X5" s="79">
        <f t="shared" si="4"/>
        <v>0</v>
      </c>
      <c r="Y5" s="79">
        <f t="shared" si="1"/>
        <v>0</v>
      </c>
    </row>
    <row r="6" spans="1:25" x14ac:dyDescent="0.3">
      <c r="A6" s="80" t="s">
        <v>129</v>
      </c>
      <c r="B6" s="80" t="s">
        <v>24</v>
      </c>
      <c r="C6" s="88" t="s">
        <v>121</v>
      </c>
      <c r="D6" s="80" t="s">
        <v>130</v>
      </c>
      <c r="E6" s="87" t="s">
        <v>129</v>
      </c>
      <c r="F6" s="87" t="s">
        <v>131</v>
      </c>
      <c r="G6" s="87" t="s">
        <v>24</v>
      </c>
      <c r="H6" s="87" t="s">
        <v>121</v>
      </c>
      <c r="I6" s="87" t="s">
        <v>130</v>
      </c>
      <c r="J6" s="87" t="s">
        <v>120</v>
      </c>
      <c r="L6" s="4" t="s">
        <v>132</v>
      </c>
      <c r="M6" s="79">
        <f>SUM(M2:M4)-M5</f>
        <v>0</v>
      </c>
      <c r="N6" s="79">
        <f t="shared" ref="N6:X6" si="5">SUM(N2:N4)-N5</f>
        <v>0</v>
      </c>
      <c r="O6" s="79">
        <f t="shared" si="5"/>
        <v>0</v>
      </c>
      <c r="P6" s="79">
        <f t="shared" si="5"/>
        <v>0</v>
      </c>
      <c r="Q6" s="79">
        <f t="shared" si="5"/>
        <v>0</v>
      </c>
      <c r="R6" s="79">
        <f t="shared" si="5"/>
        <v>0</v>
      </c>
      <c r="S6" s="79">
        <f t="shared" si="5"/>
        <v>0</v>
      </c>
      <c r="T6" s="79">
        <f t="shared" si="5"/>
        <v>0</v>
      </c>
      <c r="U6" s="79">
        <f t="shared" si="5"/>
        <v>0</v>
      </c>
      <c r="V6" s="79">
        <f t="shared" si="5"/>
        <v>0</v>
      </c>
      <c r="W6" s="79">
        <f t="shared" si="5"/>
        <v>0</v>
      </c>
      <c r="X6" s="79">
        <f t="shared" si="5"/>
        <v>0</v>
      </c>
      <c r="Y6" s="79">
        <f t="shared" si="1"/>
        <v>0</v>
      </c>
    </row>
    <row r="7" spans="1:25" x14ac:dyDescent="0.3">
      <c r="A7" s="9"/>
      <c r="B7" s="36"/>
      <c r="G7" s="36"/>
      <c r="H7" s="109"/>
      <c r="L7" s="55" t="s">
        <v>133</v>
      </c>
      <c r="M7" s="89">
        <f>+M5-M2</f>
        <v>0</v>
      </c>
      <c r="N7" s="89">
        <f t="shared" ref="N7:X7" si="6">+N5-N2</f>
        <v>0</v>
      </c>
      <c r="O7" s="89">
        <f t="shared" si="6"/>
        <v>0</v>
      </c>
      <c r="P7" s="89">
        <f t="shared" si="6"/>
        <v>0</v>
      </c>
      <c r="Q7" s="89">
        <f t="shared" si="6"/>
        <v>0</v>
      </c>
      <c r="R7" s="89">
        <f t="shared" si="6"/>
        <v>0</v>
      </c>
      <c r="S7" s="89">
        <f t="shared" si="6"/>
        <v>0</v>
      </c>
      <c r="T7" s="89">
        <f t="shared" si="6"/>
        <v>0</v>
      </c>
      <c r="U7" s="89">
        <f t="shared" si="6"/>
        <v>0</v>
      </c>
      <c r="V7" s="89">
        <f t="shared" si="6"/>
        <v>0</v>
      </c>
      <c r="W7" s="89">
        <f t="shared" si="6"/>
        <v>0</v>
      </c>
      <c r="X7" s="89">
        <f t="shared" si="6"/>
        <v>0</v>
      </c>
      <c r="Y7" s="89">
        <f t="shared" si="1"/>
        <v>0</v>
      </c>
    </row>
    <row r="8" spans="1:25" x14ac:dyDescent="0.3">
      <c r="A8" s="9"/>
      <c r="B8" s="36"/>
      <c r="G8" s="36"/>
      <c r="H8" s="109"/>
      <c r="L8" s="55" t="s">
        <v>134</v>
      </c>
      <c r="Y8" s="79">
        <f t="shared" ref="Y8:Y15" si="7">SUM(M8:X8)</f>
        <v>0</v>
      </c>
    </row>
    <row r="9" spans="1:25" x14ac:dyDescent="0.3">
      <c r="A9" s="9"/>
      <c r="B9" s="36"/>
      <c r="G9" s="36"/>
      <c r="H9" s="109"/>
      <c r="L9" t="s">
        <v>135</v>
      </c>
      <c r="M9" s="79"/>
      <c r="N9" s="79"/>
      <c r="O9" s="79">
        <v>-15888</v>
      </c>
      <c r="P9" s="79"/>
      <c r="Q9" s="79">
        <v>15888</v>
      </c>
      <c r="R9" s="79"/>
      <c r="S9" s="79"/>
      <c r="T9" s="79"/>
      <c r="U9" s="79"/>
      <c r="V9" s="79"/>
      <c r="W9" s="79"/>
      <c r="X9" s="79"/>
      <c r="Y9" s="79">
        <f t="shared" si="7"/>
        <v>0</v>
      </c>
    </row>
    <row r="10" spans="1:25" x14ac:dyDescent="0.3">
      <c r="A10" s="9"/>
      <c r="B10" s="36"/>
      <c r="G10" s="36"/>
      <c r="H10" s="109"/>
      <c r="L10" t="s">
        <v>4</v>
      </c>
      <c r="O10" s="79"/>
      <c r="P10" s="79">
        <f>C46</f>
        <v>0</v>
      </c>
      <c r="Q10" s="79">
        <f>'Reconciliation SOLUNE vs SAP'!C47</f>
        <v>0</v>
      </c>
      <c r="R10" s="79"/>
      <c r="S10" s="79"/>
      <c r="T10" s="79">
        <f>+H87</f>
        <v>0</v>
      </c>
      <c r="U10" s="79"/>
      <c r="V10" s="79"/>
      <c r="W10" s="79"/>
      <c r="X10" s="79"/>
      <c r="Y10" s="79">
        <f t="shared" si="7"/>
        <v>0</v>
      </c>
    </row>
    <row r="11" spans="1:25" x14ac:dyDescent="0.3">
      <c r="A11" s="9"/>
      <c r="B11" s="36"/>
      <c r="G11" s="36"/>
      <c r="H11" s="109"/>
      <c r="L11" t="s">
        <v>136</v>
      </c>
      <c r="M11" s="79"/>
      <c r="N11" s="79"/>
      <c r="O11" s="79"/>
      <c r="P11" s="79">
        <f>SUM(H48:H50)</f>
        <v>0</v>
      </c>
      <c r="Q11" s="79">
        <f>H54</f>
        <v>0</v>
      </c>
      <c r="R11" s="79"/>
      <c r="S11" s="79"/>
      <c r="T11" s="79">
        <f>H82+H83+H86</f>
        <v>0</v>
      </c>
      <c r="U11" s="79"/>
      <c r="V11" s="233">
        <v>-36915</v>
      </c>
      <c r="W11" s="79"/>
      <c r="X11" s="79"/>
      <c r="Y11" s="79">
        <f t="shared" si="7"/>
        <v>-36915</v>
      </c>
    </row>
    <row r="12" spans="1:25" x14ac:dyDescent="0.3">
      <c r="A12" s="9"/>
      <c r="B12" s="36"/>
      <c r="G12" s="36"/>
      <c r="H12" s="10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>
        <f t="shared" si="7"/>
        <v>0</v>
      </c>
    </row>
    <row r="13" spans="1:25" x14ac:dyDescent="0.3">
      <c r="A13" s="67"/>
      <c r="B13" s="90"/>
      <c r="C13" s="91"/>
      <c r="D13" s="66"/>
      <c r="G13" s="36"/>
      <c r="H13" s="109"/>
      <c r="M13" s="79"/>
      <c r="N13" s="79"/>
      <c r="O13" s="79"/>
      <c r="R13" s="79"/>
      <c r="S13" s="79"/>
      <c r="T13" s="79"/>
      <c r="U13" s="79"/>
      <c r="V13" s="79"/>
      <c r="W13" s="79"/>
      <c r="X13" s="79"/>
      <c r="Y13" s="79">
        <f t="shared" si="7"/>
        <v>0</v>
      </c>
    </row>
    <row r="14" spans="1:25" x14ac:dyDescent="0.3">
      <c r="A14" s="9"/>
      <c r="B14" s="36"/>
      <c r="G14" s="36"/>
      <c r="H14" s="10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>
        <f t="shared" si="7"/>
        <v>0</v>
      </c>
    </row>
    <row r="15" spans="1:25" x14ac:dyDescent="0.3">
      <c r="A15" s="9"/>
      <c r="B15" s="36"/>
      <c r="G15" s="36"/>
      <c r="H15" s="109"/>
      <c r="L15" s="55" t="s">
        <v>137</v>
      </c>
      <c r="M15" s="89">
        <f t="shared" ref="M15:X15" si="8">SUM(M7:M14)</f>
        <v>0</v>
      </c>
      <c r="N15" s="89">
        <f t="shared" si="8"/>
        <v>0</v>
      </c>
      <c r="O15" s="89">
        <f t="shared" si="8"/>
        <v>-15888</v>
      </c>
      <c r="P15" s="89">
        <f t="shared" si="8"/>
        <v>0</v>
      </c>
      <c r="Q15" s="89">
        <f t="shared" si="8"/>
        <v>15888</v>
      </c>
      <c r="R15" s="89">
        <f t="shared" si="8"/>
        <v>0</v>
      </c>
      <c r="S15" s="89">
        <f t="shared" si="8"/>
        <v>0</v>
      </c>
      <c r="T15" s="89">
        <f t="shared" si="8"/>
        <v>0</v>
      </c>
      <c r="U15" s="89">
        <f t="shared" si="8"/>
        <v>0</v>
      </c>
      <c r="V15" s="89">
        <f t="shared" si="8"/>
        <v>-36915</v>
      </c>
      <c r="W15" s="89">
        <f t="shared" si="8"/>
        <v>0</v>
      </c>
      <c r="X15" s="89">
        <f t="shared" si="8"/>
        <v>0</v>
      </c>
      <c r="Y15" s="89">
        <f t="shared" si="7"/>
        <v>-36915</v>
      </c>
    </row>
    <row r="16" spans="1:25" x14ac:dyDescent="0.3">
      <c r="A16" s="9"/>
      <c r="B16" s="36"/>
      <c r="G16" s="36"/>
      <c r="H16" s="109"/>
      <c r="P16" s="79"/>
      <c r="Q16" s="79"/>
      <c r="R16" s="79"/>
      <c r="S16" s="79"/>
      <c r="T16" s="79"/>
      <c r="U16" s="79"/>
      <c r="V16" s="79"/>
      <c r="W16" s="79"/>
      <c r="X16" s="79"/>
      <c r="Y16" s="79"/>
    </row>
    <row r="17" spans="1:25" x14ac:dyDescent="0.3">
      <c r="A17" s="9"/>
      <c r="B17" s="36"/>
      <c r="G17" s="36"/>
      <c r="H17" s="10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</row>
    <row r="18" spans="1:25" x14ac:dyDescent="0.3">
      <c r="A18" s="9"/>
      <c r="B18" s="36"/>
      <c r="G18" s="36"/>
      <c r="H18" s="10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</row>
    <row r="19" spans="1:25" x14ac:dyDescent="0.3">
      <c r="A19" s="9"/>
      <c r="B19" s="36"/>
      <c r="G19" s="36"/>
      <c r="H19" s="10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</row>
    <row r="20" spans="1:25" x14ac:dyDescent="0.3">
      <c r="A20" s="9"/>
      <c r="B20" s="36"/>
      <c r="G20" s="36"/>
      <c r="H20" s="10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</row>
    <row r="21" spans="1:25" x14ac:dyDescent="0.3">
      <c r="A21" s="9"/>
      <c r="B21" s="36"/>
      <c r="G21" s="36"/>
      <c r="H21" s="10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</row>
    <row r="22" spans="1:25" x14ac:dyDescent="0.3">
      <c r="A22" s="9"/>
      <c r="B22" s="36"/>
      <c r="G22" s="36"/>
      <c r="H22" s="10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</row>
    <row r="23" spans="1:25" x14ac:dyDescent="0.3">
      <c r="A23" s="9"/>
      <c r="B23" s="36"/>
      <c r="G23" s="36"/>
      <c r="H23" s="10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</row>
    <row r="24" spans="1:25" x14ac:dyDescent="0.3">
      <c r="A24" s="9"/>
      <c r="B24" s="36"/>
      <c r="G24" s="36"/>
      <c r="H24" s="10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</row>
    <row r="25" spans="1:25" x14ac:dyDescent="0.3">
      <c r="A25" s="9"/>
      <c r="B25" s="36"/>
      <c r="G25" s="36"/>
      <c r="H25" s="109"/>
    </row>
    <row r="26" spans="1:25" x14ac:dyDescent="0.3">
      <c r="A26" s="9"/>
      <c r="B26" s="36"/>
      <c r="G26" s="36"/>
      <c r="H26" s="109"/>
    </row>
    <row r="27" spans="1:25" x14ac:dyDescent="0.3">
      <c r="A27" s="9"/>
      <c r="B27" s="36"/>
      <c r="G27" s="36"/>
      <c r="H27" s="109"/>
    </row>
    <row r="28" spans="1:25" x14ac:dyDescent="0.3">
      <c r="A28" s="9"/>
      <c r="B28" s="36"/>
      <c r="G28" s="36"/>
      <c r="H28" s="109"/>
    </row>
    <row r="29" spans="1:25" x14ac:dyDescent="0.3">
      <c r="A29" s="9"/>
      <c r="B29" s="36"/>
      <c r="G29" s="36"/>
      <c r="H29" s="109"/>
    </row>
    <row r="30" spans="1:25" x14ac:dyDescent="0.3">
      <c r="A30" s="9"/>
      <c r="B30" s="36"/>
      <c r="G30" s="36"/>
      <c r="H30" s="109"/>
    </row>
    <row r="31" spans="1:25" x14ac:dyDescent="0.3">
      <c r="A31" s="9"/>
      <c r="B31" s="36"/>
      <c r="G31" s="36"/>
      <c r="H31" s="109"/>
    </row>
    <row r="32" spans="1:25" x14ac:dyDescent="0.3">
      <c r="A32" s="9"/>
      <c r="B32" s="36"/>
      <c r="G32" s="36"/>
      <c r="H32" s="109"/>
    </row>
    <row r="33" spans="1:10" x14ac:dyDescent="0.3">
      <c r="A33" s="9"/>
      <c r="B33" s="36"/>
      <c r="G33" s="36"/>
      <c r="H33" s="109"/>
    </row>
    <row r="34" spans="1:10" x14ac:dyDescent="0.3">
      <c r="A34" s="9"/>
      <c r="B34" s="36"/>
      <c r="G34" s="36"/>
      <c r="H34" s="109"/>
    </row>
    <row r="35" spans="1:10" x14ac:dyDescent="0.3">
      <c r="A35" s="9"/>
      <c r="B35" s="36"/>
      <c r="G35" s="36"/>
      <c r="H35" s="109"/>
    </row>
    <row r="36" spans="1:10" x14ac:dyDescent="0.3">
      <c r="A36" s="9"/>
      <c r="B36" s="36"/>
      <c r="G36" s="36"/>
      <c r="H36" s="109"/>
    </row>
    <row r="37" spans="1:10" x14ac:dyDescent="0.3">
      <c r="A37" s="9"/>
      <c r="B37" s="36"/>
      <c r="G37" s="90"/>
      <c r="H37" s="109"/>
      <c r="I37" s="66"/>
    </row>
    <row r="38" spans="1:10" x14ac:dyDescent="0.3">
      <c r="A38" s="9"/>
      <c r="B38" s="36"/>
      <c r="G38" s="36"/>
      <c r="H38" s="109"/>
    </row>
    <row r="39" spans="1:10" x14ac:dyDescent="0.3">
      <c r="A39" s="9"/>
      <c r="B39" s="36"/>
      <c r="G39" s="36"/>
      <c r="H39" s="109"/>
    </row>
    <row r="40" spans="1:10" x14ac:dyDescent="0.3">
      <c r="A40" s="9"/>
      <c r="B40" s="36"/>
      <c r="G40" s="36"/>
      <c r="H40" s="79"/>
    </row>
    <row r="41" spans="1:10" x14ac:dyDescent="0.3">
      <c r="A41" s="9"/>
      <c r="B41" s="36"/>
      <c r="G41" s="36"/>
      <c r="H41" s="79"/>
    </row>
    <row r="42" spans="1:10" x14ac:dyDescent="0.3">
      <c r="A42" s="9"/>
      <c r="B42" s="36"/>
      <c r="E42" s="112"/>
      <c r="G42" s="36"/>
      <c r="H42" s="113"/>
    </row>
    <row r="43" spans="1:10" x14ac:dyDescent="0.3">
      <c r="A43" s="9"/>
      <c r="B43" s="36"/>
      <c r="E43" s="112"/>
      <c r="G43" s="36"/>
      <c r="H43" s="113"/>
    </row>
    <row r="44" spans="1:10" x14ac:dyDescent="0.3">
      <c r="A44" s="50"/>
      <c r="B44" s="51"/>
      <c r="E44" s="112"/>
      <c r="G44" s="36"/>
      <c r="H44" s="113"/>
    </row>
    <row r="45" spans="1:10" x14ac:dyDescent="0.3">
      <c r="A45" s="50"/>
      <c r="B45" s="51"/>
      <c r="E45" s="108"/>
      <c r="F45" s="108"/>
      <c r="G45" s="111"/>
      <c r="H45" s="110"/>
      <c r="J45" s="108"/>
    </row>
    <row r="46" spans="1:10" x14ac:dyDescent="0.3">
      <c r="A46" s="50"/>
      <c r="B46" s="51"/>
      <c r="E46" s="108"/>
      <c r="F46" s="108"/>
      <c r="G46" s="111"/>
      <c r="H46" s="110"/>
      <c r="J46" s="108"/>
    </row>
    <row r="47" spans="1:10" x14ac:dyDescent="0.3">
      <c r="A47" s="50"/>
      <c r="B47" s="51"/>
      <c r="E47" s="108"/>
      <c r="F47" s="108"/>
      <c r="G47" s="111"/>
      <c r="H47" s="110"/>
      <c r="J47" s="108"/>
    </row>
    <row r="48" spans="1:10" x14ac:dyDescent="0.3">
      <c r="B48" s="36"/>
      <c r="E48" s="108"/>
      <c r="F48" s="108"/>
      <c r="G48" s="111"/>
      <c r="H48" s="110"/>
      <c r="J48" s="108"/>
    </row>
    <row r="49" spans="1:10" x14ac:dyDescent="0.3">
      <c r="B49" s="36"/>
      <c r="E49" s="108"/>
      <c r="F49" s="108"/>
      <c r="G49" s="111"/>
      <c r="H49" s="110"/>
      <c r="J49" s="108"/>
    </row>
    <row r="50" spans="1:10" x14ac:dyDescent="0.3">
      <c r="B50" s="36"/>
      <c r="E50" s="108"/>
      <c r="F50" s="108"/>
      <c r="G50" s="111"/>
      <c r="H50" s="110"/>
      <c r="J50" s="108"/>
    </row>
    <row r="51" spans="1:10" x14ac:dyDescent="0.3">
      <c r="A51" s="50"/>
      <c r="B51" s="51"/>
      <c r="E51" s="108"/>
      <c r="F51" s="108"/>
      <c r="G51" s="111"/>
      <c r="H51" s="110"/>
      <c r="J51" s="108"/>
    </row>
    <row r="52" spans="1:10" x14ac:dyDescent="0.3">
      <c r="B52" s="36"/>
      <c r="E52" s="108"/>
      <c r="F52" s="108"/>
      <c r="G52" s="111"/>
      <c r="H52" s="110"/>
      <c r="J52" s="108"/>
    </row>
    <row r="53" spans="1:10" x14ac:dyDescent="0.3">
      <c r="B53" s="36"/>
      <c r="E53" s="108"/>
      <c r="F53" s="108"/>
      <c r="G53" s="111"/>
      <c r="H53" s="110"/>
      <c r="J53" s="108"/>
    </row>
    <row r="54" spans="1:10" x14ac:dyDescent="0.3">
      <c r="B54" s="36"/>
      <c r="E54" s="108"/>
      <c r="F54" s="108"/>
      <c r="G54" s="111"/>
      <c r="H54" s="110"/>
      <c r="J54" s="108"/>
    </row>
    <row r="55" spans="1:10" x14ac:dyDescent="0.3">
      <c r="B55" s="36"/>
      <c r="E55" s="108"/>
      <c r="F55" s="108"/>
      <c r="G55" s="111"/>
      <c r="H55" s="110"/>
      <c r="J55" s="108"/>
    </row>
    <row r="56" spans="1:10" x14ac:dyDescent="0.3">
      <c r="B56" s="36"/>
      <c r="E56" s="108"/>
      <c r="F56" s="108"/>
      <c r="G56" s="111"/>
      <c r="H56" s="110"/>
      <c r="J56" s="108"/>
    </row>
    <row r="57" spans="1:10" x14ac:dyDescent="0.3">
      <c r="A57" s="99"/>
      <c r="B57" s="36"/>
      <c r="E57" s="108"/>
      <c r="F57" s="108"/>
      <c r="G57" s="111"/>
      <c r="H57" s="110"/>
      <c r="J57" s="108"/>
    </row>
    <row r="58" spans="1:10" x14ac:dyDescent="0.3">
      <c r="B58" s="36"/>
      <c r="E58" s="108"/>
      <c r="F58" s="108"/>
      <c r="G58" s="111"/>
      <c r="H58" s="110"/>
      <c r="J58" s="108"/>
    </row>
    <row r="59" spans="1:10" x14ac:dyDescent="0.3">
      <c r="B59" s="36"/>
      <c r="E59" s="182"/>
      <c r="F59" s="183"/>
      <c r="G59" s="186"/>
      <c r="H59" s="184"/>
      <c r="J59" s="187"/>
    </row>
    <row r="60" spans="1:10" x14ac:dyDescent="0.3">
      <c r="B60" s="36"/>
      <c r="E60" s="182"/>
      <c r="F60" s="183"/>
      <c r="G60" s="186"/>
      <c r="H60" s="184"/>
      <c r="J60" s="187"/>
    </row>
    <row r="61" spans="1:10" x14ac:dyDescent="0.3">
      <c r="B61" s="36"/>
      <c r="C61" s="8"/>
      <c r="E61" s="182"/>
      <c r="F61" s="183"/>
      <c r="G61" s="186"/>
      <c r="H61" s="184"/>
      <c r="J61" s="187"/>
    </row>
    <row r="62" spans="1:10" x14ac:dyDescent="0.3">
      <c r="B62" s="36"/>
      <c r="C62" s="8"/>
      <c r="E62" s="182"/>
      <c r="F62" s="183"/>
      <c r="G62" s="186"/>
      <c r="H62" s="184"/>
      <c r="J62" s="187"/>
    </row>
    <row r="63" spans="1:10" x14ac:dyDescent="0.3">
      <c r="B63" s="36"/>
      <c r="C63" s="8"/>
      <c r="E63" s="182"/>
      <c r="F63" s="183"/>
      <c r="G63" s="186"/>
      <c r="H63" s="184"/>
      <c r="J63" s="187"/>
    </row>
    <row r="64" spans="1:10" x14ac:dyDescent="0.3">
      <c r="B64" s="36"/>
      <c r="C64" s="8"/>
      <c r="E64" s="182"/>
      <c r="F64" s="183"/>
      <c r="G64" s="186"/>
      <c r="H64" s="184"/>
      <c r="J64" s="187"/>
    </row>
    <row r="65" spans="2:10" x14ac:dyDescent="0.3">
      <c r="B65" s="36"/>
      <c r="C65" s="8"/>
      <c r="E65" s="182"/>
      <c r="F65" s="183"/>
      <c r="G65" s="186"/>
      <c r="H65" s="185"/>
      <c r="J65" s="187"/>
    </row>
    <row r="66" spans="2:10" x14ac:dyDescent="0.3">
      <c r="B66" s="36"/>
      <c r="C66" s="8"/>
      <c r="E66" s="182"/>
      <c r="F66" s="183"/>
      <c r="G66" s="186"/>
      <c r="H66" s="185"/>
      <c r="J66" s="187"/>
    </row>
    <row r="67" spans="2:10" x14ac:dyDescent="0.3">
      <c r="B67" s="36"/>
      <c r="C67" s="8"/>
      <c r="E67" s="182"/>
      <c r="F67" s="183"/>
      <c r="G67" s="186"/>
      <c r="H67" s="184"/>
      <c r="J67" s="187"/>
    </row>
    <row r="68" spans="2:10" x14ac:dyDescent="0.3">
      <c r="B68" s="36"/>
      <c r="C68" s="8"/>
      <c r="E68" s="182"/>
      <c r="F68" s="183"/>
      <c r="G68" s="186"/>
      <c r="H68" s="184"/>
      <c r="J68" s="187"/>
    </row>
    <row r="69" spans="2:10" x14ac:dyDescent="0.3">
      <c r="B69" s="36"/>
      <c r="C69" s="8"/>
      <c r="E69" s="188"/>
      <c r="F69" s="189"/>
      <c r="G69" s="193"/>
      <c r="H69" s="190"/>
      <c r="J69" s="192"/>
    </row>
    <row r="70" spans="2:10" x14ac:dyDescent="0.3">
      <c r="B70" s="36"/>
      <c r="C70" s="8"/>
      <c r="E70" s="188"/>
      <c r="F70" s="189"/>
      <c r="G70" s="193"/>
      <c r="H70" s="190"/>
      <c r="J70" s="192"/>
    </row>
    <row r="71" spans="2:10" x14ac:dyDescent="0.3">
      <c r="B71" s="36"/>
      <c r="C71" s="8"/>
      <c r="E71" s="188"/>
      <c r="F71" s="189"/>
      <c r="G71" s="193"/>
      <c r="H71" s="190"/>
      <c r="J71" s="192"/>
    </row>
    <row r="72" spans="2:10" x14ac:dyDescent="0.3">
      <c r="B72" s="36"/>
      <c r="C72" s="8"/>
      <c r="E72" s="188"/>
      <c r="F72" s="189"/>
      <c r="G72" s="193"/>
      <c r="H72" s="190"/>
      <c r="J72" s="192"/>
    </row>
    <row r="73" spans="2:10" x14ac:dyDescent="0.3">
      <c r="B73" s="36"/>
      <c r="C73" s="8"/>
      <c r="E73" s="188"/>
      <c r="F73" s="189"/>
      <c r="G73" s="193"/>
      <c r="H73" s="191"/>
      <c r="J73" s="192"/>
    </row>
    <row r="74" spans="2:10" x14ac:dyDescent="0.3">
      <c r="B74" s="36"/>
      <c r="C74" s="8"/>
      <c r="E74" s="188"/>
      <c r="F74" s="189"/>
      <c r="G74" s="193"/>
      <c r="H74" s="190"/>
      <c r="J74" s="192"/>
    </row>
    <row r="75" spans="2:10" x14ac:dyDescent="0.3">
      <c r="B75" s="36"/>
      <c r="C75" s="8"/>
      <c r="E75" s="188"/>
      <c r="F75" s="189"/>
      <c r="G75" s="193"/>
      <c r="H75" s="190"/>
      <c r="J75" s="192"/>
    </row>
    <row r="76" spans="2:10" x14ac:dyDescent="0.3">
      <c r="B76" s="36"/>
      <c r="C76" s="8"/>
      <c r="G76" s="193"/>
      <c r="H76" s="79"/>
    </row>
    <row r="77" spans="2:10" x14ac:dyDescent="0.3">
      <c r="B77" s="36"/>
      <c r="C77" s="8"/>
      <c r="G77" s="193"/>
      <c r="H77" s="79"/>
    </row>
    <row r="78" spans="2:10" x14ac:dyDescent="0.3">
      <c r="B78" s="36"/>
      <c r="G78" s="193"/>
      <c r="H78" s="79"/>
    </row>
    <row r="79" spans="2:10" x14ac:dyDescent="0.3">
      <c r="B79" s="36"/>
      <c r="E79" s="211"/>
      <c r="G79" s="36"/>
      <c r="H79" s="79"/>
    </row>
    <row r="80" spans="2:10" x14ac:dyDescent="0.3">
      <c r="B80" s="36"/>
      <c r="E80" s="211"/>
      <c r="G80" s="193"/>
      <c r="H80" s="79"/>
    </row>
    <row r="81" spans="1:8" x14ac:dyDescent="0.3">
      <c r="B81" s="36"/>
      <c r="E81" s="211"/>
      <c r="G81" s="193"/>
      <c r="H81" s="79"/>
    </row>
    <row r="82" spans="1:8" x14ac:dyDescent="0.3">
      <c r="B82" s="36"/>
      <c r="E82" s="211"/>
      <c r="G82" s="193"/>
      <c r="H82" s="79"/>
    </row>
    <row r="83" spans="1:8" x14ac:dyDescent="0.3">
      <c r="B83" s="36"/>
      <c r="E83" s="211"/>
      <c r="G83" s="193"/>
      <c r="H83" s="79"/>
    </row>
    <row r="84" spans="1:8" x14ac:dyDescent="0.3">
      <c r="B84" s="36"/>
      <c r="E84" s="211"/>
      <c r="G84" s="193"/>
      <c r="H84" s="79"/>
    </row>
    <row r="85" spans="1:8" x14ac:dyDescent="0.3">
      <c r="B85" s="36"/>
      <c r="F85" s="36"/>
      <c r="G85" s="193"/>
      <c r="H85" s="79"/>
    </row>
    <row r="86" spans="1:8" x14ac:dyDescent="0.3">
      <c r="B86" s="36"/>
      <c r="C86" s="52"/>
      <c r="G86" s="193"/>
      <c r="H86" s="79"/>
    </row>
    <row r="87" spans="1:8" x14ac:dyDescent="0.3">
      <c r="B87" s="193"/>
      <c r="C87" s="8"/>
      <c r="G87" s="193"/>
      <c r="H87" s="79"/>
    </row>
    <row r="88" spans="1:8" x14ac:dyDescent="0.3">
      <c r="B88" s="193"/>
      <c r="C88" s="8"/>
      <c r="G88" s="36"/>
      <c r="H88" s="91"/>
    </row>
    <row r="89" spans="1:8" x14ac:dyDescent="0.3">
      <c r="B89" s="193"/>
      <c r="C89" s="8"/>
      <c r="G89" s="193"/>
      <c r="H89" s="91"/>
    </row>
    <row r="90" spans="1:8" x14ac:dyDescent="0.3">
      <c r="B90" s="193"/>
      <c r="C90" s="8"/>
      <c r="G90" s="193"/>
      <c r="H90" s="79"/>
    </row>
    <row r="91" spans="1:8" x14ac:dyDescent="0.3">
      <c r="B91" s="193"/>
      <c r="C91" s="8"/>
      <c r="G91" s="193"/>
      <c r="H91" s="79"/>
    </row>
    <row r="92" spans="1:8" x14ac:dyDescent="0.3">
      <c r="B92" s="193"/>
      <c r="C92" s="8"/>
      <c r="G92" s="193"/>
      <c r="H92" s="79"/>
    </row>
    <row r="93" spans="1:8" x14ac:dyDescent="0.3">
      <c r="B93" s="193"/>
      <c r="C93" s="8"/>
      <c r="G93" s="193"/>
      <c r="H93" s="79"/>
    </row>
    <row r="94" spans="1:8" x14ac:dyDescent="0.3">
      <c r="B94" s="193"/>
      <c r="C94" s="8"/>
      <c r="G94" s="193"/>
      <c r="H94" s="79"/>
    </row>
    <row r="95" spans="1:8" x14ac:dyDescent="0.3">
      <c r="B95" s="193"/>
      <c r="C95" s="8"/>
      <c r="G95" s="193"/>
      <c r="H95" s="79"/>
    </row>
    <row r="96" spans="1:8" x14ac:dyDescent="0.3">
      <c r="A96" s="227"/>
      <c r="B96" s="228"/>
      <c r="C96" s="229"/>
      <c r="D96" s="227"/>
      <c r="G96" s="193"/>
      <c r="H96" s="79"/>
    </row>
    <row r="97" spans="1:10" x14ac:dyDescent="0.3">
      <c r="A97" s="227"/>
      <c r="B97" s="228"/>
      <c r="C97" s="229"/>
      <c r="D97" s="227"/>
      <c r="G97" s="193"/>
      <c r="H97" s="79"/>
    </row>
    <row r="98" spans="1:10" x14ac:dyDescent="0.3">
      <c r="A98" s="227"/>
      <c r="B98" s="228"/>
      <c r="C98" s="229"/>
      <c r="D98" s="227"/>
      <c r="G98" s="193"/>
      <c r="H98" s="79"/>
    </row>
    <row r="99" spans="1:10" x14ac:dyDescent="0.3">
      <c r="A99" s="227"/>
      <c r="B99" s="228"/>
      <c r="C99" s="229"/>
      <c r="D99" s="227"/>
      <c r="G99" s="193"/>
      <c r="H99" s="79"/>
    </row>
    <row r="100" spans="1:10" x14ac:dyDescent="0.3">
      <c r="E100" s="230"/>
      <c r="F100" s="230"/>
      <c r="G100" s="232"/>
      <c r="H100" s="231"/>
      <c r="I100" s="230"/>
      <c r="J100" s="230"/>
    </row>
    <row r="101" spans="1:10" x14ac:dyDescent="0.3">
      <c r="E101" s="230"/>
      <c r="F101" s="230"/>
      <c r="G101" s="232"/>
      <c r="H101" s="231"/>
      <c r="I101" s="230"/>
      <c r="J101" s="230"/>
    </row>
    <row r="102" spans="1:10" x14ac:dyDescent="0.3">
      <c r="E102" s="230"/>
      <c r="F102" s="230"/>
      <c r="G102" s="232"/>
      <c r="H102" s="231"/>
      <c r="I102" s="230"/>
      <c r="J102" s="230"/>
    </row>
    <row r="103" spans="1:10" x14ac:dyDescent="0.3">
      <c r="E103" s="230"/>
      <c r="F103" s="230"/>
      <c r="G103" s="232"/>
      <c r="H103" s="231"/>
      <c r="I103" s="230"/>
      <c r="J103" s="230"/>
    </row>
    <row r="104" spans="1:10" x14ac:dyDescent="0.3">
      <c r="E104" s="230"/>
      <c r="F104" s="230"/>
      <c r="G104" s="232"/>
      <c r="H104" s="231"/>
      <c r="I104" s="230"/>
      <c r="J104" s="230"/>
    </row>
    <row r="105" spans="1:10" x14ac:dyDescent="0.3">
      <c r="G105" s="36"/>
      <c r="H105" s="79"/>
    </row>
    <row r="106" spans="1:10" x14ac:dyDescent="0.3">
      <c r="G106" s="36"/>
      <c r="H106" s="79"/>
    </row>
    <row r="107" spans="1:10" x14ac:dyDescent="0.3">
      <c r="G107" s="36"/>
      <c r="H107" s="79"/>
    </row>
    <row r="108" spans="1:10" x14ac:dyDescent="0.3">
      <c r="G108" s="36"/>
      <c r="H108" s="79"/>
    </row>
    <row r="109" spans="1:10" x14ac:dyDescent="0.3">
      <c r="G109" s="36"/>
      <c r="H109" s="79"/>
    </row>
    <row r="110" spans="1:10" x14ac:dyDescent="0.3">
      <c r="G110" s="36"/>
      <c r="H110" s="79"/>
    </row>
    <row r="111" spans="1:10" x14ac:dyDescent="0.3">
      <c r="G111" s="36"/>
      <c r="H111" s="79"/>
    </row>
    <row r="112" spans="1:10" x14ac:dyDescent="0.3">
      <c r="G112" s="36"/>
      <c r="H112" s="79"/>
    </row>
    <row r="113" spans="7:8" x14ac:dyDescent="0.3">
      <c r="G113" s="36"/>
      <c r="H113" s="79"/>
    </row>
    <row r="114" spans="7:8" x14ac:dyDescent="0.3">
      <c r="G114" s="36"/>
    </row>
    <row r="115" spans="7:8" x14ac:dyDescent="0.3">
      <c r="G115" s="36"/>
    </row>
    <row r="116" spans="7:8" x14ac:dyDescent="0.3">
      <c r="G116" s="36"/>
    </row>
    <row r="117" spans="7:8" x14ac:dyDescent="0.3">
      <c r="G117" s="36"/>
      <c r="H117" s="79"/>
    </row>
    <row r="118" spans="7:8" x14ac:dyDescent="0.3">
      <c r="G118" s="36"/>
      <c r="H118" s="79"/>
    </row>
    <row r="119" spans="7:8" x14ac:dyDescent="0.3">
      <c r="G119" s="36"/>
      <c r="H119" s="79"/>
    </row>
    <row r="120" spans="7:8" x14ac:dyDescent="0.3">
      <c r="G120" s="36"/>
      <c r="H120" s="79"/>
    </row>
    <row r="121" spans="7:8" x14ac:dyDescent="0.3">
      <c r="G121" s="36"/>
    </row>
    <row r="122" spans="7:8" x14ac:dyDescent="0.3">
      <c r="G122" s="36"/>
    </row>
    <row r="123" spans="7:8" x14ac:dyDescent="0.3">
      <c r="G123" s="36"/>
    </row>
    <row r="124" spans="7:8" x14ac:dyDescent="0.3">
      <c r="G124" s="36"/>
      <c r="H124" s="79"/>
    </row>
    <row r="125" spans="7:8" x14ac:dyDescent="0.3">
      <c r="G125" s="36"/>
      <c r="H125" s="79"/>
    </row>
    <row r="126" spans="7:8" x14ac:dyDescent="0.3">
      <c r="G126" s="36"/>
      <c r="H126" s="79"/>
    </row>
    <row r="127" spans="7:8" x14ac:dyDescent="0.3">
      <c r="G127" s="36"/>
      <c r="H127" s="79"/>
    </row>
    <row r="128" spans="7:8" x14ac:dyDescent="0.3">
      <c r="G128" s="36"/>
    </row>
    <row r="129" spans="7:8" x14ac:dyDescent="0.3">
      <c r="G129" s="36"/>
      <c r="H129" s="79"/>
    </row>
    <row r="130" spans="7:8" x14ac:dyDescent="0.3">
      <c r="G130" s="36"/>
      <c r="H130" s="79"/>
    </row>
    <row r="131" spans="7:8" x14ac:dyDescent="0.3">
      <c r="G131" s="36"/>
      <c r="H131" s="79"/>
    </row>
    <row r="132" spans="7:8" x14ac:dyDescent="0.3">
      <c r="G132" s="36"/>
      <c r="H132" s="79"/>
    </row>
    <row r="133" spans="7:8" x14ac:dyDescent="0.3">
      <c r="G133" s="36"/>
      <c r="H133" s="79"/>
    </row>
    <row r="134" spans="7:8" x14ac:dyDescent="0.3">
      <c r="G134" s="36"/>
      <c r="H134" s="79"/>
    </row>
    <row r="135" spans="7:8" x14ac:dyDescent="0.3">
      <c r="G135" s="36"/>
      <c r="H135" s="79"/>
    </row>
    <row r="136" spans="7:8" x14ac:dyDescent="0.3">
      <c r="G136" s="36"/>
      <c r="H136" s="79"/>
    </row>
    <row r="137" spans="7:8" x14ac:dyDescent="0.3">
      <c r="G137" s="36"/>
      <c r="H137" s="79"/>
    </row>
    <row r="138" spans="7:8" x14ac:dyDescent="0.3">
      <c r="G138" s="36"/>
      <c r="H138" s="79"/>
    </row>
    <row r="139" spans="7:8" x14ac:dyDescent="0.3">
      <c r="G139" s="36"/>
      <c r="H139" s="79"/>
    </row>
    <row r="140" spans="7:8" x14ac:dyDescent="0.3">
      <c r="G140" s="36"/>
      <c r="H140" s="79"/>
    </row>
    <row r="141" spans="7:8" x14ac:dyDescent="0.3">
      <c r="G141" s="36"/>
      <c r="H141" s="79"/>
    </row>
    <row r="142" spans="7:8" x14ac:dyDescent="0.3">
      <c r="G142" s="36"/>
      <c r="H142" s="79"/>
    </row>
    <row r="143" spans="7:8" x14ac:dyDescent="0.3">
      <c r="G143" s="36"/>
      <c r="H143" s="79"/>
    </row>
    <row r="144" spans="7:8" x14ac:dyDescent="0.3">
      <c r="G144" s="36"/>
      <c r="H144" s="79"/>
    </row>
    <row r="145" spans="7:8" x14ac:dyDescent="0.3">
      <c r="G145" s="36"/>
      <c r="H145" s="79"/>
    </row>
    <row r="146" spans="7:8" x14ac:dyDescent="0.3">
      <c r="G146" s="36"/>
      <c r="H146" s="79"/>
    </row>
  </sheetData>
  <conditionalFormatting sqref="A49:A60 A44:A46 A61:C77">
    <cfRule type="expression" dxfId="160" priority="104">
      <formula>OR($M44="Annulé",$M44="Rejeté")</formula>
    </cfRule>
  </conditionalFormatting>
  <conditionalFormatting sqref="A49:A60 A44:A46 A61:C77">
    <cfRule type="expression" dxfId="159" priority="92">
      <formula>AND(YEAR($Y44)=YEAR(TODAY()),MONTH($Y44)=MONTH(336))</formula>
    </cfRule>
    <cfRule type="expression" dxfId="158" priority="93">
      <formula>AND(YEAR($Y44)=YEAR(TODAY()),MONTH($Y44)=MONTH(306))</formula>
    </cfRule>
    <cfRule type="expression" dxfId="157" priority="94">
      <formula>AND(YEAR($Y44)=YEAR(TODAY()),MONTH($Y44)=MONTH(275))</formula>
    </cfRule>
    <cfRule type="expression" dxfId="156" priority="95">
      <formula>AND(YEAR($Y44)=YEAR(TODAY()),MONTH($Y44)=MONTH(245))</formula>
    </cfRule>
    <cfRule type="expression" dxfId="155" priority="96">
      <formula>AND(YEAR($Y44)=YEAR(TODAY()),MONTH($Y44)=MONTH(214))</formula>
    </cfRule>
    <cfRule type="expression" dxfId="154" priority="97">
      <formula>AND(YEAR($Y44)=YEAR(TODAY()),MONTH($Y44)=MONTH(183))</formula>
    </cfRule>
    <cfRule type="expression" dxfId="153" priority="98">
      <formula>AND(YEAR($Y44)=YEAR(TODAY()),MONTH($Y44)=MONTH(153))</formula>
    </cfRule>
    <cfRule type="expression" dxfId="152" priority="99">
      <formula>AND(YEAR($Y44)=YEAR(TODAY()),MONTH($Y44)=MONTH(152))</formula>
    </cfRule>
    <cfRule type="expression" dxfId="151" priority="100">
      <formula>AND(YEAR($Y44)=YEAR(TODAY()),MONTH($Y44)=MONTH(121))</formula>
    </cfRule>
    <cfRule type="expression" dxfId="150" priority="101">
      <formula>AND(YEAR($Y44)=YEAR(TODAY()),MONTH($Y44)=MONTH(91))</formula>
    </cfRule>
    <cfRule type="expression" dxfId="149" priority="102">
      <formula>AND(YEAR($Y44)=YEAR(TODAY()),MONTH($Y44)=MONTH(60))</formula>
    </cfRule>
    <cfRule type="expression" dxfId="148" priority="103">
      <formula>AND(YEAR($Y44)=YEAR(TODAY()),MONTH($Y44)=MONTH(31))</formula>
    </cfRule>
  </conditionalFormatting>
  <conditionalFormatting sqref="A47">
    <cfRule type="expression" dxfId="147" priority="91">
      <formula>OR($M47="Annulé",$M47="Rejeté")</formula>
    </cfRule>
  </conditionalFormatting>
  <conditionalFormatting sqref="A47">
    <cfRule type="expression" dxfId="146" priority="79">
      <formula>AND(YEAR($Y47)=YEAR(TODAY()),MONTH($Y47)=MONTH(336))</formula>
    </cfRule>
    <cfRule type="expression" dxfId="145" priority="80">
      <formula>AND(YEAR($Y47)=YEAR(TODAY()),MONTH($Y47)=MONTH(306))</formula>
    </cfRule>
    <cfRule type="expression" dxfId="144" priority="81">
      <formula>AND(YEAR($Y47)=YEAR(TODAY()),MONTH($Y47)=MONTH(275))</formula>
    </cfRule>
    <cfRule type="expression" dxfId="143" priority="82">
      <formula>AND(YEAR($Y47)=YEAR(TODAY()),MONTH($Y47)=MONTH(245))</formula>
    </cfRule>
    <cfRule type="expression" dxfId="142" priority="83">
      <formula>AND(YEAR($Y47)=YEAR(TODAY()),MONTH($Y47)=MONTH(214))</formula>
    </cfRule>
    <cfRule type="expression" dxfId="141" priority="84">
      <formula>AND(YEAR($Y47)=YEAR(TODAY()),MONTH($Y47)=MONTH(183))</formula>
    </cfRule>
    <cfRule type="expression" dxfId="140" priority="85">
      <formula>AND(YEAR($Y47)=YEAR(TODAY()),MONTH($Y47)=MONTH(153))</formula>
    </cfRule>
    <cfRule type="expression" dxfId="139" priority="86">
      <formula>AND(YEAR($Y47)=YEAR(TODAY()),MONTH($Y47)=MONTH(152))</formula>
    </cfRule>
    <cfRule type="expression" dxfId="138" priority="87">
      <formula>AND(YEAR($Y47)=YEAR(TODAY()),MONTH($Y47)=MONTH(121))</formula>
    </cfRule>
    <cfRule type="expression" dxfId="137" priority="88">
      <formula>AND(YEAR($Y47)=YEAR(TODAY()),MONTH($Y47)=MONTH(91))</formula>
    </cfRule>
    <cfRule type="expression" dxfId="136" priority="89">
      <formula>AND(YEAR($Y47)=YEAR(TODAY()),MONTH($Y47)=MONTH(60))</formula>
    </cfRule>
    <cfRule type="expression" dxfId="135" priority="90">
      <formula>AND(YEAR($Y47)=YEAR(TODAY()),MONTH($Y47)=MONTH(31))</formula>
    </cfRule>
  </conditionalFormatting>
  <conditionalFormatting sqref="A48">
    <cfRule type="expression" dxfId="134" priority="78">
      <formula>OR($M48="Annulé",$M48="Rejeté")</formula>
    </cfRule>
  </conditionalFormatting>
  <conditionalFormatting sqref="A48">
    <cfRule type="expression" dxfId="133" priority="66">
      <formula>AND(YEAR($Y48)=YEAR(TODAY()),MONTH($Y48)=MONTH(336))</formula>
    </cfRule>
    <cfRule type="expression" dxfId="132" priority="67">
      <formula>AND(YEAR($Y48)=YEAR(TODAY()),MONTH($Y48)=MONTH(306))</formula>
    </cfRule>
    <cfRule type="expression" dxfId="131" priority="68">
      <formula>AND(YEAR($Y48)=YEAR(TODAY()),MONTH($Y48)=MONTH(275))</formula>
    </cfRule>
    <cfRule type="expression" dxfId="130" priority="69">
      <formula>AND(YEAR($Y48)=YEAR(TODAY()),MONTH($Y48)=MONTH(245))</formula>
    </cfRule>
    <cfRule type="expression" dxfId="129" priority="70">
      <formula>AND(YEAR($Y48)=YEAR(TODAY()),MONTH($Y48)=MONTH(214))</formula>
    </cfRule>
    <cfRule type="expression" dxfId="128" priority="71">
      <formula>AND(YEAR($Y48)=YEAR(TODAY()),MONTH($Y48)=MONTH(183))</formula>
    </cfRule>
    <cfRule type="expression" dxfId="127" priority="72">
      <formula>AND(YEAR($Y48)=YEAR(TODAY()),MONTH($Y48)=MONTH(153))</formula>
    </cfRule>
    <cfRule type="expression" dxfId="126" priority="73">
      <formula>AND(YEAR($Y48)=YEAR(TODAY()),MONTH($Y48)=MONTH(152))</formula>
    </cfRule>
    <cfRule type="expression" dxfId="125" priority="74">
      <formula>AND(YEAR($Y48)=YEAR(TODAY()),MONTH($Y48)=MONTH(121))</formula>
    </cfRule>
    <cfRule type="expression" dxfId="124" priority="75">
      <formula>AND(YEAR($Y48)=YEAR(TODAY()),MONTH($Y48)=MONTH(91))</formula>
    </cfRule>
    <cfRule type="expression" dxfId="123" priority="76">
      <formula>AND(YEAR($Y48)=YEAR(TODAY()),MONTH($Y48)=MONTH(60))</formula>
    </cfRule>
    <cfRule type="expression" dxfId="122" priority="77">
      <formula>AND(YEAR($Y48)=YEAR(TODAY()),MONTH($Y48)=MONTH(31))</formula>
    </cfRule>
  </conditionalFormatting>
  <conditionalFormatting sqref="B49:B60 B44:B46">
    <cfRule type="expression" dxfId="121" priority="65">
      <formula>OR($M44="Annulé",$M44="Rejeté")</formula>
    </cfRule>
  </conditionalFormatting>
  <conditionalFormatting sqref="B49:B60 B44:B46">
    <cfRule type="expression" dxfId="120" priority="53">
      <formula>AND(YEAR($Y44)=YEAR(TODAY()),MONTH($Y44)=MONTH(336))</formula>
    </cfRule>
    <cfRule type="expression" dxfId="119" priority="54">
      <formula>AND(YEAR($Y44)=YEAR(TODAY()),MONTH($Y44)=MONTH(306))</formula>
    </cfRule>
    <cfRule type="expression" dxfId="118" priority="55">
      <formula>AND(YEAR($Y44)=YEAR(TODAY()),MONTH($Y44)=MONTH(275))</formula>
    </cfRule>
    <cfRule type="expression" dxfId="117" priority="56">
      <formula>AND(YEAR($Y44)=YEAR(TODAY()),MONTH($Y44)=MONTH(245))</formula>
    </cfRule>
    <cfRule type="expression" dxfId="116" priority="57">
      <formula>AND(YEAR($Y44)=YEAR(TODAY()),MONTH($Y44)=MONTH(214))</formula>
    </cfRule>
    <cfRule type="expression" dxfId="115" priority="58">
      <formula>AND(YEAR($Y44)=YEAR(TODAY()),MONTH($Y44)=MONTH(183))</formula>
    </cfRule>
    <cfRule type="expression" dxfId="114" priority="59">
      <formula>AND(YEAR($Y44)=YEAR(TODAY()),MONTH($Y44)=MONTH(153))</formula>
    </cfRule>
    <cfRule type="expression" dxfId="113" priority="60">
      <formula>AND(YEAR($Y44)=YEAR(TODAY()),MONTH($Y44)=MONTH(152))</formula>
    </cfRule>
    <cfRule type="expression" dxfId="112" priority="61">
      <formula>AND(YEAR($Y44)=YEAR(TODAY()),MONTH($Y44)=MONTH(121))</formula>
    </cfRule>
    <cfRule type="expression" dxfId="111" priority="62">
      <formula>AND(YEAR($Y44)=YEAR(TODAY()),MONTH($Y44)=MONTH(91))</formula>
    </cfRule>
    <cfRule type="expression" dxfId="110" priority="63">
      <formula>AND(YEAR($Y44)=YEAR(TODAY()),MONTH($Y44)=MONTH(60))</formula>
    </cfRule>
    <cfRule type="expression" dxfId="109" priority="64">
      <formula>AND(YEAR($Y44)=YEAR(TODAY()),MONTH($Y44)=MONTH(31))</formula>
    </cfRule>
  </conditionalFormatting>
  <conditionalFormatting sqref="B47">
    <cfRule type="expression" dxfId="108" priority="52">
      <formula>OR($M47="Annulé",$M47="Rejeté")</formula>
    </cfRule>
  </conditionalFormatting>
  <conditionalFormatting sqref="B47">
    <cfRule type="expression" dxfId="107" priority="40">
      <formula>AND(YEAR($Y47)=YEAR(TODAY()),MONTH($Y47)=MONTH(336))</formula>
    </cfRule>
    <cfRule type="expression" dxfId="106" priority="41">
      <formula>AND(YEAR($Y47)=YEAR(TODAY()),MONTH($Y47)=MONTH(306))</formula>
    </cfRule>
    <cfRule type="expression" dxfId="105" priority="42">
      <formula>AND(YEAR($Y47)=YEAR(TODAY()),MONTH($Y47)=MONTH(275))</formula>
    </cfRule>
    <cfRule type="expression" dxfId="104" priority="43">
      <formula>AND(YEAR($Y47)=YEAR(TODAY()),MONTH($Y47)=MONTH(245))</formula>
    </cfRule>
    <cfRule type="expression" dxfId="103" priority="44">
      <formula>AND(YEAR($Y47)=YEAR(TODAY()),MONTH($Y47)=MONTH(214))</formula>
    </cfRule>
    <cfRule type="expression" dxfId="102" priority="45">
      <formula>AND(YEAR($Y47)=YEAR(TODAY()),MONTH($Y47)=MONTH(183))</formula>
    </cfRule>
    <cfRule type="expression" dxfId="101" priority="46">
      <formula>AND(YEAR($Y47)=YEAR(TODAY()),MONTH($Y47)=MONTH(153))</formula>
    </cfRule>
    <cfRule type="expression" dxfId="100" priority="47">
      <formula>AND(YEAR($Y47)=YEAR(TODAY()),MONTH($Y47)=MONTH(152))</formula>
    </cfRule>
    <cfRule type="expression" dxfId="99" priority="48">
      <formula>AND(YEAR($Y47)=YEAR(TODAY()),MONTH($Y47)=MONTH(121))</formula>
    </cfRule>
    <cfRule type="expression" dxfId="98" priority="49">
      <formula>AND(YEAR($Y47)=YEAR(TODAY()),MONTH($Y47)=MONTH(91))</formula>
    </cfRule>
    <cfRule type="expression" dxfId="97" priority="50">
      <formula>AND(YEAR($Y47)=YEAR(TODAY()),MONTH($Y47)=MONTH(60))</formula>
    </cfRule>
    <cfRule type="expression" dxfId="96" priority="51">
      <formula>AND(YEAR($Y47)=YEAR(TODAY()),MONTH($Y47)=MONTH(31))</formula>
    </cfRule>
  </conditionalFormatting>
  <conditionalFormatting sqref="B48">
    <cfRule type="expression" dxfId="95" priority="39">
      <formula>OR($M48="Annulé",$M48="Rejeté")</formula>
    </cfRule>
  </conditionalFormatting>
  <conditionalFormatting sqref="B48">
    <cfRule type="expression" dxfId="94" priority="27">
      <formula>AND(YEAR($Y48)=YEAR(TODAY()),MONTH($Y48)=MONTH(336))</formula>
    </cfRule>
    <cfRule type="expression" dxfId="93" priority="28">
      <formula>AND(YEAR($Y48)=YEAR(TODAY()),MONTH($Y48)=MONTH(306))</formula>
    </cfRule>
    <cfRule type="expression" dxfId="92" priority="29">
      <formula>AND(YEAR($Y48)=YEAR(TODAY()),MONTH($Y48)=MONTH(275))</formula>
    </cfRule>
    <cfRule type="expression" dxfId="91" priority="30">
      <formula>AND(YEAR($Y48)=YEAR(TODAY()),MONTH($Y48)=MONTH(245))</formula>
    </cfRule>
    <cfRule type="expression" dxfId="90" priority="31">
      <formula>AND(YEAR($Y48)=YEAR(TODAY()),MONTH($Y48)=MONTH(214))</formula>
    </cfRule>
    <cfRule type="expression" dxfId="89" priority="32">
      <formula>AND(YEAR($Y48)=YEAR(TODAY()),MONTH($Y48)=MONTH(183))</formula>
    </cfRule>
    <cfRule type="expression" dxfId="88" priority="33">
      <formula>AND(YEAR($Y48)=YEAR(TODAY()),MONTH($Y48)=MONTH(153))</formula>
    </cfRule>
    <cfRule type="expression" dxfId="87" priority="34">
      <formula>AND(YEAR($Y48)=YEAR(TODAY()),MONTH($Y48)=MONTH(152))</formula>
    </cfRule>
    <cfRule type="expression" dxfId="86" priority="35">
      <formula>AND(YEAR($Y48)=YEAR(TODAY()),MONTH($Y48)=MONTH(121))</formula>
    </cfRule>
    <cfRule type="expression" dxfId="85" priority="36">
      <formula>AND(YEAR($Y48)=YEAR(TODAY()),MONTH($Y48)=MONTH(91))</formula>
    </cfRule>
    <cfRule type="expression" dxfId="84" priority="37">
      <formula>AND(YEAR($Y48)=YEAR(TODAY()),MONTH($Y48)=MONTH(60))</formula>
    </cfRule>
    <cfRule type="expression" dxfId="83" priority="38">
      <formula>AND(YEAR($Y48)=YEAR(TODAY()),MONTH($Y48)=MONTH(31))</formula>
    </cfRule>
  </conditionalFormatting>
  <conditionalFormatting sqref="C86:C95">
    <cfRule type="expression" dxfId="82" priority="13">
      <formula>OR($M86="Annulé",$M86="Rejeté")</formula>
    </cfRule>
  </conditionalFormatting>
  <conditionalFormatting sqref="C86:C95">
    <cfRule type="expression" dxfId="81" priority="1">
      <formula>AND(YEAR($Y86)=YEAR(TODAY()),MONTH($Y86)=MONTH(336))</formula>
    </cfRule>
    <cfRule type="expression" dxfId="80" priority="2">
      <formula>AND(YEAR($Y86)=YEAR(TODAY()),MONTH($Y86)=MONTH(306))</formula>
    </cfRule>
    <cfRule type="expression" dxfId="79" priority="3">
      <formula>AND(YEAR($Y86)=YEAR(TODAY()),MONTH($Y86)=MONTH(275))</formula>
    </cfRule>
    <cfRule type="expression" dxfId="78" priority="4">
      <formula>AND(YEAR($Y86)=YEAR(TODAY()),MONTH($Y86)=MONTH(245))</formula>
    </cfRule>
    <cfRule type="expression" dxfId="77" priority="5">
      <formula>AND(YEAR($Y86)=YEAR(TODAY()),MONTH($Y86)=MONTH(214))</formula>
    </cfRule>
    <cfRule type="expression" dxfId="76" priority="6">
      <formula>AND(YEAR($Y86)=YEAR(TODAY()),MONTH($Y86)=MONTH(183))</formula>
    </cfRule>
    <cfRule type="expression" dxfId="75" priority="7">
      <formula>AND(YEAR($Y86)=YEAR(TODAY()),MONTH($Y86)=MONTH(153))</formula>
    </cfRule>
    <cfRule type="expression" dxfId="74" priority="8">
      <formula>AND(YEAR($Y86)=YEAR(TODAY()),MONTH($Y86)=MONTH(152))</formula>
    </cfRule>
    <cfRule type="expression" dxfId="73" priority="9">
      <formula>AND(YEAR($Y86)=YEAR(TODAY()),MONTH($Y86)=MONTH(121))</formula>
    </cfRule>
    <cfRule type="expression" dxfId="72" priority="10">
      <formula>AND(YEAR($Y86)=YEAR(TODAY()),MONTH($Y86)=MONTH(91))</formula>
    </cfRule>
    <cfRule type="expression" dxfId="71" priority="11">
      <formula>AND(YEAR($Y86)=YEAR(TODAY()),MONTH($Y86)=MONTH(60))</formula>
    </cfRule>
    <cfRule type="expression" dxfId="70" priority="12">
      <formula>AND(YEAR($Y86)=YEAR(TODAY()),MONTH($Y86)=MONTH(31))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AL16"/>
  <sheetViews>
    <sheetView workbookViewId="0">
      <selection activeCell="C15" sqref="C15"/>
    </sheetView>
  </sheetViews>
  <sheetFormatPr baseColWidth="10" defaultColWidth="11.44140625" defaultRowHeight="14.4" x14ac:dyDescent="0.3"/>
  <cols>
    <col min="5" max="5" width="11.44140625" style="258"/>
  </cols>
  <sheetData>
    <row r="1" spans="1:38" x14ac:dyDescent="0.3">
      <c r="A1" s="306" t="s">
        <v>205</v>
      </c>
      <c r="B1" s="306" t="s">
        <v>206</v>
      </c>
      <c r="C1" s="306" t="s">
        <v>207</v>
      </c>
      <c r="D1" s="306" t="s">
        <v>208</v>
      </c>
      <c r="E1" s="306" t="s">
        <v>250</v>
      </c>
      <c r="F1" s="306" t="s">
        <v>209</v>
      </c>
      <c r="G1" s="258" t="s">
        <v>210</v>
      </c>
      <c r="H1" s="301" t="s">
        <v>211</v>
      </c>
      <c r="I1" s="301" t="s">
        <v>212</v>
      </c>
      <c r="J1" s="301" t="s">
        <v>213</v>
      </c>
      <c r="K1" s="301" t="s">
        <v>214</v>
      </c>
      <c r="L1" s="301" t="s">
        <v>215</v>
      </c>
      <c r="M1" s="301" t="s">
        <v>216</v>
      </c>
      <c r="N1" s="301" t="s">
        <v>217</v>
      </c>
      <c r="O1" s="301" t="s">
        <v>218</v>
      </c>
      <c r="P1" s="301" t="s">
        <v>219</v>
      </c>
      <c r="Q1" s="301" t="s">
        <v>220</v>
      </c>
      <c r="R1" s="301" t="s">
        <v>221</v>
      </c>
      <c r="S1" s="301" t="s">
        <v>222</v>
      </c>
      <c r="T1" s="302" t="s">
        <v>223</v>
      </c>
      <c r="U1" s="302" t="s">
        <v>224</v>
      </c>
      <c r="V1" s="302" t="s">
        <v>225</v>
      </c>
      <c r="W1" s="302" t="s">
        <v>226</v>
      </c>
      <c r="X1" s="302" t="s">
        <v>227</v>
      </c>
      <c r="Y1" s="302" t="s">
        <v>228</v>
      </c>
      <c r="Z1" s="302" t="s">
        <v>229</v>
      </c>
      <c r="AA1" s="302" t="s">
        <v>230</v>
      </c>
      <c r="AB1" s="302" t="s">
        <v>231</v>
      </c>
      <c r="AC1" s="302" t="s">
        <v>232</v>
      </c>
      <c r="AD1" s="302" t="s">
        <v>233</v>
      </c>
      <c r="AE1" s="302" t="s">
        <v>234</v>
      </c>
      <c r="AF1" s="302" t="s">
        <v>235</v>
      </c>
      <c r="AG1" s="302" t="s">
        <v>236</v>
      </c>
      <c r="AH1" s="302" t="s">
        <v>237</v>
      </c>
      <c r="AI1" s="302" t="s">
        <v>238</v>
      </c>
      <c r="AJ1" s="302" t="s">
        <v>239</v>
      </c>
      <c r="AK1" s="303" t="s">
        <v>240</v>
      </c>
      <c r="AL1" s="600" t="s">
        <v>357</v>
      </c>
    </row>
    <row r="2" spans="1:38" x14ac:dyDescent="0.3">
      <c r="A2" s="258" t="s">
        <v>251</v>
      </c>
      <c r="B2" s="258" t="s">
        <v>241</v>
      </c>
      <c r="C2" s="258" t="s">
        <v>245</v>
      </c>
      <c r="D2" s="258" t="s">
        <v>182</v>
      </c>
      <c r="F2" s="258">
        <v>2020</v>
      </c>
      <c r="G2" s="258" t="s">
        <v>247</v>
      </c>
      <c r="H2" s="233">
        <f>SUMIFS(Data!$S:$S,Data!$Q:$Q,"&gt;="&amp;DATE(OI[[#This Row],[YEAR]],H$1,1),Data!$Q:$Q,"&lt;="&amp;EOMONTH(DATE(OI[[#This Row],[YEAR]],H$1,1),0),Data!$G:$G,"&lt;&gt;"&amp;"*HYDRO*")</f>
        <v>0</v>
      </c>
      <c r="I2" s="233">
        <f>SUMIFS(Data!$S:$S,Data!$Q:$Q,"&gt;="&amp;DATE(OI[[#This Row],[YEAR]],I$1,1),Data!$Q:$Q,"&lt;="&amp;EOMONTH(DATE(OI[[#This Row],[YEAR]],I$1,1),0),Data!$G:$G,"&lt;&gt;"&amp;"*HYDRO*")</f>
        <v>0</v>
      </c>
      <c r="J2" s="233">
        <f>SUMIFS(Data!$S:$S,Data!$Q:$Q,"&gt;="&amp;DATE(OI[[#This Row],[YEAR]],J$1,1),Data!$Q:$Q,"&lt;="&amp;EOMONTH(DATE(OI[[#This Row],[YEAR]],J$1,1),0),Data!$G:$G,"&lt;&gt;"&amp;"*HYDRO*")</f>
        <v>0</v>
      </c>
      <c r="K2" s="233">
        <f>SUMIFS(Data!$S:$S,Data!$Q:$Q,"&gt;="&amp;DATE(OI[[#This Row],[YEAR]],K$1,1),Data!$Q:$Q,"&lt;="&amp;EOMONTH(DATE(OI[[#This Row],[YEAR]],K$1,1),0),Data!$G:$G,"&lt;&gt;"&amp;"*HYDRO*")</f>
        <v>0</v>
      </c>
      <c r="L2" s="233">
        <f>SUMIFS(Data!$S:$S,Data!$Q:$Q,"&gt;="&amp;DATE(OI[[#This Row],[YEAR]],L$1,1),Data!$Q:$Q,"&lt;="&amp;EOMONTH(DATE(OI[[#This Row],[YEAR]],L$1,1),0),Data!$G:$G,"&lt;&gt;"&amp;"*HYDRO*")</f>
        <v>0</v>
      </c>
      <c r="M2" s="233">
        <f>SUMIFS(Data!$S:$S,Data!$Q:$Q,"&gt;="&amp;DATE(OI[[#This Row],[YEAR]],M$1,1),Data!$Q:$Q,"&lt;="&amp;EOMONTH(DATE(OI[[#This Row],[YEAR]],M$1,1),0),Data!$G:$G,"&lt;&gt;"&amp;"*HYDRO*")</f>
        <v>0</v>
      </c>
      <c r="N2" s="233">
        <f>SUMIFS(Data!$S:$S,Data!$Q:$Q,"&gt;="&amp;DATE(OI[[#This Row],[YEAR]],N$1,1),Data!$Q:$Q,"&lt;="&amp;EOMONTH(DATE(OI[[#This Row],[YEAR]],N$1,1),0),Data!$G:$G,"&lt;&gt;"&amp;"*HYDRO*")</f>
        <v>0</v>
      </c>
      <c r="O2" s="233">
        <f>SUMIFS(Data!$S:$S,Data!$Q:$Q,"&gt;="&amp;DATE(OI[[#This Row],[YEAR]],O$1,1),Data!$Q:$Q,"&lt;="&amp;EOMONTH(DATE(OI[[#This Row],[YEAR]],O$1,1),0),Data!$G:$G,"&lt;&gt;"&amp;"*HYDRO*")</f>
        <v>0</v>
      </c>
      <c r="P2" s="233">
        <f>SUMIFS(Data!$S:$S,Data!$Q:$Q,"&gt;="&amp;DATE(OI[[#This Row],[YEAR]],P$1,1),Data!$Q:$Q,"&lt;="&amp;EOMONTH(DATE(OI[[#This Row],[YEAR]],P$1,1),0),Data!$G:$G,"&lt;&gt;"&amp;"*HYDRO*")</f>
        <v>0</v>
      </c>
      <c r="Q2" s="233">
        <f>SUMIFS(Data!$S:$S,Data!$Q:$Q,"&gt;="&amp;DATE(OI[[#This Row],[YEAR]],Q$1,1),Data!$Q:$Q,"&lt;="&amp;EOMONTH(DATE(OI[[#This Row],[YEAR]],Q$1,1),0),Data!$G:$G,"&lt;&gt;"&amp;"*HYDRO*")</f>
        <v>0</v>
      </c>
      <c r="R2" s="233">
        <f>SUMIFS(Data!$S:$S,Data!$Q:$Q,"&gt;="&amp;DATE(OI[[#This Row],[YEAR]],R$1,1),Data!$Q:$Q,"&lt;="&amp;EOMONTH(DATE(OI[[#This Row],[YEAR]],R$1,1),0),Data!$G:$G,"&lt;&gt;"&amp;"*HYDRO*")</f>
        <v>0</v>
      </c>
      <c r="S2" s="233">
        <f>SUMIFS(Data!$S:$S,Data!$Q:$Q,"&gt;="&amp;DATE(OI[[#This Row],[YEAR]],S$1,1),Data!$Q:$Q,"&lt;="&amp;EOMONTH(DATE(OI[[#This Row],[YEAR]],S$1,1),0),Data!$G:$G,"&lt;&gt;"&amp;"*HYDRO*")</f>
        <v>0</v>
      </c>
      <c r="T2" s="304">
        <f>SUM(OI[[#This Row],[1]])</f>
        <v>0</v>
      </c>
      <c r="U2" s="304">
        <f>SUM(OI[[#This Row],[1]],OI[[#This Row],[2]])</f>
        <v>0</v>
      </c>
      <c r="V2" s="304">
        <f>SUM(OI[[#This Row],[1]],OI[[#This Row],[2]],OI[[#This Row],[3]])</f>
        <v>0</v>
      </c>
      <c r="W2" s="304">
        <f>SUM(OI[[#This Row],[1]],OI[[#This Row],[2]],OI[[#This Row],[3]],OI[[#This Row],[4]])</f>
        <v>0</v>
      </c>
      <c r="X2" s="304">
        <f>SUM(OI[[#This Row],[1]],OI[[#This Row],[2]],OI[[#This Row],[3]],OI[[#This Row],[4]],OI[[#This Row],[5]])</f>
        <v>0</v>
      </c>
      <c r="Y2" s="304">
        <f>SUM(OI[[#This Row],[1]],OI[[#This Row],[2]],OI[[#This Row],[3]],OI[[#This Row],[4]],OI[[#This Row],[5]],OI[[#This Row],[6]])</f>
        <v>0</v>
      </c>
      <c r="Z2" s="304">
        <f>SUM(OI[[#This Row],[1]],OI[[#This Row],[2]],OI[[#This Row],[3]],OI[[#This Row],[4]],OI[[#This Row],[5]],OI[[#This Row],[6]],OI[[#This Row],[7]])</f>
        <v>0</v>
      </c>
      <c r="AA2" s="304">
        <f>SUM(OI[[#This Row],[1]],OI[[#This Row],[2]],OI[[#This Row],[3]],OI[[#This Row],[4]],OI[[#This Row],[5]],OI[[#This Row],[6]],OI[[#This Row],[7]],OI[[#This Row],[8]])</f>
        <v>0</v>
      </c>
      <c r="AB2" s="304">
        <f>SUM(OI[[#This Row],[1]],OI[[#This Row],[2]],OI[[#This Row],[3]],OI[[#This Row],[4]],OI[[#This Row],[5]],OI[[#This Row],[6]],OI[[#This Row],[7]],OI[[#This Row],[8]],OI[[#This Row],[9]])</f>
        <v>0</v>
      </c>
      <c r="AC2" s="304">
        <f>SUM(OI[[#This Row],[1]],OI[[#This Row],[2]],OI[[#This Row],[3]],OI[[#This Row],[4]],OI[[#This Row],[5]],OI[[#This Row],[6]],OI[[#This Row],[7]],OI[[#This Row],[8]],OI[[#This Row],[9]],OI[[#This Row],[10]])</f>
        <v>0</v>
      </c>
      <c r="AD2" s="304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2" s="304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2" s="304">
        <f>SUM(OI[[#This Row],[1]],OI[[#This Row],[2]],OI[[#This Row],[3]])</f>
        <v>0</v>
      </c>
      <c r="AG2" s="304">
        <f>SUM(OI[[#This Row],[4]],OI[[#This Row],[5]],OI[[#This Row],[6]])</f>
        <v>0</v>
      </c>
      <c r="AH2" s="304">
        <f>SUM(OI[[#This Row],[7]],OI[[#This Row],[8]],OI[[#This Row],[9]])</f>
        <v>0</v>
      </c>
      <c r="AI2" s="304">
        <f>SUM(OI[[#This Row],[10]],OI[[#This Row],[11]],OI[[#This Row],[12]])</f>
        <v>0</v>
      </c>
      <c r="AJ2" s="304">
        <f>SUM(OI[[#This Row],[1]],OI[[#This Row],[2]],OI[[#This Row],[3]],OI[[#This Row],[4]],OI[[#This Row],[5]],OI[[#This Row],[6]])</f>
        <v>0</v>
      </c>
      <c r="AK2" s="305">
        <f>SUM(OI[[#This Row],[7]],OI[[#This Row],[8]],OI[[#This Row],[9]],OI[[#This Row],[10]],OI[[#This Row],[11]],OI[[#This Row],[12]])</f>
        <v>0</v>
      </c>
      <c r="AL2" s="599" t="str">
        <f t="shared" ref="AL2:AL12" si="0">"HYFR"</f>
        <v>HYFR</v>
      </c>
    </row>
    <row r="3" spans="1:38" x14ac:dyDescent="0.3">
      <c r="A3" s="258" t="s">
        <v>251</v>
      </c>
      <c r="B3" s="258" t="s">
        <v>241</v>
      </c>
      <c r="C3" s="258" t="s">
        <v>245</v>
      </c>
      <c r="D3" s="39" t="s">
        <v>182</v>
      </c>
      <c r="E3" s="39">
        <v>1</v>
      </c>
      <c r="F3" s="437">
        <v>2020</v>
      </c>
      <c r="G3" s="39" t="s">
        <v>247</v>
      </c>
      <c r="H3" s="309">
        <f>SUMIFS(Data!$S:$S,Data!$Q:$Q,"&gt;="&amp;DATE(OI[[#This Row],[YEAR]],H$1,1),Data!$Q:$Q,"&lt;="&amp;EOMONTH(DATE(OI[[#This Row],[YEAR]],H$1,1),0),Data!$G:$G,"*HYDRO*")</f>
        <v>0</v>
      </c>
      <c r="I3" s="309">
        <f>SUMIFS(Data!$S:$S,Data!$Q:$Q,"&gt;="&amp;DATE(OI[[#This Row],[YEAR]],I$1,1),Data!$Q:$Q,"&lt;="&amp;EOMONTH(DATE(OI[[#This Row],[YEAR]],I$1,1),0),Data!$G:$G,"*HYDRO*")</f>
        <v>0</v>
      </c>
      <c r="J3" s="309">
        <f>SUMIFS(Data!$S:$S,Data!$Q:$Q,"&gt;="&amp;DATE(OI[[#This Row],[YEAR]],J$1,1),Data!$Q:$Q,"&lt;="&amp;EOMONTH(DATE(OI[[#This Row],[YEAR]],J$1,1),0),Data!$G:$G,"*HYDRO*")</f>
        <v>0</v>
      </c>
      <c r="K3" s="309">
        <f>SUMIFS(Data!$S:$S,Data!$Q:$Q,"&gt;="&amp;DATE(OI[[#This Row],[YEAR]],K$1,1),Data!$Q:$Q,"&lt;="&amp;EOMONTH(DATE(OI[[#This Row],[YEAR]],K$1,1),0),Data!$G:$G,"*HYDRO*")</f>
        <v>0</v>
      </c>
      <c r="L3" s="309">
        <f>SUMIFS(Data!$S:$S,Data!$Q:$Q,"&gt;="&amp;DATE(OI[[#This Row],[YEAR]],L$1,1),Data!$Q:$Q,"&lt;="&amp;EOMONTH(DATE(OI[[#This Row],[YEAR]],L$1,1),0),Data!$G:$G,"*HYDRO*")</f>
        <v>0</v>
      </c>
      <c r="M3" s="309">
        <f>SUMIFS(Data!$S:$S,Data!$Q:$Q,"&gt;="&amp;DATE(OI[[#This Row],[YEAR]],M$1,1),Data!$Q:$Q,"&lt;="&amp;EOMONTH(DATE(OI[[#This Row],[YEAR]],M$1,1),0),Data!$G:$G,"*HYDRO*")</f>
        <v>0</v>
      </c>
      <c r="N3" s="309">
        <f>SUMIFS(Data!$S:$S,Data!$Q:$Q,"&gt;="&amp;DATE(OI[[#This Row],[YEAR]],N$1,1),Data!$Q:$Q,"&lt;="&amp;EOMONTH(DATE(OI[[#This Row],[YEAR]],N$1,1),0),Data!$G:$G,"*HYDRO*")</f>
        <v>0</v>
      </c>
      <c r="O3" s="309">
        <f>SUMIFS(Data!$S:$S,Data!$Q:$Q,"&gt;="&amp;DATE(OI[[#This Row],[YEAR]],O$1,1),Data!$Q:$Q,"&lt;="&amp;EOMONTH(DATE(OI[[#This Row],[YEAR]],O$1,1),0),Data!$G:$G,"*HYDRO*")</f>
        <v>0</v>
      </c>
      <c r="P3" s="309">
        <f>SUMIFS(Data!$S:$S,Data!$Q:$Q,"&gt;="&amp;DATE(OI[[#This Row],[YEAR]],P$1,1),Data!$Q:$Q,"&lt;="&amp;EOMONTH(DATE(OI[[#This Row],[YEAR]],P$1,1),0),Data!$G:$G,"*HYDRO*")</f>
        <v>0</v>
      </c>
      <c r="Q3" s="309">
        <f>SUMIFS(Data!$S:$S,Data!$Q:$Q,"&gt;="&amp;DATE(OI[[#This Row],[YEAR]],Q$1,1),Data!$Q:$Q,"&lt;="&amp;EOMONTH(DATE(OI[[#This Row],[YEAR]],Q$1,1),0),Data!$G:$G,"*HYDRO*")</f>
        <v>0</v>
      </c>
      <c r="R3" s="309">
        <f>SUMIFS(Data!$S:$S,Data!$Q:$Q,"&gt;="&amp;DATE(OI[[#This Row],[YEAR]],R$1,1),Data!$Q:$Q,"&lt;="&amp;EOMONTH(DATE(OI[[#This Row],[YEAR]],R$1,1),0),Data!$G:$G,"*HYDRO*")</f>
        <v>0</v>
      </c>
      <c r="S3" s="309">
        <f>SUMIFS(Data!$S:$S,Data!$Q:$Q,"&gt;="&amp;DATE(OI[[#This Row],[YEAR]],S$1,1),Data!$Q:$Q,"&lt;="&amp;EOMONTH(DATE(OI[[#This Row],[YEAR]],S$1,1),0),Data!$G:$G,"*HYDRO*")</f>
        <v>0</v>
      </c>
      <c r="T3" s="310">
        <f>SUM(OI[[#This Row],[1]])</f>
        <v>0</v>
      </c>
      <c r="U3" s="310">
        <f>SUM(OI[[#This Row],[1]],OI[[#This Row],[2]])</f>
        <v>0</v>
      </c>
      <c r="V3" s="310">
        <f>SUM(OI[[#This Row],[1]],OI[[#This Row],[2]],OI[[#This Row],[3]])</f>
        <v>0</v>
      </c>
      <c r="W3" s="310">
        <f>SUM(OI[[#This Row],[1]],OI[[#This Row],[2]],OI[[#This Row],[3]],OI[[#This Row],[4]])</f>
        <v>0</v>
      </c>
      <c r="X3" s="310">
        <f>SUM(OI[[#This Row],[1]],OI[[#This Row],[2]],OI[[#This Row],[3]],OI[[#This Row],[4]],OI[[#This Row],[5]])</f>
        <v>0</v>
      </c>
      <c r="Y3" s="310">
        <f>SUM(OI[[#This Row],[1]],OI[[#This Row],[2]],OI[[#This Row],[3]],OI[[#This Row],[4]],OI[[#This Row],[5]],OI[[#This Row],[6]])</f>
        <v>0</v>
      </c>
      <c r="Z3" s="310">
        <f>SUM(OI[[#This Row],[1]],OI[[#This Row],[2]],OI[[#This Row],[3]],OI[[#This Row],[4]],OI[[#This Row],[5]],OI[[#This Row],[6]],OI[[#This Row],[7]])</f>
        <v>0</v>
      </c>
      <c r="AA3" s="310">
        <f>SUM(OI[[#This Row],[1]],OI[[#This Row],[2]],OI[[#This Row],[3]],OI[[#This Row],[4]],OI[[#This Row],[5]],OI[[#This Row],[6]],OI[[#This Row],[7]],OI[[#This Row],[8]])</f>
        <v>0</v>
      </c>
      <c r="AB3" s="310">
        <f>SUM(OI[[#This Row],[1]],OI[[#This Row],[2]],OI[[#This Row],[3]],OI[[#This Row],[4]],OI[[#This Row],[5]],OI[[#This Row],[6]],OI[[#This Row],[7]],OI[[#This Row],[8]],OI[[#This Row],[9]])</f>
        <v>0</v>
      </c>
      <c r="AC3" s="310">
        <f>SUM(OI[[#This Row],[1]],OI[[#This Row],[2]],OI[[#This Row],[3]],OI[[#This Row],[4]],OI[[#This Row],[5]],OI[[#This Row],[6]],OI[[#This Row],[7]],OI[[#This Row],[8]],OI[[#This Row],[9]],OI[[#This Row],[10]])</f>
        <v>0</v>
      </c>
      <c r="AD3" s="310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3" s="310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3" s="310">
        <f>SUM(OI[[#This Row],[1]],OI[[#This Row],[2]],OI[[#This Row],[3]])</f>
        <v>0</v>
      </c>
      <c r="AG3" s="310">
        <f>SUM(OI[[#This Row],[4]],OI[[#This Row],[5]],OI[[#This Row],[6]])</f>
        <v>0</v>
      </c>
      <c r="AH3" s="310">
        <f>SUM(OI[[#This Row],[7]],OI[[#This Row],[8]],OI[[#This Row],[9]])</f>
        <v>0</v>
      </c>
      <c r="AI3" s="310">
        <f>SUM(OI[[#This Row],[10]],OI[[#This Row],[11]],OI[[#This Row],[12]])</f>
        <v>0</v>
      </c>
      <c r="AJ3" s="310">
        <f>SUM(OI[[#This Row],[1]],OI[[#This Row],[2]],OI[[#This Row],[3]],OI[[#This Row],[4]],OI[[#This Row],[5]],OI[[#This Row],[6]])</f>
        <v>0</v>
      </c>
      <c r="AK3" s="311">
        <f>SUM(OI[[#This Row],[7]],OI[[#This Row],[8]],OI[[#This Row],[9]],OI[[#This Row],[10]],OI[[#This Row],[11]],OI[[#This Row],[12]])</f>
        <v>0</v>
      </c>
      <c r="AL3" s="307" t="str">
        <f t="shared" si="0"/>
        <v>HYFR</v>
      </c>
    </row>
    <row r="4" spans="1:38" x14ac:dyDescent="0.3">
      <c r="A4" s="258" t="s">
        <v>251</v>
      </c>
      <c r="B4" s="39" t="s">
        <v>241</v>
      </c>
      <c r="C4" s="39" t="s">
        <v>245</v>
      </c>
      <c r="D4" s="39" t="s">
        <v>182</v>
      </c>
      <c r="E4" s="39"/>
      <c r="F4" s="437">
        <v>2020</v>
      </c>
      <c r="G4" s="39" t="s">
        <v>242</v>
      </c>
      <c r="H4" s="309">
        <f>AIA!C4</f>
        <v>0</v>
      </c>
      <c r="I4" s="309">
        <f>AIA!D4</f>
        <v>0</v>
      </c>
      <c r="J4" s="309">
        <f>AIA!E4</f>
        <v>0</v>
      </c>
      <c r="K4" s="309">
        <f>AIA!F4</f>
        <v>0</v>
      </c>
      <c r="L4" s="309">
        <f>AIA!G4</f>
        <v>0</v>
      </c>
      <c r="M4" s="309">
        <f>AIA!H4</f>
        <v>0</v>
      </c>
      <c r="N4" s="309">
        <f>AIA!I4</f>
        <v>0</v>
      </c>
      <c r="O4" s="309">
        <f>AIA!J4</f>
        <v>0</v>
      </c>
      <c r="P4" s="309">
        <f>AIA!K4</f>
        <v>0</v>
      </c>
      <c r="Q4" s="309">
        <f>AIA!L4</f>
        <v>0</v>
      </c>
      <c r="R4" s="309">
        <f>AIA!M4</f>
        <v>3180</v>
      </c>
      <c r="S4" s="309">
        <f>AIA!N4</f>
        <v>6210</v>
      </c>
      <c r="T4" s="310">
        <f>SUM(OI[[#This Row],[1]])</f>
        <v>0</v>
      </c>
      <c r="U4" s="310">
        <f>SUM(OI[[#This Row],[1]],OI[[#This Row],[2]])</f>
        <v>0</v>
      </c>
      <c r="V4" s="310">
        <f>SUM(OI[[#This Row],[1]],OI[[#This Row],[2]],OI[[#This Row],[3]])</f>
        <v>0</v>
      </c>
      <c r="W4" s="310">
        <f>SUM(OI[[#This Row],[1]],OI[[#This Row],[2]],OI[[#This Row],[3]],OI[[#This Row],[4]])</f>
        <v>0</v>
      </c>
      <c r="X4" s="310">
        <f>SUM(OI[[#This Row],[1]],OI[[#This Row],[2]],OI[[#This Row],[3]],OI[[#This Row],[4]],OI[[#This Row],[5]])</f>
        <v>0</v>
      </c>
      <c r="Y4" s="310">
        <f>SUM(OI[[#This Row],[1]],OI[[#This Row],[2]],OI[[#This Row],[3]],OI[[#This Row],[4]],OI[[#This Row],[5]],OI[[#This Row],[6]])</f>
        <v>0</v>
      </c>
      <c r="Z4" s="310">
        <f>SUM(OI[[#This Row],[1]],OI[[#This Row],[2]],OI[[#This Row],[3]],OI[[#This Row],[4]],OI[[#This Row],[5]],OI[[#This Row],[6]],OI[[#This Row],[7]])</f>
        <v>0</v>
      </c>
      <c r="AA4" s="310">
        <f>SUM(OI[[#This Row],[1]],OI[[#This Row],[2]],OI[[#This Row],[3]],OI[[#This Row],[4]],OI[[#This Row],[5]],OI[[#This Row],[6]],OI[[#This Row],[7]],OI[[#This Row],[8]])</f>
        <v>0</v>
      </c>
      <c r="AB4" s="310">
        <f>SUM(OI[[#This Row],[1]],OI[[#This Row],[2]],OI[[#This Row],[3]],OI[[#This Row],[4]],OI[[#This Row],[5]],OI[[#This Row],[6]],OI[[#This Row],[7]],OI[[#This Row],[8]],OI[[#This Row],[9]])</f>
        <v>0</v>
      </c>
      <c r="AC4" s="310">
        <f>SUM(OI[[#This Row],[1]],OI[[#This Row],[2]],OI[[#This Row],[3]],OI[[#This Row],[4]],OI[[#This Row],[5]],OI[[#This Row],[6]],OI[[#This Row],[7]],OI[[#This Row],[8]],OI[[#This Row],[9]],OI[[#This Row],[10]])</f>
        <v>0</v>
      </c>
      <c r="AD4" s="310">
        <f>SUM(OI[[#This Row],[1]],OI[[#This Row],[2]],OI[[#This Row],[3]],OI[[#This Row],[4]],OI[[#This Row],[5]],OI[[#This Row],[6]],OI[[#This Row],[7]],OI[[#This Row],[8]],OI[[#This Row],[9]],OI[[#This Row],[10]],OI[[#This Row],[11]])</f>
        <v>3180</v>
      </c>
      <c r="AE4" s="310">
        <f>SUM(OI[[#This Row],[1]],OI[[#This Row],[2]],OI[[#This Row],[3]],OI[[#This Row],[4]],OI[[#This Row],[5]],OI[[#This Row],[6]],OI[[#This Row],[7]],OI[[#This Row],[8]],OI[[#This Row],[9]],OI[[#This Row],[10]],OI[[#This Row],[11]],OI[[#This Row],[12]])</f>
        <v>9390</v>
      </c>
      <c r="AF4" s="310">
        <f>SUM(OI[[#This Row],[1]],OI[[#This Row],[2]],OI[[#This Row],[3]])</f>
        <v>0</v>
      </c>
      <c r="AG4" s="310">
        <f>SUM(OI[[#This Row],[4]],OI[[#This Row],[5]],OI[[#This Row],[6]])</f>
        <v>0</v>
      </c>
      <c r="AH4" s="310">
        <f>SUM(OI[[#This Row],[7]],OI[[#This Row],[8]],OI[[#This Row],[9]])</f>
        <v>0</v>
      </c>
      <c r="AI4" s="310">
        <f>SUM(OI[[#This Row],[10]],OI[[#This Row],[11]],OI[[#This Row],[12]])</f>
        <v>9390</v>
      </c>
      <c r="AJ4" s="310">
        <f>SUM(OI[[#This Row],[1]],OI[[#This Row],[2]],OI[[#This Row],[3]],OI[[#This Row],[4]],OI[[#This Row],[5]],OI[[#This Row],[6]])</f>
        <v>0</v>
      </c>
      <c r="AK4" s="311">
        <f>SUM(OI[[#This Row],[7]],OI[[#This Row],[8]],OI[[#This Row],[9]],OI[[#This Row],[10]],OI[[#This Row],[11]],OI[[#This Row],[12]])</f>
        <v>9390</v>
      </c>
      <c r="AL4" s="307" t="str">
        <f t="shared" si="0"/>
        <v>HYFR</v>
      </c>
    </row>
    <row r="5" spans="1:38" x14ac:dyDescent="0.3">
      <c r="A5" s="258" t="s">
        <v>251</v>
      </c>
      <c r="B5" s="39" t="s">
        <v>241</v>
      </c>
      <c r="C5" s="39" t="s">
        <v>245</v>
      </c>
      <c r="D5" s="39" t="s">
        <v>182</v>
      </c>
      <c r="E5" s="39"/>
      <c r="F5" s="437">
        <v>2020</v>
      </c>
      <c r="G5" s="39" t="s">
        <v>243</v>
      </c>
      <c r="H5" s="309">
        <f>AIA!C5</f>
        <v>0</v>
      </c>
      <c r="I5" s="309">
        <f>AIA!D5</f>
        <v>0</v>
      </c>
      <c r="J5" s="309">
        <f>AIA!E5</f>
        <v>0</v>
      </c>
      <c r="K5" s="309">
        <f>AIA!F5</f>
        <v>0</v>
      </c>
      <c r="L5" s="309">
        <f>AIA!G5</f>
        <v>0</v>
      </c>
      <c r="M5" s="309">
        <f>AIA!H5</f>
        <v>0</v>
      </c>
      <c r="N5" s="309">
        <f>AIA!I5</f>
        <v>0</v>
      </c>
      <c r="O5" s="309">
        <f>AIA!J5</f>
        <v>0</v>
      </c>
      <c r="P5" s="309">
        <f>AIA!K5</f>
        <v>0</v>
      </c>
      <c r="Q5" s="309">
        <f>AIA!L5</f>
        <v>0</v>
      </c>
      <c r="R5" s="309">
        <f>AIA!M5</f>
        <v>0</v>
      </c>
      <c r="S5" s="309">
        <f>AIA!N5</f>
        <v>0</v>
      </c>
      <c r="T5" s="310">
        <f>SUM(OI[[#This Row],[1]])</f>
        <v>0</v>
      </c>
      <c r="U5" s="310">
        <f>SUM(OI[[#This Row],[1]],OI[[#This Row],[2]])</f>
        <v>0</v>
      </c>
      <c r="V5" s="310">
        <f>SUM(OI[[#This Row],[1]],OI[[#This Row],[2]],OI[[#This Row],[3]])</f>
        <v>0</v>
      </c>
      <c r="W5" s="310">
        <f>SUM(OI[[#This Row],[1]],OI[[#This Row],[2]],OI[[#This Row],[3]],OI[[#This Row],[4]])</f>
        <v>0</v>
      </c>
      <c r="X5" s="310">
        <f>SUM(OI[[#This Row],[1]],OI[[#This Row],[2]],OI[[#This Row],[3]],OI[[#This Row],[4]],OI[[#This Row],[5]])</f>
        <v>0</v>
      </c>
      <c r="Y5" s="310">
        <f>SUM(OI[[#This Row],[1]],OI[[#This Row],[2]],OI[[#This Row],[3]],OI[[#This Row],[4]],OI[[#This Row],[5]],OI[[#This Row],[6]])</f>
        <v>0</v>
      </c>
      <c r="Z5" s="310">
        <f>SUM(OI[[#This Row],[1]],OI[[#This Row],[2]],OI[[#This Row],[3]],OI[[#This Row],[4]],OI[[#This Row],[5]],OI[[#This Row],[6]],OI[[#This Row],[7]])</f>
        <v>0</v>
      </c>
      <c r="AA5" s="310">
        <f>SUM(OI[[#This Row],[1]],OI[[#This Row],[2]],OI[[#This Row],[3]],OI[[#This Row],[4]],OI[[#This Row],[5]],OI[[#This Row],[6]],OI[[#This Row],[7]],OI[[#This Row],[8]])</f>
        <v>0</v>
      </c>
      <c r="AB5" s="310">
        <f>SUM(OI[[#This Row],[1]],OI[[#This Row],[2]],OI[[#This Row],[3]],OI[[#This Row],[4]],OI[[#This Row],[5]],OI[[#This Row],[6]],OI[[#This Row],[7]],OI[[#This Row],[8]],OI[[#This Row],[9]])</f>
        <v>0</v>
      </c>
      <c r="AC5" s="310">
        <f>SUM(OI[[#This Row],[1]],OI[[#This Row],[2]],OI[[#This Row],[3]],OI[[#This Row],[4]],OI[[#This Row],[5]],OI[[#This Row],[6]],OI[[#This Row],[7]],OI[[#This Row],[8]],OI[[#This Row],[9]],OI[[#This Row],[10]])</f>
        <v>0</v>
      </c>
      <c r="AD5" s="310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5" s="310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5" s="310">
        <f>SUM(OI[[#This Row],[1]],OI[[#This Row],[2]],OI[[#This Row],[3]])</f>
        <v>0</v>
      </c>
      <c r="AG5" s="310">
        <f>SUM(OI[[#This Row],[4]],OI[[#This Row],[5]],OI[[#This Row],[6]])</f>
        <v>0</v>
      </c>
      <c r="AH5" s="310">
        <f>SUM(OI[[#This Row],[7]],OI[[#This Row],[8]],OI[[#This Row],[9]])</f>
        <v>0</v>
      </c>
      <c r="AI5" s="310">
        <f>SUM(OI[[#This Row],[10]],OI[[#This Row],[11]],OI[[#This Row],[12]])</f>
        <v>0</v>
      </c>
      <c r="AJ5" s="310">
        <f>SUM(OI[[#This Row],[1]],OI[[#This Row],[2]],OI[[#This Row],[3]],OI[[#This Row],[4]],OI[[#This Row],[5]],OI[[#This Row],[6]])</f>
        <v>0</v>
      </c>
      <c r="AK5" s="311">
        <f>SUM(OI[[#This Row],[7]],OI[[#This Row],[8]],OI[[#This Row],[9]],OI[[#This Row],[10]],OI[[#This Row],[11]],OI[[#This Row],[12]])</f>
        <v>0</v>
      </c>
      <c r="AL5" s="307" t="str">
        <f t="shared" si="0"/>
        <v>HYFR</v>
      </c>
    </row>
    <row r="6" spans="1:38" x14ac:dyDescent="0.3">
      <c r="A6" s="258" t="s">
        <v>251</v>
      </c>
      <c r="B6" s="258" t="s">
        <v>241</v>
      </c>
      <c r="C6" s="258" t="s">
        <v>245</v>
      </c>
      <c r="D6" s="258" t="s">
        <v>244</v>
      </c>
      <c r="F6" s="437">
        <v>2020</v>
      </c>
      <c r="G6" s="258" t="s">
        <v>247</v>
      </c>
      <c r="H6" s="233">
        <f>SUMIFS(Data!$AD:$AD,Data!$AC:$AC,"&gt;="&amp;DATE(OI[[#This Row],[YEAR]],H$1,1),Data!$AC:$AC,"&lt;="&amp;EOMONTH(DATE(OI[[#This Row],[YEAR]],H$1,1),0))</f>
        <v>0</v>
      </c>
      <c r="I6" s="233">
        <f>SUMIFS(Data!$AD:$AD,Data!$AC:$AC,"&gt;="&amp;DATE(OI[[#This Row],[YEAR]],I$1,1),Data!$AC:$AC,"&lt;="&amp;EOMONTH(DATE(OI[[#This Row],[YEAR]],I$1,1),0))</f>
        <v>0</v>
      </c>
      <c r="J6" s="233">
        <f>SUMIFS(Data!$AD:$AD,Data!$AC:$AC,"&gt;="&amp;DATE(OI[[#This Row],[YEAR]],J$1,1),Data!$AC:$AC,"&lt;="&amp;EOMONTH(DATE(OI[[#This Row],[YEAR]],J$1,1),0))</f>
        <v>0</v>
      </c>
      <c r="K6" s="233">
        <f>SUMIFS(Data!$AD:$AD,Data!$AC:$AC,"&gt;="&amp;DATE(OI[[#This Row],[YEAR]],K$1,1),Data!$AC:$AC,"&lt;="&amp;EOMONTH(DATE(OI[[#This Row],[YEAR]],K$1,1),0))</f>
        <v>0</v>
      </c>
      <c r="L6" s="233">
        <f>SUMIFS(Data!$AD:$AD,Data!$AC:$AC,"&gt;="&amp;DATE(OI[[#This Row],[YEAR]],L$1,1),Data!$AC:$AC,"&lt;="&amp;EOMONTH(DATE(OI[[#This Row],[YEAR]],L$1,1),0))</f>
        <v>0</v>
      </c>
      <c r="M6" s="233">
        <f>SUMIFS(Data!$AD:$AD,Data!$AC:$AC,"&gt;="&amp;DATE(OI[[#This Row],[YEAR]],M$1,1),Data!$AC:$AC,"&lt;="&amp;EOMONTH(DATE(OI[[#This Row],[YEAR]],M$1,1),0))</f>
        <v>0</v>
      </c>
      <c r="N6" s="233">
        <f>SUMIFS(Data!$AD:$AD,Data!$AC:$AC,"&gt;="&amp;DATE(OI[[#This Row],[YEAR]],N$1,1),Data!$AC:$AC,"&lt;="&amp;EOMONTH(DATE(OI[[#This Row],[YEAR]],N$1,1),0))</f>
        <v>0</v>
      </c>
      <c r="O6" s="233">
        <f>SUMIFS(Data!$AD:$AD,Data!$AC:$AC,"&gt;="&amp;DATE(OI[[#This Row],[YEAR]],O$1,1),Data!$AC:$AC,"&lt;="&amp;EOMONTH(DATE(OI[[#This Row],[YEAR]],O$1,1),0))</f>
        <v>0</v>
      </c>
      <c r="P6" s="233">
        <f>SUMIFS(Data!$AD:$AD,Data!$AC:$AC,"&gt;="&amp;DATE(OI[[#This Row],[YEAR]],P$1,1),Data!$AC:$AC,"&lt;="&amp;EOMONTH(DATE(OI[[#This Row],[YEAR]],P$1,1),0))</f>
        <v>0</v>
      </c>
      <c r="Q6" s="233">
        <f>SUMIFS(Data!$AD:$AD,Data!$AC:$AC,"&gt;="&amp;DATE(OI[[#This Row],[YEAR]],Q$1,1),Data!$AC:$AC,"&lt;="&amp;EOMONTH(DATE(OI[[#This Row],[YEAR]],Q$1,1),0))</f>
        <v>0</v>
      </c>
      <c r="R6" s="233">
        <f>SUMIFS(Data!$AD:$AD,Data!$AC:$AC,"&gt;="&amp;DATE(OI[[#This Row],[YEAR]],R$1,1),Data!$AC:$AC,"&lt;="&amp;EOMONTH(DATE(OI[[#This Row],[YEAR]],R$1,1),0))</f>
        <v>0</v>
      </c>
      <c r="S6" s="233">
        <f>SUMIFS(Data!$AD:$AD,Data!$AC:$AC,"&gt;="&amp;DATE(OI[[#This Row],[YEAR]],S$1,1),Data!$AC:$AC,"&lt;="&amp;EOMONTH(DATE(OI[[#This Row],[YEAR]],S$1,1),0))</f>
        <v>0</v>
      </c>
      <c r="T6" s="304">
        <f>SUM(OI[[#This Row],[1]])</f>
        <v>0</v>
      </c>
      <c r="U6" s="304">
        <f>SUM(OI[[#This Row],[1]],OI[[#This Row],[2]])</f>
        <v>0</v>
      </c>
      <c r="V6" s="304">
        <f>SUM(OI[[#This Row],[1]],OI[[#This Row],[2]],OI[[#This Row],[3]])</f>
        <v>0</v>
      </c>
      <c r="W6" s="304">
        <f>SUM(OI[[#This Row],[1]],OI[[#This Row],[2]],OI[[#This Row],[3]],OI[[#This Row],[4]])</f>
        <v>0</v>
      </c>
      <c r="X6" s="304">
        <f>SUM(OI[[#This Row],[1]],OI[[#This Row],[2]],OI[[#This Row],[3]],OI[[#This Row],[4]],OI[[#This Row],[5]])</f>
        <v>0</v>
      </c>
      <c r="Y6" s="304">
        <f>SUM(OI[[#This Row],[1]],OI[[#This Row],[2]],OI[[#This Row],[3]],OI[[#This Row],[4]],OI[[#This Row],[5]],OI[[#This Row],[6]])</f>
        <v>0</v>
      </c>
      <c r="Z6" s="304">
        <f>SUM(OI[[#This Row],[1]],OI[[#This Row],[2]],OI[[#This Row],[3]],OI[[#This Row],[4]],OI[[#This Row],[5]],OI[[#This Row],[6]],OI[[#This Row],[7]])</f>
        <v>0</v>
      </c>
      <c r="AA6" s="304">
        <f>SUM(OI[[#This Row],[1]],OI[[#This Row],[2]],OI[[#This Row],[3]],OI[[#This Row],[4]],OI[[#This Row],[5]],OI[[#This Row],[6]],OI[[#This Row],[7]],OI[[#This Row],[8]])</f>
        <v>0</v>
      </c>
      <c r="AB6" s="304">
        <f>SUM(OI[[#This Row],[1]],OI[[#This Row],[2]],OI[[#This Row],[3]],OI[[#This Row],[4]],OI[[#This Row],[5]],OI[[#This Row],[6]],OI[[#This Row],[7]],OI[[#This Row],[8]],OI[[#This Row],[9]])</f>
        <v>0</v>
      </c>
      <c r="AC6" s="304">
        <f>SUM(OI[[#This Row],[1]],OI[[#This Row],[2]],OI[[#This Row],[3]],OI[[#This Row],[4]],OI[[#This Row],[5]],OI[[#This Row],[6]],OI[[#This Row],[7]],OI[[#This Row],[8]],OI[[#This Row],[9]],OI[[#This Row],[10]])</f>
        <v>0</v>
      </c>
      <c r="AD6" s="304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6" s="304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6" s="304">
        <f>SUM(OI[[#This Row],[1]],OI[[#This Row],[2]],OI[[#This Row],[3]])</f>
        <v>0</v>
      </c>
      <c r="AG6" s="304">
        <f>SUM(OI[[#This Row],[4]],OI[[#This Row],[5]],OI[[#This Row],[6]])</f>
        <v>0</v>
      </c>
      <c r="AH6" s="304">
        <f>SUM(OI[[#This Row],[7]],OI[[#This Row],[8]],OI[[#This Row],[9]])</f>
        <v>0</v>
      </c>
      <c r="AI6" s="304">
        <f>SUM(OI[[#This Row],[10]],OI[[#This Row],[11]],OI[[#This Row],[12]])</f>
        <v>0</v>
      </c>
      <c r="AJ6" s="304">
        <f>SUM(OI[[#This Row],[1]],OI[[#This Row],[2]],OI[[#This Row],[3]],OI[[#This Row],[4]],OI[[#This Row],[5]],OI[[#This Row],[6]])</f>
        <v>0</v>
      </c>
      <c r="AK6" s="305">
        <f>SUM(OI[[#This Row],[7]],OI[[#This Row],[8]],OI[[#This Row],[9]],OI[[#This Row],[10]],OI[[#This Row],[11]],OI[[#This Row],[12]])</f>
        <v>0</v>
      </c>
      <c r="AL6" s="307" t="str">
        <f t="shared" si="0"/>
        <v>HYFR</v>
      </c>
    </row>
    <row r="7" spans="1:38" s="437" customFormat="1" x14ac:dyDescent="0.3">
      <c r="A7" s="437" t="s">
        <v>251</v>
      </c>
      <c r="B7" s="437" t="s">
        <v>241</v>
      </c>
      <c r="C7" s="437" t="s">
        <v>245</v>
      </c>
      <c r="D7" s="437" t="s">
        <v>244</v>
      </c>
      <c r="F7" s="437">
        <v>2020</v>
      </c>
      <c r="G7" s="437" t="s">
        <v>247</v>
      </c>
      <c r="H7" s="233">
        <f>SUMIFS(Data!$AD:$AD,Data!$AC:$AC,"&gt;="&amp;DATE(OI[[#This Row],[YEAR]],H$1,1),Data!$AC:$AC,"&lt;="&amp;EOMONTH(DATE(OI[[#This Row],[YEAR]],H$1,1),0),Data!$G:$G,"*HYDRO*")</f>
        <v>0</v>
      </c>
      <c r="I7" s="233">
        <f>SUMIFS(Data!$AD:$AD,Data!$AC:$AC,"&gt;="&amp;DATE(OI[[#This Row],[PG]],I$1,1),Data!$AC:$AC,"&lt;="&amp;EOMONTH(DATE(OI[[#This Row],[PG]],I$1,1),0),Data!$G:$G,"*HYDRO*")</f>
        <v>0</v>
      </c>
      <c r="J7" s="233">
        <f>SUMIFS(Data!$AD:$AD,Data!$AC:$AC,"&gt;="&amp;DATE(OI[[#This Row],[1]],J$1,1),Data!$AC:$AC,"&lt;="&amp;EOMONTH(DATE(OI[[#This Row],[1]],J$1,1),0),Data!$G:$G,"*HYDRO*")</f>
        <v>0</v>
      </c>
      <c r="K7" s="233">
        <f>SUMIFS(Data!$AD:$AD,Data!$AC:$AC,"&gt;="&amp;DATE(OI[[#This Row],[2]],K$1,1),Data!$AC:$AC,"&lt;="&amp;EOMONTH(DATE(OI[[#This Row],[2]],K$1,1),0),Data!$G:$G,"*HYDRO*")</f>
        <v>0</v>
      </c>
      <c r="L7" s="233">
        <f>SUMIFS(Data!$AD:$AD,Data!$AC:$AC,"&gt;="&amp;DATE(OI[[#This Row],[3]],L$1,1),Data!$AC:$AC,"&lt;="&amp;EOMONTH(DATE(OI[[#This Row],[3]],L$1,1),0),Data!$G:$G,"*HYDRO*")</f>
        <v>0</v>
      </c>
      <c r="M7" s="233">
        <f>SUMIFS(Data!$AD:$AD,Data!$AC:$AC,"&gt;="&amp;DATE(OI[[#This Row],[4]],M$1,1),Data!$AC:$AC,"&lt;="&amp;EOMONTH(DATE(OI[[#This Row],[4]],M$1,1),0),Data!$G:$G,"*HYDRO*")</f>
        <v>0</v>
      </c>
      <c r="N7" s="233">
        <f>SUMIFS(Data!$AD:$AD,Data!$AC:$AC,"&gt;="&amp;DATE(OI[[#This Row],[5]],N$1,1),Data!$AC:$AC,"&lt;="&amp;EOMONTH(DATE(OI[[#This Row],[5]],N$1,1),0),Data!$G:$G,"*HYDRO*")</f>
        <v>0</v>
      </c>
      <c r="O7" s="233">
        <f>SUMIFS(Data!$AD:$AD,Data!$AC:$AC,"&gt;="&amp;DATE(OI[[#This Row],[6]],O$1,1),Data!$AC:$AC,"&lt;="&amp;EOMONTH(DATE(OI[[#This Row],[6]],O$1,1),0),Data!$G:$G,"*HYDRO*")</f>
        <v>0</v>
      </c>
      <c r="P7" s="233">
        <f>SUMIFS(Data!$AD:$AD,Data!$AC:$AC,"&gt;="&amp;DATE(OI[[#This Row],[7]],P$1,1),Data!$AC:$AC,"&lt;="&amp;EOMONTH(DATE(OI[[#This Row],[7]],P$1,1),0),Data!$G:$G,"*HYDRO*")</f>
        <v>0</v>
      </c>
      <c r="Q7" s="233">
        <f>SUMIFS(Data!$AD:$AD,Data!$AC:$AC,"&gt;="&amp;DATE(OI[[#This Row],[8]],Q$1,1),Data!$AC:$AC,"&lt;="&amp;EOMONTH(DATE(OI[[#This Row],[8]],Q$1,1),0),Data!$G:$G,"*HYDRO*")</f>
        <v>0</v>
      </c>
      <c r="R7" s="233">
        <f>SUMIFS(Data!$AD:$AD,Data!$AC:$AC,"&gt;="&amp;DATE(OI[[#This Row],[9]],R$1,1),Data!$AC:$AC,"&lt;="&amp;EOMONTH(DATE(OI[[#This Row],[9]],R$1,1),0),Data!$G:$G,"*HYDRO*")</f>
        <v>0</v>
      </c>
      <c r="S7" s="233">
        <f>SUMIFS(Data!$AD:$AD,Data!$AC:$AC,"&gt;="&amp;DATE(OI[[#This Row],[10]],S$1,1),Data!$AC:$AC,"&lt;="&amp;EOMONTH(DATE(OI[[#This Row],[10]],S$1,1),0),Data!$G:$G,"*HYDRO*")</f>
        <v>0</v>
      </c>
      <c r="T7" s="304">
        <f>SUM(OI[[#This Row],[1]])</f>
        <v>0</v>
      </c>
      <c r="U7" s="304">
        <f>SUM(OI[[#This Row],[1]],OI[[#This Row],[2]])</f>
        <v>0</v>
      </c>
      <c r="V7" s="304">
        <f>SUM(OI[[#This Row],[1]],OI[[#This Row],[2]],OI[[#This Row],[3]])</f>
        <v>0</v>
      </c>
      <c r="W7" s="304">
        <f>SUM(OI[[#This Row],[1]],OI[[#This Row],[2]],OI[[#This Row],[3]],OI[[#This Row],[4]])</f>
        <v>0</v>
      </c>
      <c r="X7" s="304">
        <f>SUM(OI[[#This Row],[1]],OI[[#This Row],[2]],OI[[#This Row],[3]],OI[[#This Row],[4]],OI[[#This Row],[5]])</f>
        <v>0</v>
      </c>
      <c r="Y7" s="304">
        <f>SUM(OI[[#This Row],[1]],OI[[#This Row],[2]],OI[[#This Row],[3]],OI[[#This Row],[4]],OI[[#This Row],[5]],OI[[#This Row],[6]])</f>
        <v>0</v>
      </c>
      <c r="Z7" s="304">
        <f>SUM(OI[[#This Row],[1]],OI[[#This Row],[2]],OI[[#This Row],[3]],OI[[#This Row],[4]],OI[[#This Row],[5]],OI[[#This Row],[6]],OI[[#This Row],[7]])</f>
        <v>0</v>
      </c>
      <c r="AA7" s="304">
        <f>SUM(OI[[#This Row],[1]],OI[[#This Row],[2]],OI[[#This Row],[3]],OI[[#This Row],[4]],OI[[#This Row],[5]],OI[[#This Row],[6]],OI[[#This Row],[7]],OI[[#This Row],[8]])</f>
        <v>0</v>
      </c>
      <c r="AB7" s="304">
        <f>SUM(OI[[#This Row],[1]],OI[[#This Row],[2]],OI[[#This Row],[3]],OI[[#This Row],[4]],OI[[#This Row],[5]],OI[[#This Row],[6]],OI[[#This Row],[7]],OI[[#This Row],[8]],OI[[#This Row],[9]])</f>
        <v>0</v>
      </c>
      <c r="AC7" s="304">
        <f>SUM(OI[[#This Row],[1]],OI[[#This Row],[2]],OI[[#This Row],[3]],OI[[#This Row],[4]],OI[[#This Row],[5]],OI[[#This Row],[6]],OI[[#This Row],[7]],OI[[#This Row],[8]],OI[[#This Row],[9]],OI[[#This Row],[10]])</f>
        <v>0</v>
      </c>
      <c r="AD7" s="304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7" s="304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7" s="304">
        <f>SUM(OI[[#This Row],[1]],OI[[#This Row],[2]],OI[[#This Row],[3]])</f>
        <v>0</v>
      </c>
      <c r="AG7" s="304">
        <f>SUM(OI[[#This Row],[4]],OI[[#This Row],[5]],OI[[#This Row],[6]])</f>
        <v>0</v>
      </c>
      <c r="AH7" s="304">
        <f>SUM(OI[[#This Row],[7]],OI[[#This Row],[8]],OI[[#This Row],[9]])</f>
        <v>0</v>
      </c>
      <c r="AI7" s="304">
        <f>SUM(OI[[#This Row],[10]],OI[[#This Row],[11]],OI[[#This Row],[12]])</f>
        <v>0</v>
      </c>
      <c r="AJ7" s="304">
        <f>SUM(OI[[#This Row],[1]],OI[[#This Row],[2]],OI[[#This Row],[3]],OI[[#This Row],[4]],OI[[#This Row],[5]],OI[[#This Row],[6]])</f>
        <v>0</v>
      </c>
      <c r="AK7" s="305">
        <f>SUM(OI[[#This Row],[7]],OI[[#This Row],[8]],OI[[#This Row],[9]],OI[[#This Row],[10]],OI[[#This Row],[11]],OI[[#This Row],[12]])</f>
        <v>0</v>
      </c>
      <c r="AL7" s="307" t="str">
        <f t="shared" si="0"/>
        <v>HYFR</v>
      </c>
    </row>
    <row r="8" spans="1:38" x14ac:dyDescent="0.3">
      <c r="A8" s="258" t="s">
        <v>251</v>
      </c>
      <c r="B8" s="39" t="s">
        <v>241</v>
      </c>
      <c r="C8" s="39" t="s">
        <v>245</v>
      </c>
      <c r="D8" s="258" t="s">
        <v>244</v>
      </c>
      <c r="F8" s="437">
        <v>2020</v>
      </c>
      <c r="G8" s="39" t="s">
        <v>242</v>
      </c>
      <c r="H8" s="309">
        <f>AIA!C6</f>
        <v>0</v>
      </c>
      <c r="I8" s="309">
        <f>AIA!D6</f>
        <v>0</v>
      </c>
      <c r="J8" s="309">
        <f>AIA!E6</f>
        <v>0</v>
      </c>
      <c r="K8" s="309">
        <f>AIA!F6</f>
        <v>0</v>
      </c>
      <c r="L8" s="309">
        <f>AIA!G6</f>
        <v>0</v>
      </c>
      <c r="M8" s="309">
        <f>AIA!H6</f>
        <v>0</v>
      </c>
      <c r="N8" s="309">
        <f>AIA!I6</f>
        <v>0</v>
      </c>
      <c r="O8" s="309">
        <f>AIA!J6</f>
        <v>0</v>
      </c>
      <c r="P8" s="309">
        <f>AIA!K6</f>
        <v>0</v>
      </c>
      <c r="Q8" s="309">
        <f>AIA!L6</f>
        <v>0</v>
      </c>
      <c r="R8" s="309">
        <f>AIA!M6</f>
        <v>0</v>
      </c>
      <c r="S8" s="309">
        <f>AIA!N6</f>
        <v>0</v>
      </c>
      <c r="T8" s="307">
        <f>SUM(OI[[#This Row],[1]])</f>
        <v>0</v>
      </c>
      <c r="U8" s="307">
        <f>SUM(OI[[#This Row],[1]],OI[[#This Row],[2]])</f>
        <v>0</v>
      </c>
      <c r="V8" s="307">
        <f>SUM(OI[[#This Row],[1]],OI[[#This Row],[2]],OI[[#This Row],[3]])</f>
        <v>0</v>
      </c>
      <c r="W8" s="307">
        <f>SUM(OI[[#This Row],[1]],OI[[#This Row],[2]],OI[[#This Row],[3]],OI[[#This Row],[4]])</f>
        <v>0</v>
      </c>
      <c r="X8" s="307">
        <f>SUM(OI[[#This Row],[1]],OI[[#This Row],[2]],OI[[#This Row],[3]],OI[[#This Row],[4]],OI[[#This Row],[5]])</f>
        <v>0</v>
      </c>
      <c r="Y8" s="307">
        <f>SUM(OI[[#This Row],[1]],OI[[#This Row],[2]],OI[[#This Row],[3]],OI[[#This Row],[4]],OI[[#This Row],[5]],OI[[#This Row],[6]])</f>
        <v>0</v>
      </c>
      <c r="Z8" s="307">
        <f>SUM(OI[[#This Row],[1]],OI[[#This Row],[2]],OI[[#This Row],[3]],OI[[#This Row],[4]],OI[[#This Row],[5]],OI[[#This Row],[6]],OI[[#This Row],[7]])</f>
        <v>0</v>
      </c>
      <c r="AA8" s="307">
        <f>SUM(OI[[#This Row],[1]],OI[[#This Row],[2]],OI[[#This Row],[3]],OI[[#This Row],[4]],OI[[#This Row],[5]],OI[[#This Row],[6]],OI[[#This Row],[7]],OI[[#This Row],[8]])</f>
        <v>0</v>
      </c>
      <c r="AB8" s="307">
        <f>SUM(OI[[#This Row],[1]],OI[[#This Row],[2]],OI[[#This Row],[3]],OI[[#This Row],[4]],OI[[#This Row],[5]],OI[[#This Row],[6]],OI[[#This Row],[7]],OI[[#This Row],[8]],OI[[#This Row],[9]])</f>
        <v>0</v>
      </c>
      <c r="AC8" s="307">
        <f>SUM(OI[[#This Row],[1]],OI[[#This Row],[2]],OI[[#This Row],[3]],OI[[#This Row],[4]],OI[[#This Row],[5]],OI[[#This Row],[6]],OI[[#This Row],[7]],OI[[#This Row],[8]],OI[[#This Row],[9]],OI[[#This Row],[10]])</f>
        <v>0</v>
      </c>
      <c r="AD8" s="307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8" s="307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8" s="307">
        <f>SUM(OI[[#This Row],[1]],OI[[#This Row],[2]],OI[[#This Row],[3]])</f>
        <v>0</v>
      </c>
      <c r="AG8" s="307">
        <f>SUM(OI[[#This Row],[4]],OI[[#This Row],[5]],OI[[#This Row],[6]])</f>
        <v>0</v>
      </c>
      <c r="AH8" s="307">
        <f>SUM(OI[[#This Row],[7]],OI[[#This Row],[8]],OI[[#This Row],[9]])</f>
        <v>0</v>
      </c>
      <c r="AI8" s="307">
        <f>SUM(OI[[#This Row],[10]],OI[[#This Row],[11]],OI[[#This Row],[12]])</f>
        <v>0</v>
      </c>
      <c r="AJ8" s="307">
        <f>SUM(OI[[#This Row],[1]],OI[[#This Row],[2]],OI[[#This Row],[3]],OI[[#This Row],[4]],OI[[#This Row],[5]],OI[[#This Row],[6]])</f>
        <v>0</v>
      </c>
      <c r="AK8" s="308">
        <f>SUM(OI[[#This Row],[7]],OI[[#This Row],[8]],OI[[#This Row],[9]],OI[[#This Row],[10]],OI[[#This Row],[11]],OI[[#This Row],[12]])</f>
        <v>0</v>
      </c>
      <c r="AL8" s="307" t="str">
        <f t="shared" si="0"/>
        <v>HYFR</v>
      </c>
    </row>
    <row r="9" spans="1:38" x14ac:dyDescent="0.3">
      <c r="A9" s="258" t="s">
        <v>251</v>
      </c>
      <c r="B9" s="39" t="s">
        <v>241</v>
      </c>
      <c r="C9" s="39" t="s">
        <v>245</v>
      </c>
      <c r="D9" s="258" t="s">
        <v>244</v>
      </c>
      <c r="F9" s="437">
        <v>2020</v>
      </c>
      <c r="G9" s="39" t="s">
        <v>243</v>
      </c>
      <c r="H9" s="309">
        <f>AIA!C7</f>
        <v>0</v>
      </c>
      <c r="I9" s="309">
        <f>AIA!D7</f>
        <v>0</v>
      </c>
      <c r="J9" s="309">
        <f>AIA!E7</f>
        <v>0</v>
      </c>
      <c r="K9" s="309">
        <f>AIA!F7</f>
        <v>0</v>
      </c>
      <c r="L9" s="309">
        <f>AIA!G7</f>
        <v>0</v>
      </c>
      <c r="M9" s="309">
        <f>AIA!H7</f>
        <v>0</v>
      </c>
      <c r="N9" s="309">
        <f>AIA!I7</f>
        <v>0</v>
      </c>
      <c r="O9" s="309">
        <f>AIA!J7</f>
        <v>0</v>
      </c>
      <c r="P9" s="309">
        <f>AIA!K7</f>
        <v>0</v>
      </c>
      <c r="Q9" s="309">
        <f>AIA!L7</f>
        <v>0</v>
      </c>
      <c r="R9" s="309">
        <f>AIA!M7</f>
        <v>0</v>
      </c>
      <c r="S9" s="309">
        <f>AIA!N7</f>
        <v>0</v>
      </c>
      <c r="T9" s="310">
        <f>SUM(OI[[#This Row],[1]])</f>
        <v>0</v>
      </c>
      <c r="U9" s="310">
        <f>SUM(OI[[#This Row],[1]],OI[[#This Row],[2]])</f>
        <v>0</v>
      </c>
      <c r="V9" s="310">
        <f>SUM(OI[[#This Row],[1]],OI[[#This Row],[2]],OI[[#This Row],[3]])</f>
        <v>0</v>
      </c>
      <c r="W9" s="310">
        <f>SUM(OI[[#This Row],[1]],OI[[#This Row],[2]],OI[[#This Row],[3]],OI[[#This Row],[4]])</f>
        <v>0</v>
      </c>
      <c r="X9" s="310">
        <f>SUM(OI[[#This Row],[1]],OI[[#This Row],[2]],OI[[#This Row],[3]],OI[[#This Row],[4]],OI[[#This Row],[5]])</f>
        <v>0</v>
      </c>
      <c r="Y9" s="310">
        <f>SUM(OI[[#This Row],[1]],OI[[#This Row],[2]],OI[[#This Row],[3]],OI[[#This Row],[4]],OI[[#This Row],[5]],OI[[#This Row],[6]])</f>
        <v>0</v>
      </c>
      <c r="Z9" s="310">
        <f>SUM(OI[[#This Row],[1]],OI[[#This Row],[2]],OI[[#This Row],[3]],OI[[#This Row],[4]],OI[[#This Row],[5]],OI[[#This Row],[6]],OI[[#This Row],[7]])</f>
        <v>0</v>
      </c>
      <c r="AA9" s="310">
        <f>SUM(OI[[#This Row],[1]],OI[[#This Row],[2]],OI[[#This Row],[3]],OI[[#This Row],[4]],OI[[#This Row],[5]],OI[[#This Row],[6]],OI[[#This Row],[7]],OI[[#This Row],[8]])</f>
        <v>0</v>
      </c>
      <c r="AB9" s="310">
        <f>SUM(OI[[#This Row],[1]],OI[[#This Row],[2]],OI[[#This Row],[3]],OI[[#This Row],[4]],OI[[#This Row],[5]],OI[[#This Row],[6]],OI[[#This Row],[7]],OI[[#This Row],[8]],OI[[#This Row],[9]])</f>
        <v>0</v>
      </c>
      <c r="AC9" s="310">
        <f>SUM(OI[[#This Row],[1]],OI[[#This Row],[2]],OI[[#This Row],[3]],OI[[#This Row],[4]],OI[[#This Row],[5]],OI[[#This Row],[6]],OI[[#This Row],[7]],OI[[#This Row],[8]],OI[[#This Row],[9]],OI[[#This Row],[10]])</f>
        <v>0</v>
      </c>
      <c r="AD9" s="310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9" s="310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9" s="310">
        <f>SUM(OI[[#This Row],[1]],OI[[#This Row],[2]],OI[[#This Row],[3]])</f>
        <v>0</v>
      </c>
      <c r="AG9" s="310">
        <f>SUM(OI[[#This Row],[4]],OI[[#This Row],[5]],OI[[#This Row],[6]])</f>
        <v>0</v>
      </c>
      <c r="AH9" s="310">
        <f>SUM(OI[[#This Row],[7]],OI[[#This Row],[8]],OI[[#This Row],[9]])</f>
        <v>0</v>
      </c>
      <c r="AI9" s="310">
        <f>SUM(OI[[#This Row],[10]],OI[[#This Row],[11]],OI[[#This Row],[12]])</f>
        <v>0</v>
      </c>
      <c r="AJ9" s="310">
        <f>SUM(OI[[#This Row],[1]],OI[[#This Row],[2]],OI[[#This Row],[3]],OI[[#This Row],[4]],OI[[#This Row],[5]],OI[[#This Row],[6]])</f>
        <v>0</v>
      </c>
      <c r="AK9" s="311">
        <f>SUM(OI[[#This Row],[7]],OI[[#This Row],[8]],OI[[#This Row],[9]],OI[[#This Row],[10]],OI[[#This Row],[11]],OI[[#This Row],[12]])</f>
        <v>0</v>
      </c>
      <c r="AL9" s="307" t="str">
        <f t="shared" si="0"/>
        <v>HYFR</v>
      </c>
    </row>
    <row r="10" spans="1:38" x14ac:dyDescent="0.3">
      <c r="A10" s="258" t="s">
        <v>251</v>
      </c>
      <c r="B10" s="258" t="s">
        <v>241</v>
      </c>
      <c r="C10" s="258" t="s">
        <v>245</v>
      </c>
      <c r="D10" s="258" t="s">
        <v>246</v>
      </c>
      <c r="F10" s="437">
        <f>RIGHT(AIA!B1,4)*1</f>
        <v>2020</v>
      </c>
      <c r="G10" s="258" t="s">
        <v>247</v>
      </c>
      <c r="H10" s="233">
        <f>IF(OI[[#This Row],[YEAR]]&lt;&gt;2020,"",SUMIFS(Data!$S:$S,Data!$Q:$Q,"&lt;"&amp;DATE(OI[[#This Row],[YEAR]],1,1))+H2-H6)</f>
        <v>0</v>
      </c>
      <c r="I10" s="233" t="str">
        <f>IF(OI[[#This Row],[PG]]&lt;&gt;2020,"",SUMIFS(Data!$S:$S,Data!$Q:$Q,"&lt;"&amp;DATE(OI[[#This Row],[PG]],1,1))+I2-I6)</f>
        <v/>
      </c>
      <c r="J10" s="233" t="str">
        <f>IF(OI[[#This Row],[1]]&lt;&gt;2020,"",SUMIFS(Data!$S:$S,Data!$Q:$Q,"&lt;"&amp;DATE(OI[[#This Row],[1]],1,1))+J2-J6)</f>
        <v/>
      </c>
      <c r="K10" s="233" t="str">
        <f>IF(OI[[#This Row],[2]]&lt;&gt;2020,"",SUMIFS(Data!$S:$S,Data!$Q:$Q,"&lt;"&amp;DATE(OI[[#This Row],[2]],1,1))+K2-K6)</f>
        <v/>
      </c>
      <c r="L10" s="233" t="str">
        <f>IF(OI[[#This Row],[3]]&lt;&gt;2020,"",SUMIFS(Data!$S:$S,Data!$Q:$Q,"&lt;"&amp;DATE(OI[[#This Row],[3]],1,1))+L2-L6)</f>
        <v/>
      </c>
      <c r="M10" s="233" t="str">
        <f>IF(OI[[#This Row],[4]]&lt;&gt;2020,"",SUMIFS(Data!$S:$S,Data!$Q:$Q,"&lt;"&amp;DATE(OI[[#This Row],[4]],1,1))+M2-M6)</f>
        <v/>
      </c>
      <c r="N10" s="233" t="str">
        <f>IF(OI[[#This Row],[5]]&lt;&gt;2020,"",SUMIFS(Data!$S:$S,Data!$Q:$Q,"&lt;"&amp;DATE(OI[[#This Row],[5]],1,1))+N2-N6)</f>
        <v/>
      </c>
      <c r="O10" s="233" t="str">
        <f>IF(OI[[#This Row],[6]]&lt;&gt;2020,"",SUMIFS(Data!$S:$S,Data!$Q:$Q,"&lt;"&amp;DATE(OI[[#This Row],[6]],1,1))+O2-O6)</f>
        <v/>
      </c>
      <c r="P10" s="233" t="str">
        <f>IF(OI[[#This Row],[7]]&lt;&gt;2020,"",SUMIFS(Data!$S:$S,Data!$Q:$Q,"&lt;"&amp;DATE(OI[[#This Row],[7]],1,1))+P2-P6)</f>
        <v/>
      </c>
      <c r="Q10" s="233" t="str">
        <f>IF(OI[[#This Row],[8]]&lt;&gt;2020,"",SUMIFS(Data!$S:$S,Data!$Q:$Q,"&lt;"&amp;DATE(OI[[#This Row],[8]],1,1))+Q2-Q6)</f>
        <v/>
      </c>
      <c r="R10" s="233" t="str">
        <f>IF(OI[[#This Row],[9]]&lt;&gt;2020,"",SUMIFS(Data!$S:$S,Data!$Q:$Q,"&lt;"&amp;DATE(OI[[#This Row],[9]],1,1))+R2-R6)</f>
        <v/>
      </c>
      <c r="S10" s="233" t="str">
        <f>IF(OI[[#This Row],[10]]&lt;&gt;2020,"",SUMIFS(Data!$S:$S,Data!$Q:$Q,"&lt;"&amp;DATE(OI[[#This Row],[10]],1,1))+S2-S6)</f>
        <v/>
      </c>
      <c r="T10" s="304">
        <f>SUM(OI[[#This Row],[1]])</f>
        <v>0</v>
      </c>
      <c r="U10" s="304">
        <f>SUM(OI[[#This Row],[1]],OI[[#This Row],[2]])</f>
        <v>0</v>
      </c>
      <c r="V10" s="304">
        <f>SUM(OI[[#This Row],[1]],OI[[#This Row],[2]],OI[[#This Row],[3]])</f>
        <v>0</v>
      </c>
      <c r="W10" s="304">
        <f>SUM(OI[[#This Row],[1]],OI[[#This Row],[2]],OI[[#This Row],[3]],OI[[#This Row],[4]])</f>
        <v>0</v>
      </c>
      <c r="X10" s="304">
        <f>SUM(OI[[#This Row],[1]],OI[[#This Row],[2]],OI[[#This Row],[3]],OI[[#This Row],[4]],OI[[#This Row],[5]])</f>
        <v>0</v>
      </c>
      <c r="Y10" s="304">
        <f>SUM(OI[[#This Row],[1]],OI[[#This Row],[2]],OI[[#This Row],[3]],OI[[#This Row],[4]],OI[[#This Row],[5]],OI[[#This Row],[6]])</f>
        <v>0</v>
      </c>
      <c r="Z10" s="304">
        <f>SUM(OI[[#This Row],[1]],OI[[#This Row],[2]],OI[[#This Row],[3]],OI[[#This Row],[4]],OI[[#This Row],[5]],OI[[#This Row],[6]],OI[[#This Row],[7]])</f>
        <v>0</v>
      </c>
      <c r="AA10" s="304">
        <f>SUM(OI[[#This Row],[1]],OI[[#This Row],[2]],OI[[#This Row],[3]],OI[[#This Row],[4]],OI[[#This Row],[5]],OI[[#This Row],[6]],OI[[#This Row],[7]],OI[[#This Row],[8]])</f>
        <v>0</v>
      </c>
      <c r="AB10" s="304">
        <f>SUM(OI[[#This Row],[1]],OI[[#This Row],[2]],OI[[#This Row],[3]],OI[[#This Row],[4]],OI[[#This Row],[5]],OI[[#This Row],[6]],OI[[#This Row],[7]],OI[[#This Row],[8]],OI[[#This Row],[9]])</f>
        <v>0</v>
      </c>
      <c r="AC10" s="304">
        <f>SUM(OI[[#This Row],[1]],OI[[#This Row],[2]],OI[[#This Row],[3]],OI[[#This Row],[4]],OI[[#This Row],[5]],OI[[#This Row],[6]],OI[[#This Row],[7]],OI[[#This Row],[8]],OI[[#This Row],[9]],OI[[#This Row],[10]])</f>
        <v>0</v>
      </c>
      <c r="AD10" s="304">
        <f>SUM(OI[[#This Row],[1]],OI[[#This Row],[2]],OI[[#This Row],[3]],OI[[#This Row],[4]],OI[[#This Row],[5]],OI[[#This Row],[6]],OI[[#This Row],[7]],OI[[#This Row],[8]],OI[[#This Row],[9]],OI[[#This Row],[10]],OI[[#This Row],[11]])</f>
        <v>0</v>
      </c>
      <c r="AE10" s="304">
        <f>SUM(OI[[#This Row],[1]],OI[[#This Row],[2]],OI[[#This Row],[3]],OI[[#This Row],[4]],OI[[#This Row],[5]],OI[[#This Row],[6]],OI[[#This Row],[7]],OI[[#This Row],[8]],OI[[#This Row],[9]],OI[[#This Row],[10]],OI[[#This Row],[11]],OI[[#This Row],[12]])</f>
        <v>0</v>
      </c>
      <c r="AF10" s="304">
        <f>SUM(OI[[#This Row],[1]],OI[[#This Row],[2]],OI[[#This Row],[3]])</f>
        <v>0</v>
      </c>
      <c r="AG10" s="304">
        <f>SUM(OI[[#This Row],[4]],OI[[#This Row],[5]],OI[[#This Row],[6]])</f>
        <v>0</v>
      </c>
      <c r="AH10" s="304">
        <f>SUM(OI[[#This Row],[7]],OI[[#This Row],[8]],OI[[#This Row],[9]])</f>
        <v>0</v>
      </c>
      <c r="AI10" s="304">
        <f>SUM(OI[[#This Row],[10]],OI[[#This Row],[11]],OI[[#This Row],[12]])</f>
        <v>0</v>
      </c>
      <c r="AJ10" s="304">
        <f>SUM(OI[[#This Row],[1]],OI[[#This Row],[2]],OI[[#This Row],[3]],OI[[#This Row],[4]],OI[[#This Row],[5]],OI[[#This Row],[6]])</f>
        <v>0</v>
      </c>
      <c r="AK10" s="305">
        <f>SUM(OI[[#This Row],[7]],OI[[#This Row],[8]],OI[[#This Row],[9]],OI[[#This Row],[10]],OI[[#This Row],[11]],OI[[#This Row],[12]])</f>
        <v>0</v>
      </c>
      <c r="AL10" s="307" t="str">
        <f t="shared" si="0"/>
        <v>HYFR</v>
      </c>
    </row>
    <row r="11" spans="1:38" x14ac:dyDescent="0.3">
      <c r="A11" s="258" t="s">
        <v>251</v>
      </c>
      <c r="B11" s="39" t="s">
        <v>241</v>
      </c>
      <c r="C11" s="39" t="s">
        <v>245</v>
      </c>
      <c r="D11" s="258" t="s">
        <v>246</v>
      </c>
      <c r="F11" s="437">
        <f>RIGHT(AIA!B1,4)*1</f>
        <v>2020</v>
      </c>
      <c r="G11" s="39" t="s">
        <v>242</v>
      </c>
      <c r="H11" s="309">
        <f>IF(OI[[#This Row],[YEAR]]&lt;&gt;2020,"",AIA!$B$4+H4-H8)</f>
        <v>1590</v>
      </c>
      <c r="I11" s="309" t="str">
        <f>IF(OI[[#This Row],[PG]]&lt;&gt;2020,"",AIA!$B$4+I4-I8)</f>
        <v/>
      </c>
      <c r="J11" s="309" t="str">
        <f>IF(OI[[#This Row],[1]]&lt;&gt;2020,"",AIA!$B$4+J4-J8)</f>
        <v/>
      </c>
      <c r="K11" s="309" t="str">
        <f>IF(OI[[#This Row],[2]]&lt;&gt;2020,"",AIA!$B$4+K4-K8)</f>
        <v/>
      </c>
      <c r="L11" s="309" t="str">
        <f>IF(OI[[#This Row],[3]]&lt;&gt;2020,"",AIA!$B$4+L4-L8)</f>
        <v/>
      </c>
      <c r="M11" s="309" t="str">
        <f>IF(OI[[#This Row],[4]]&lt;&gt;2020,"",AIA!$B$4+M4-M8)</f>
        <v/>
      </c>
      <c r="N11" s="309" t="str">
        <f>IF(OI[[#This Row],[5]]&lt;&gt;2020,"",AIA!$B$4+N4-N8)</f>
        <v/>
      </c>
      <c r="O11" s="309" t="str">
        <f>IF(OI[[#This Row],[6]]&lt;&gt;2020,"",AIA!$B$4+O4-O8)</f>
        <v/>
      </c>
      <c r="P11" s="309" t="str">
        <f>IF(OI[[#This Row],[7]]&lt;&gt;2020,"",AIA!$B$4+P4-P8)</f>
        <v/>
      </c>
      <c r="Q11" s="309" t="str">
        <f>IF(OI[[#This Row],[8]]&lt;&gt;2020,"",AIA!$B$4+Q4-Q8)</f>
        <v/>
      </c>
      <c r="R11" s="309" t="str">
        <f>IF(OI[[#This Row],[9]]&lt;&gt;2020,"",AIA!$B$4+R4-R8)</f>
        <v/>
      </c>
      <c r="S11" s="309" t="str">
        <f>IF(OI[[#This Row],[10]]&lt;&gt;2020,"",AIA!$B$4+S4-S8)</f>
        <v/>
      </c>
      <c r="T11" s="307">
        <f>SUM(OI[[#This Row],[1]])</f>
        <v>1590</v>
      </c>
      <c r="U11" s="307">
        <f>SUM(OI[[#This Row],[1]],OI[[#This Row],[2]])</f>
        <v>1590</v>
      </c>
      <c r="V11" s="307">
        <f>SUM(OI[[#This Row],[1]],OI[[#This Row],[2]],OI[[#This Row],[3]])</f>
        <v>1590</v>
      </c>
      <c r="W11" s="307">
        <f>SUM(OI[[#This Row],[1]],OI[[#This Row],[2]],OI[[#This Row],[3]],OI[[#This Row],[4]])</f>
        <v>1590</v>
      </c>
      <c r="X11" s="307">
        <f>SUM(OI[[#This Row],[1]],OI[[#This Row],[2]],OI[[#This Row],[3]],OI[[#This Row],[4]],OI[[#This Row],[5]])</f>
        <v>1590</v>
      </c>
      <c r="Y11" s="307">
        <f>SUM(OI[[#This Row],[1]],OI[[#This Row],[2]],OI[[#This Row],[3]],OI[[#This Row],[4]],OI[[#This Row],[5]],OI[[#This Row],[6]])</f>
        <v>1590</v>
      </c>
      <c r="Z11" s="307">
        <f>SUM(OI[[#This Row],[1]],OI[[#This Row],[2]],OI[[#This Row],[3]],OI[[#This Row],[4]],OI[[#This Row],[5]],OI[[#This Row],[6]],OI[[#This Row],[7]])</f>
        <v>1590</v>
      </c>
      <c r="AA11" s="307">
        <f>SUM(OI[[#This Row],[1]],OI[[#This Row],[2]],OI[[#This Row],[3]],OI[[#This Row],[4]],OI[[#This Row],[5]],OI[[#This Row],[6]],OI[[#This Row],[7]],OI[[#This Row],[8]])</f>
        <v>1590</v>
      </c>
      <c r="AB11" s="307">
        <f>SUM(OI[[#This Row],[1]],OI[[#This Row],[2]],OI[[#This Row],[3]],OI[[#This Row],[4]],OI[[#This Row],[5]],OI[[#This Row],[6]],OI[[#This Row],[7]],OI[[#This Row],[8]],OI[[#This Row],[9]])</f>
        <v>1590</v>
      </c>
      <c r="AC11" s="307">
        <f>SUM(OI[[#This Row],[1]],OI[[#This Row],[2]],OI[[#This Row],[3]],OI[[#This Row],[4]],OI[[#This Row],[5]],OI[[#This Row],[6]],OI[[#This Row],[7]],OI[[#This Row],[8]],OI[[#This Row],[9]],OI[[#This Row],[10]])</f>
        <v>1590</v>
      </c>
      <c r="AD11" s="307">
        <f>SUM(OI[[#This Row],[1]],OI[[#This Row],[2]],OI[[#This Row],[3]],OI[[#This Row],[4]],OI[[#This Row],[5]],OI[[#This Row],[6]],OI[[#This Row],[7]],OI[[#This Row],[8]],OI[[#This Row],[9]],OI[[#This Row],[10]],OI[[#This Row],[11]])</f>
        <v>1590</v>
      </c>
      <c r="AE11" s="307">
        <f>SUM(OI[[#This Row],[1]],OI[[#This Row],[2]],OI[[#This Row],[3]],OI[[#This Row],[4]],OI[[#This Row],[5]],OI[[#This Row],[6]],OI[[#This Row],[7]],OI[[#This Row],[8]],OI[[#This Row],[9]],OI[[#This Row],[10]],OI[[#This Row],[11]],OI[[#This Row],[12]])</f>
        <v>1590</v>
      </c>
      <c r="AF11" s="307">
        <f>SUM(OI[[#This Row],[1]],OI[[#This Row],[2]],OI[[#This Row],[3]])</f>
        <v>1590</v>
      </c>
      <c r="AG11" s="307">
        <f>SUM(OI[[#This Row],[4]],OI[[#This Row],[5]],OI[[#This Row],[6]])</f>
        <v>0</v>
      </c>
      <c r="AH11" s="307">
        <f>SUM(OI[[#This Row],[7]],OI[[#This Row],[8]],OI[[#This Row],[9]])</f>
        <v>0</v>
      </c>
      <c r="AI11" s="307">
        <f>SUM(OI[[#This Row],[10]],OI[[#This Row],[11]],OI[[#This Row],[12]])</f>
        <v>0</v>
      </c>
      <c r="AJ11" s="307">
        <f>SUM(OI[[#This Row],[1]],OI[[#This Row],[2]],OI[[#This Row],[3]],OI[[#This Row],[4]],OI[[#This Row],[5]],OI[[#This Row],[6]])</f>
        <v>1590</v>
      </c>
      <c r="AK11" s="308">
        <f>SUM(OI[[#This Row],[7]],OI[[#This Row],[8]],OI[[#This Row],[9]],OI[[#This Row],[10]],OI[[#This Row],[11]],OI[[#This Row],[12]])</f>
        <v>0</v>
      </c>
      <c r="AL11" s="307" t="str">
        <f t="shared" si="0"/>
        <v>HYFR</v>
      </c>
    </row>
    <row r="12" spans="1:38" x14ac:dyDescent="0.3">
      <c r="A12" s="258" t="s">
        <v>251</v>
      </c>
      <c r="B12" s="39" t="s">
        <v>241</v>
      </c>
      <c r="C12" s="39" t="s">
        <v>245</v>
      </c>
      <c r="D12" s="258" t="s">
        <v>246</v>
      </c>
      <c r="F12" s="437">
        <f>RIGHT(AIA!B1,4)*1</f>
        <v>2020</v>
      </c>
      <c r="G12" s="39" t="s">
        <v>243</v>
      </c>
      <c r="H12" s="309">
        <f>IF(OI[[#This Row],[YEAR]]&lt;&gt;2020,"",AIA!$B$5+H5-H9)</f>
        <v>266850</v>
      </c>
      <c r="I12" s="309" t="str">
        <f>IF(OI[[#This Row],[PG]]&lt;&gt;2020,"",AIA!$B$5+I5-I9)</f>
        <v/>
      </c>
      <c r="J12" s="309" t="str">
        <f>IF(OI[[#This Row],[1]]&lt;&gt;2020,"",AIA!$B$5+J5-J9)</f>
        <v/>
      </c>
      <c r="K12" s="309" t="str">
        <f>IF(OI[[#This Row],[2]]&lt;&gt;2020,"",AIA!$B$5+K5-K9)</f>
        <v/>
      </c>
      <c r="L12" s="309" t="str">
        <f>IF(OI[[#This Row],[3]]&lt;&gt;2020,"",AIA!$B$5+L5-L9)</f>
        <v/>
      </c>
      <c r="M12" s="309" t="str">
        <f>IF(OI[[#This Row],[4]]&lt;&gt;2020,"",AIA!$B$5+M5-M9)</f>
        <v/>
      </c>
      <c r="N12" s="309" t="str">
        <f>IF(OI[[#This Row],[5]]&lt;&gt;2020,"",AIA!$B$5+N5-N9)</f>
        <v/>
      </c>
      <c r="O12" s="309" t="str">
        <f>IF(OI[[#This Row],[6]]&lt;&gt;2020,"",AIA!$B$5+O5-O9)</f>
        <v/>
      </c>
      <c r="P12" s="309" t="str">
        <f>IF(OI[[#This Row],[7]]&lt;&gt;2020,"",AIA!$B$5+P5-P9)</f>
        <v/>
      </c>
      <c r="Q12" s="309" t="str">
        <f>IF(OI[[#This Row],[8]]&lt;&gt;2020,"",AIA!$B$5+Q5-Q9)</f>
        <v/>
      </c>
      <c r="R12" s="309" t="str">
        <f>IF(OI[[#This Row],[9]]&lt;&gt;2020,"",AIA!$B$5+R5-R9)</f>
        <v/>
      </c>
      <c r="S12" s="309" t="str">
        <f>IF(OI[[#This Row],[10]]&lt;&gt;2020,"",AIA!$B$5+S5-S9)</f>
        <v/>
      </c>
      <c r="T12" s="310">
        <f>SUM(OI[[#This Row],[1]])</f>
        <v>266850</v>
      </c>
      <c r="U12" s="310">
        <f>SUM(OI[[#This Row],[1]],OI[[#This Row],[2]])</f>
        <v>266850</v>
      </c>
      <c r="V12" s="310">
        <f>SUM(OI[[#This Row],[1]],OI[[#This Row],[2]],OI[[#This Row],[3]])</f>
        <v>266850</v>
      </c>
      <c r="W12" s="310">
        <f>SUM(OI[[#This Row],[1]],OI[[#This Row],[2]],OI[[#This Row],[3]],OI[[#This Row],[4]])</f>
        <v>266850</v>
      </c>
      <c r="X12" s="310">
        <f>SUM(OI[[#This Row],[1]],OI[[#This Row],[2]],OI[[#This Row],[3]],OI[[#This Row],[4]],OI[[#This Row],[5]])</f>
        <v>266850</v>
      </c>
      <c r="Y12" s="310">
        <f>SUM(OI[[#This Row],[1]],OI[[#This Row],[2]],OI[[#This Row],[3]],OI[[#This Row],[4]],OI[[#This Row],[5]],OI[[#This Row],[6]])</f>
        <v>266850</v>
      </c>
      <c r="Z12" s="310">
        <f>SUM(OI[[#This Row],[1]],OI[[#This Row],[2]],OI[[#This Row],[3]],OI[[#This Row],[4]],OI[[#This Row],[5]],OI[[#This Row],[6]],OI[[#This Row],[7]])</f>
        <v>266850</v>
      </c>
      <c r="AA12" s="310">
        <f>SUM(OI[[#This Row],[1]],OI[[#This Row],[2]],OI[[#This Row],[3]],OI[[#This Row],[4]],OI[[#This Row],[5]],OI[[#This Row],[6]],OI[[#This Row],[7]],OI[[#This Row],[8]])</f>
        <v>266850</v>
      </c>
      <c r="AB12" s="310">
        <f>SUM(OI[[#This Row],[1]],OI[[#This Row],[2]],OI[[#This Row],[3]],OI[[#This Row],[4]],OI[[#This Row],[5]],OI[[#This Row],[6]],OI[[#This Row],[7]],OI[[#This Row],[8]],OI[[#This Row],[9]])</f>
        <v>266850</v>
      </c>
      <c r="AC12" s="310">
        <f>SUM(OI[[#This Row],[1]],OI[[#This Row],[2]],OI[[#This Row],[3]],OI[[#This Row],[4]],OI[[#This Row],[5]],OI[[#This Row],[6]],OI[[#This Row],[7]],OI[[#This Row],[8]],OI[[#This Row],[9]],OI[[#This Row],[10]])</f>
        <v>266850</v>
      </c>
      <c r="AD12" s="310">
        <f>SUM(OI[[#This Row],[1]],OI[[#This Row],[2]],OI[[#This Row],[3]],OI[[#This Row],[4]],OI[[#This Row],[5]],OI[[#This Row],[6]],OI[[#This Row],[7]],OI[[#This Row],[8]],OI[[#This Row],[9]],OI[[#This Row],[10]],OI[[#This Row],[11]])</f>
        <v>266850</v>
      </c>
      <c r="AE12" s="310">
        <f>SUM(OI[[#This Row],[1]],OI[[#This Row],[2]],OI[[#This Row],[3]],OI[[#This Row],[4]],OI[[#This Row],[5]],OI[[#This Row],[6]],OI[[#This Row],[7]],OI[[#This Row],[8]],OI[[#This Row],[9]],OI[[#This Row],[10]],OI[[#This Row],[11]],OI[[#This Row],[12]])</f>
        <v>266850</v>
      </c>
      <c r="AF12" s="310">
        <f>SUM(OI[[#This Row],[1]],OI[[#This Row],[2]],OI[[#This Row],[3]])</f>
        <v>266850</v>
      </c>
      <c r="AG12" s="310">
        <f>SUM(OI[[#This Row],[4]],OI[[#This Row],[5]],OI[[#This Row],[6]])</f>
        <v>0</v>
      </c>
      <c r="AH12" s="310">
        <f>SUM(OI[[#This Row],[7]],OI[[#This Row],[8]],OI[[#This Row],[9]])</f>
        <v>0</v>
      </c>
      <c r="AI12" s="310">
        <f>SUM(OI[[#This Row],[10]],OI[[#This Row],[11]],OI[[#This Row],[12]])</f>
        <v>0</v>
      </c>
      <c r="AJ12" s="310">
        <f>SUM(OI[[#This Row],[1]],OI[[#This Row],[2]],OI[[#This Row],[3]],OI[[#This Row],[4]],OI[[#This Row],[5]],OI[[#This Row],[6]])</f>
        <v>266850</v>
      </c>
      <c r="AK12" s="311">
        <f>SUM(OI[[#This Row],[7]],OI[[#This Row],[8]],OI[[#This Row],[9]],OI[[#This Row],[10]],OI[[#This Row],[11]],OI[[#This Row],[12]])</f>
        <v>0</v>
      </c>
      <c r="AL12" s="310" t="str">
        <f t="shared" si="0"/>
        <v>HYFR</v>
      </c>
    </row>
    <row r="15" spans="1:38" x14ac:dyDescent="0.3">
      <c r="C15" t="s">
        <v>255</v>
      </c>
      <c r="D15" s="66" t="s">
        <v>307</v>
      </c>
    </row>
    <row r="16" spans="1:38" x14ac:dyDescent="0.3">
      <c r="D16" t="s">
        <v>308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7EA1A4-0456-4CA0-A3A7-9B20C60A9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15</vt:i4>
      </vt:variant>
      <vt:variant>
        <vt:lpstr>Plages nommées</vt:lpstr>
      </vt:variant>
      <vt:variant>
        <vt:i4>8</vt:i4>
      </vt:variant>
    </vt:vector>
  </HeadingPairs>
  <TitlesOfParts>
    <vt:vector size="23" baseType="lpstr">
      <vt:lpstr>Key</vt:lpstr>
      <vt:lpstr>Data</vt:lpstr>
      <vt:lpstr>Weekly Data</vt:lpstr>
      <vt:lpstr>Reporting 2021</vt:lpstr>
      <vt:lpstr>Reporting 2022</vt:lpstr>
      <vt:lpstr>GRAPH NEW STRUCTURE</vt:lpstr>
      <vt:lpstr>Monthly Data</vt:lpstr>
      <vt:lpstr>Reporting</vt:lpstr>
      <vt:lpstr>AIA</vt:lpstr>
      <vt:lpstr>FCP+AIA</vt:lpstr>
      <vt:lpstr>Forecast 2020</vt:lpstr>
      <vt:lpstr>Daily Tracking</vt:lpstr>
      <vt:lpstr>Delivery Plan</vt:lpstr>
      <vt:lpstr>Reconciliation SOLUNE vs SAP</vt:lpstr>
      <vt:lpstr>GroupExport</vt:lpstr>
      <vt:lpstr>CAT</vt:lpstr>
      <vt:lpstr>Dstatus</vt:lpstr>
      <vt:lpstr>Data!Impression_des_titres</vt:lpstr>
      <vt:lpstr>On_Site</vt:lpstr>
      <vt:lpstr>Raison_externalisation</vt:lpstr>
      <vt:lpstr>Refuse</vt:lpstr>
      <vt:lpstr>'Reporting 2021'!Zone_d_impression</vt:lpstr>
      <vt:lpstr>'Reporting 2022'!Zone_d_impression</vt:lpstr>
    </vt:vector>
  </TitlesOfParts>
  <Company>Hydro Holding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Naal, Sakhr</dc:creator>
  <cp:lastModifiedBy>Guillaume Pomiès</cp:lastModifiedBy>
  <cp:lastPrinted>2021-11-03T10:44:29Z</cp:lastPrinted>
  <dcterms:created xsi:type="dcterms:W3CDTF">2018-01-09T07:30:23Z</dcterms:created>
  <dcterms:modified xsi:type="dcterms:W3CDTF">2022-04-11T14:15:58Z</dcterms:modified>
</cp:coreProperties>
</file>